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3.xml" ContentType="application/vnd.openxmlformats-officedocument.spreadsheetml.table+xml"/>
  <Override PartName="/xl/namedSheetViews/namedSheetView1.xml" ContentType="application/vnd.ms-excel.namedsheetview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3.xml" ContentType="application/vnd.openxmlformats-officedocument.drawing+xml"/>
  <Override PartName="/xl/tables/table15.xml" ContentType="application/vnd.openxmlformats-officedocument.spreadsheetml.table+xml"/>
  <Override PartName="/xl/drawings/drawing4.xml" ContentType="application/vnd.openxmlformats-officedocument.drawing+xml"/>
  <Override PartName="/xl/tables/table16.xml" ContentType="application/vnd.openxmlformats-officedocument.spreadsheetml.table+xml"/>
  <Override PartName="/xl/drawings/drawing5.xml" ContentType="application/vnd.openxmlformats-officedocument.drawing+xml"/>
  <Override PartName="/xl/tables/table17.xml" ContentType="application/vnd.openxmlformats-officedocument.spreadsheetml.table+xml"/>
  <Override PartName="/xl/drawings/drawing6.xml" ContentType="application/vnd.openxmlformats-officedocument.drawing+xml"/>
  <Override PartName="/xl/tables/table18.xml" ContentType="application/vnd.openxmlformats-officedocument.spreadsheetml.table+xml"/>
  <Override PartName="/xl/comments2.xml" ContentType="application/vnd.openxmlformats-officedocument.spreadsheetml.comments+xml"/>
  <Override PartName="/xl/drawings/drawing7.xml" ContentType="application/vnd.openxmlformats-officedocument.drawing+xml"/>
  <Override PartName="/xl/tables/table19.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tables/table20.xml" ContentType="application/vnd.openxmlformats-officedocument.spreadsheetml.table+xml"/>
  <Override PartName="/xl/comments4.xml" ContentType="application/vnd.openxmlformats-officedocument.spreadsheetml.comments+xml"/>
  <Override PartName="/xl/drawings/drawing11.xml" ContentType="application/vnd.openxmlformats-officedocument.drawing+xml"/>
  <Override PartName="/xl/tables/table21.xml" ContentType="application/vnd.openxmlformats-officedocument.spreadsheetml.table+xml"/>
  <Override PartName="/xl/drawings/drawing12.xml" ContentType="application/vnd.openxmlformats-officedocument.drawing+xml"/>
  <Override PartName="/xl/tables/table22.xml" ContentType="application/vnd.openxmlformats-officedocument.spreadsheetml.table+xml"/>
  <Override PartName="/xl/namedSheetViews/namedSheetView2.xml" ContentType="application/vnd.ms-excel.namedsheetviews+xml"/>
  <Override PartName="/xl/tables/table23.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comments6.xml" ContentType="application/vnd.openxmlformats-officedocument.spreadsheetml.comments+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defaultThemeVersion="166925"/>
  <mc:AlternateContent xmlns:mc="http://schemas.openxmlformats.org/markup-compatibility/2006">
    <mc:Choice Requires="x15">
      <x15ac:absPath xmlns:x15ac="http://schemas.microsoft.com/office/spreadsheetml/2010/11/ac" url="https://nrel.sharepoint.com/sites/NREMDBUpdates/Shared Documents/General/Guidehouse/"/>
    </mc:Choice>
  </mc:AlternateContent>
  <xr:revisionPtr revIDLastSave="322" documentId="8_{3C1D61B3-DAD1-492E-9458-6DF200288D00}" xr6:coauthVersionLast="47" xr6:coauthVersionMax="47" xr10:uidLastSave="{5ACB2410-51B7-9E49-B675-63B0DD65DC3B}"/>
  <bookViews>
    <workbookView xWindow="0" yWindow="500" windowWidth="43000" windowHeight="26220" tabRatio="869" firstSheet="18" activeTab="34" xr2:uid="{53027F4F-4245-4A8C-A348-5BF5F57E71B1}"/>
  </bookViews>
  <sheets>
    <sheet name="Table of Contents" sheetId="3" r:id="rId1"/>
    <sheet name="Qualitative Rank" sheetId="72" r:id="rId2"/>
    <sheet name="All Insulation Data" sheetId="27" r:id="rId3"/>
    <sheet name="All Insulation Analysis" sheetId="54" r:id="rId4"/>
    <sheet name="Air Sealing Data" sheetId="5" r:id="rId5"/>
    <sheet name="Wood Stud" sheetId="28" state="hidden" r:id="rId6"/>
    <sheet name="Steel Stud" sheetId="29" state="hidden" r:id="rId7"/>
    <sheet name="Double Wood Stud" sheetId="30" state="hidden" r:id="rId8"/>
    <sheet name="Unfinished Basement" sheetId="31" state="hidden" r:id="rId9"/>
    <sheet name="Finished Basement" sheetId="32" state="hidden" r:id="rId10"/>
    <sheet name="Unfinished Attic" sheetId="33" state="hidden" r:id="rId11"/>
    <sheet name="Finished Roof" sheetId="34" state="hidden" r:id="rId12"/>
    <sheet name="Crawlspace" sheetId="35" state="hidden" r:id="rId13"/>
    <sheet name="Slab" sheetId="36" state="hidden" r:id="rId14"/>
    <sheet name="Rim Joist" sheetId="37" state="hidden" r:id="rId15"/>
    <sheet name="Concrete Masonry Unit" sheetId="38" state="hidden" r:id="rId16"/>
    <sheet name="Air Sealing Analysis" sheetId="65" r:id="rId17"/>
    <sheet name="Doors Data" sheetId="18" r:id="rId18"/>
    <sheet name="Doors Analysis" sheetId="51" r:id="rId19"/>
    <sheet name="Duct Insulation Data" sheetId="60" r:id="rId20"/>
    <sheet name="Duct Insulation Analysis" sheetId="61" r:id="rId21"/>
    <sheet name="Duct Sealing Data" sheetId="66" r:id="rId22"/>
    <sheet name="Duct Sealing Analysis" sheetId="67" r:id="rId23"/>
    <sheet name="Exterior Finish Data" sheetId="19" r:id="rId24"/>
    <sheet name="Exterior Finish Analysis" sheetId="53" r:id="rId25"/>
    <sheet name="Radiant Barrier Data" sheetId="25" r:id="rId26"/>
    <sheet name="Radiant Barrier Analysis" sheetId="58" r:id="rId27"/>
    <sheet name="ICF Data " sheetId="59" r:id="rId28"/>
    <sheet name="ICF Analysis" sheetId="69" r:id="rId29"/>
    <sheet name="SIP Data " sheetId="56" r:id="rId30"/>
    <sheet name="SIP Analysis" sheetId="57" r:id="rId31"/>
    <sheet name="Wall Sheathing Data" sheetId="26" r:id="rId32"/>
    <sheet name="Wall Sheathing Analysis" sheetId="55" r:id="rId33"/>
    <sheet name="Windows Data" sheetId="20" r:id="rId34"/>
    <sheet name="Windows Analysis" sheetId="52" r:id="rId35"/>
    <sheet name="Pipe Insulation Data" sheetId="62" r:id="rId36"/>
    <sheet name="Pipe Insulation Analysis" sheetId="63" r:id="rId37"/>
    <sheet name="Open Cell Spray Foam Data" sheetId="23" state="hidden" r:id="rId38"/>
    <sheet name="IECC Table R402.1.3" sheetId="24" r:id="rId39"/>
    <sheet name="CPI" sheetId="64" r:id="rId40"/>
    <sheet name="Envelope Labor Premium" sheetId="70" r:id="rId41"/>
    <sheet name="R-Value Library" sheetId="22" r:id="rId42"/>
    <sheet name="Siding" sheetId="12" state="hidden" r:id="rId43"/>
    <sheet name="Duct Insulation" sheetId="13" state="hidden" r:id="rId44"/>
    <sheet name="Pipe Insulation" sheetId="14" state="hidden" r:id="rId45"/>
    <sheet name="Roof Insulation" sheetId="15" state="hidden" r:id="rId46"/>
  </sheets>
  <externalReferences>
    <externalReference r:id="rId47"/>
    <externalReference r:id="rId48"/>
  </externalReferences>
  <definedNames>
    <definedName name="_xlnm._FilterDatabase" localSheetId="4" hidden="1">'Air Sealing Data'!$A$3:$AA$544</definedName>
    <definedName name="_xlnm._FilterDatabase" localSheetId="3" hidden="1">'All Insulation Analysis'!$A$4:$AB$65</definedName>
    <definedName name="_xlnm._FilterDatabase" localSheetId="2" hidden="1">'All Insulation Data'!$A$3:$AI$689</definedName>
    <definedName name="_xlnm._FilterDatabase" localSheetId="27" hidden="1">'ICF Data '!$L$67:$AJ$133</definedName>
    <definedName name="_xlnm._FilterDatabase" localSheetId="29" hidden="1">'SIP Data '!$A$3:$Q$65</definedName>
    <definedName name="_xlnm._FilterDatabase" localSheetId="0" hidden="1">'Table of Contents'!$A$1:$C$15</definedName>
    <definedName name="CACManMU" localSheetId="4">#REF!</definedName>
    <definedName name="CACManMU" localSheetId="39">CPI!#REF!</definedName>
    <definedName name="CACManMU">#REF!</definedName>
    <definedName name="CNB" localSheetId="4">#REF!</definedName>
    <definedName name="CNB" localSheetId="39">CPI!#REF!</definedName>
    <definedName name="CNB">#REF!</definedName>
    <definedName name="CNI" localSheetId="4">#REF!</definedName>
    <definedName name="CNI" localSheetId="39">CPI!#REF!</definedName>
    <definedName name="CNI">#REF!</definedName>
    <definedName name="COB" localSheetId="4">#REF!</definedName>
    <definedName name="COB" localSheetId="39">CPI!#REF!</definedName>
    <definedName name="COB">#REF!</definedName>
    <definedName name="COI" localSheetId="4">#REF!</definedName>
    <definedName name="COI" localSheetId="39">CPI!#REF!</definedName>
    <definedName name="COI">#REF!</definedName>
    <definedName name="ContactList">'[1]Contact List'!$A$1:$H$252</definedName>
    <definedName name="CRB" localSheetId="4">#REF!</definedName>
    <definedName name="CRB" localSheetId="39">CPI!#REF!</definedName>
    <definedName name="CRB">#REF!</definedName>
    <definedName name="CRI" localSheetId="4">#REF!</definedName>
    <definedName name="CRI" localSheetId="39">CPI!#REF!</definedName>
    <definedName name="CRI">#REF!</definedName>
    <definedName name="FNB" localSheetId="4">#REF!</definedName>
    <definedName name="FNB" localSheetId="39">CPI!#REF!</definedName>
    <definedName name="FNB">#REF!</definedName>
    <definedName name="FNI" localSheetId="4">#REF!</definedName>
    <definedName name="FNI" localSheetId="39">CPI!#REF!</definedName>
    <definedName name="FNI">#REF!</definedName>
    <definedName name="FOB" localSheetId="4">#REF!</definedName>
    <definedName name="FOB" localSheetId="39">CPI!#REF!</definedName>
    <definedName name="FOB">#REF!</definedName>
    <definedName name="FOI" localSheetId="4">#REF!</definedName>
    <definedName name="FOI" localSheetId="39">CPI!#REF!</definedName>
    <definedName name="FOI">#REF!</definedName>
    <definedName name="FRB" localSheetId="4">#REF!</definedName>
    <definedName name="FRB" localSheetId="39">CPI!#REF!</definedName>
    <definedName name="FRB">#REF!</definedName>
    <definedName name="FRI" localSheetId="4">#REF!</definedName>
    <definedName name="FRI" localSheetId="39">CPI!#REF!</definedName>
    <definedName name="FRI">#REF!</definedName>
    <definedName name="FurnManMU" localSheetId="4">#REF!</definedName>
    <definedName name="FurnManMU" localSheetId="39">CPI!#REF!</definedName>
    <definedName name="FurnManMU">#REF!</definedName>
    <definedName name="gdpdeflator">'[2]Equipment Price'!$J$39</definedName>
    <definedName name="HNB" localSheetId="4">#REF!</definedName>
    <definedName name="HNB" localSheetId="39">CPI!#REF!</definedName>
    <definedName name="HNB">#REF!</definedName>
    <definedName name="HNI" localSheetId="4">#REF!</definedName>
    <definedName name="HNI" localSheetId="39">CPI!#REF!</definedName>
    <definedName name="HNI">#REF!</definedName>
    <definedName name="HOB" localSheetId="4">#REF!</definedName>
    <definedName name="HOB" localSheetId="39">CPI!#REF!</definedName>
    <definedName name="HOB">#REF!</definedName>
    <definedName name="HOI" localSheetId="4">#REF!</definedName>
    <definedName name="HOI" localSheetId="39">CPI!#REF!</definedName>
    <definedName name="HOI">#REF!</definedName>
    <definedName name="HPManMU" localSheetId="4">#REF!</definedName>
    <definedName name="HPManMU" localSheetId="39">CPI!#REF!</definedName>
    <definedName name="HPManMU">#REF!</definedName>
    <definedName name="HRB" localSheetId="4">#REF!</definedName>
    <definedName name="HRB" localSheetId="39">CPI!#REF!</definedName>
    <definedName name="HRB">#REF!</definedName>
    <definedName name="HRI" localSheetId="4">#REF!</definedName>
    <definedName name="HRI" localSheetId="39">CPI!#REF!</definedName>
    <definedName name="HRI">#REF!</definedName>
    <definedName name="Rvalue" localSheetId="4">#REF!,#REF!,#REF!,#REF!,#REF!,#REF!</definedName>
    <definedName name="Rvalue" localSheetId="39">CPI!#REF!,CPI!#REF!,CPI!#REF!,CPI!#REF!,CPI!#REF!,CPI!#REF!</definedName>
    <definedName name="Rvalue">#REF!,#REF!,#REF!,#REF!,#REF!,#REF!</definedName>
    <definedName name="WHNEB" localSheetId="4">#REF!</definedName>
    <definedName name="WHNEB" localSheetId="39">CPI!#REF!</definedName>
    <definedName name="WHNEB">#REF!</definedName>
    <definedName name="WHNEI" localSheetId="4">#REF!</definedName>
    <definedName name="WHNEI" localSheetId="39">CPI!#REF!</definedName>
    <definedName name="WHNEI">#REF!</definedName>
    <definedName name="WHNGB" localSheetId="4">#REF!</definedName>
    <definedName name="WHNGB" localSheetId="39">CPI!#REF!</definedName>
    <definedName name="WHNGB">#REF!</definedName>
    <definedName name="WHNGI" localSheetId="4">#REF!</definedName>
    <definedName name="WHNGI" localSheetId="39">CPI!#REF!</definedName>
    <definedName name="WHNGI">#REF!</definedName>
    <definedName name="WHNIB" localSheetId="4">#REF!</definedName>
    <definedName name="WHNIB" localSheetId="39">CPI!#REF!</definedName>
    <definedName name="WHNIB">#REF!</definedName>
    <definedName name="WHNII" localSheetId="4">#REF!</definedName>
    <definedName name="WHNII" localSheetId="39">CPI!#REF!</definedName>
    <definedName name="WHNII">#REF!</definedName>
    <definedName name="WHNOB" localSheetId="4">#REF!</definedName>
    <definedName name="WHNOB" localSheetId="39">CPI!#REF!</definedName>
    <definedName name="WHNOB">#REF!</definedName>
    <definedName name="WHNOI" localSheetId="4">#REF!</definedName>
    <definedName name="WHNOI" localSheetId="39">CPI!#REF!</definedName>
    <definedName name="WHNOI">#REF!</definedName>
    <definedName name="WHOEB" localSheetId="4">#REF!</definedName>
    <definedName name="WHOEB" localSheetId="39">CPI!#REF!</definedName>
    <definedName name="WHOEB">#REF!</definedName>
    <definedName name="WHOEI" localSheetId="4">#REF!</definedName>
    <definedName name="WHOEI" localSheetId="39">CPI!#REF!</definedName>
    <definedName name="WHOEI">#REF!</definedName>
    <definedName name="WHOGB" localSheetId="4">#REF!</definedName>
    <definedName name="WHOGB" localSheetId="39">CPI!#REF!</definedName>
    <definedName name="WHOGB">#REF!</definedName>
    <definedName name="WHOGI" localSheetId="4">#REF!</definedName>
    <definedName name="WHOGI" localSheetId="39">CPI!#REF!</definedName>
    <definedName name="WHOGI">#REF!</definedName>
    <definedName name="WHOIB" localSheetId="4">#REF!</definedName>
    <definedName name="WHOIB" localSheetId="39">CPI!#REF!</definedName>
    <definedName name="WHOIB">#REF!</definedName>
    <definedName name="WHOII" localSheetId="4">#REF!</definedName>
    <definedName name="WHOII" localSheetId="39">CPI!#REF!</definedName>
    <definedName name="WHOII">#REF!</definedName>
    <definedName name="WHOOB" localSheetId="4">#REF!</definedName>
    <definedName name="WHOOB" localSheetId="39">CPI!#REF!</definedName>
    <definedName name="WHOOB">#REF!</definedName>
    <definedName name="WHOOI" localSheetId="4">#REF!</definedName>
    <definedName name="WHOOI" localSheetId="39">CPI!#REF!</definedName>
    <definedName name="WHOOI">#REF!</definedName>
    <definedName name="WHREB" localSheetId="4">#REF!</definedName>
    <definedName name="WHREB" localSheetId="39">CPI!#REF!</definedName>
    <definedName name="WHREB">#REF!</definedName>
    <definedName name="WHREI" localSheetId="4">#REF!</definedName>
    <definedName name="WHREI" localSheetId="39">CPI!#REF!</definedName>
    <definedName name="WHREI">#REF!</definedName>
    <definedName name="WHRGB" localSheetId="4">#REF!</definedName>
    <definedName name="WHRGB" localSheetId="39">CPI!#REF!</definedName>
    <definedName name="WHRGB">#REF!</definedName>
    <definedName name="WHRGI" localSheetId="4">#REF!</definedName>
    <definedName name="WHRGI" localSheetId="39">CPI!#REF!</definedName>
    <definedName name="WHRGI">#REF!</definedName>
    <definedName name="WHRIB" localSheetId="4">#REF!</definedName>
    <definedName name="WHRIB" localSheetId="39">CPI!#REF!</definedName>
    <definedName name="WHRIB">#REF!</definedName>
    <definedName name="WHRII" localSheetId="4">#REF!</definedName>
    <definedName name="WHRII" localSheetId="39">CPI!#REF!</definedName>
    <definedName name="WHRII">#REF!</definedName>
    <definedName name="WHROB" localSheetId="4">#REF!</definedName>
    <definedName name="WHROB" localSheetId="39">CPI!#REF!</definedName>
    <definedName name="WHROB">#REF!</definedName>
    <definedName name="WHROI" localSheetId="4">#REF!</definedName>
    <definedName name="WHROI" localSheetId="39">CPI!#REF!</definedName>
    <definedName name="WHROI">#REF!</definedName>
    <definedName name="WS_Foam_Hi_Cost" localSheetId="4">#REF!,#REF!,#REF!</definedName>
    <definedName name="WS_Foam_Hi_Cost" localSheetId="39">CPI!#REF!,CPI!#REF!,CPI!#REF!</definedName>
    <definedName name="WS_Foam_Hi_Cost">#REF!,#REF!,#REF!</definedName>
    <definedName name="WS_Foam_Hi_Rvalue" localSheetId="4">#REF!,#REF!,#REF!</definedName>
    <definedName name="WS_Foam_Hi_Rvalue" localSheetId="39">CPI!#REF!,CPI!#REF!,CPI!#REF!</definedName>
    <definedName name="WS_Foam_Hi_Rvalue">#REF!,#REF!,#REF!</definedName>
    <definedName name="WS_Foam_Low_Cost" localSheetId="4">#REF!,#REF!,#REF!,#REF!,#REF!,#REF!</definedName>
    <definedName name="WS_Foam_Low_Cost" localSheetId="39">CPI!#REF!,CPI!#REF!,CPI!#REF!,CPI!#REF!,CPI!#REF!,CPI!#REF!</definedName>
    <definedName name="WS_Foam_Low_Cost">#REF!,#REF!,#REF!,#REF!,#REF!,#REF!</definedName>
    <definedName name="WS_FOAM_low_Rvalue" localSheetId="4">#REF!,#REF!,#REF!,#REF!,#REF!,#REF!</definedName>
    <definedName name="WS_FOAM_low_Rvalue" localSheetId="39">CPI!#REF!,CPI!#REF!,CPI!#REF!,CPI!#REF!,CPI!#REF!,CPI!#REF!</definedName>
    <definedName name="WS_FOAM_low_Rvalue">#REF!,#REF!,#REF!,#REF!,#REF!,#REF!</definedName>
    <definedName name="WS_Foam_Low_Thickness" localSheetId="4">#REF!,#REF!,#REF!,#REF!,#REF!,#REF!</definedName>
    <definedName name="WS_Foam_Low_Thickness" localSheetId="39">CPI!#REF!,CPI!#REF!,CPI!#REF!,CPI!#REF!,CPI!#REF!,CPI!#REF!</definedName>
    <definedName name="WS_Foam_Low_Thickness">#REF!,#REF!,#REF!,#REF!,#REF!,#REF!</definedName>
    <definedName name="WS_Foam_Med_Cost" localSheetId="4">#REF!,#REF!,#REF!,#REF!,#REF!,#REF!,#REF!,#REF!,#REF!</definedName>
    <definedName name="WS_Foam_Med_Cost" localSheetId="39">CPI!#REF!,CPI!#REF!,CPI!#REF!,CPI!#REF!,CPI!#REF!,CPI!#REF!,CPI!#REF!,CPI!#REF!,CPI!#REF!</definedName>
    <definedName name="WS_Foam_Med_Cost">#REF!,#REF!,#REF!,#REF!,#REF!,#REF!,#REF!,#REF!,#REF!</definedName>
    <definedName name="WS_Foam_Med_Rvalue" localSheetId="4">#REF!,#REF!,#REF!,#REF!,#REF!,#REF!,#REF!,#REF!,#REF!</definedName>
    <definedName name="WS_Foam_Med_Rvalue" localSheetId="39">CPI!#REF!,CPI!#REF!,CPI!#REF!,CPI!#REF!,CPI!#REF!,CPI!#REF!,CPI!#REF!,CPI!#REF!,CPI!#REF!</definedName>
    <definedName name="WS_Foam_Med_Rvalue">#REF!,#REF!,#REF!,#REF!,#REF!,#REF!,#REF!,#REF!,#REF!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4" i="20" l="1"/>
  <c r="AD5" i="20"/>
  <c r="AH5" i="20" s="1"/>
  <c r="U7" i="52" s="1"/>
  <c r="AD4" i="20"/>
  <c r="AH4" i="20" s="1"/>
  <c r="J282" i="20"/>
  <c r="N282" i="20" s="1"/>
  <c r="J281" i="20"/>
  <c r="N281" i="20" s="1"/>
  <c r="J280" i="20"/>
  <c r="N280" i="20" s="1"/>
  <c r="J279" i="20"/>
  <c r="N279" i="20" s="1"/>
  <c r="J278" i="20"/>
  <c r="N278" i="20" s="1"/>
  <c r="J277" i="20"/>
  <c r="N277" i="20" s="1"/>
  <c r="J276" i="20"/>
  <c r="N276" i="20" s="1"/>
  <c r="J275" i="20"/>
  <c r="N275" i="20" s="1"/>
  <c r="J274" i="20"/>
  <c r="J273" i="20"/>
  <c r="N273" i="20" s="1"/>
  <c r="J272" i="20"/>
  <c r="N272" i="20" s="1"/>
  <c r="J271" i="20"/>
  <c r="N271" i="20" s="1"/>
  <c r="J270" i="20"/>
  <c r="N270" i="20" s="1"/>
  <c r="J269" i="20"/>
  <c r="N269" i="20" s="1"/>
  <c r="J268" i="20"/>
  <c r="N268" i="20" s="1"/>
  <c r="N274"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5" i="20"/>
  <c r="N6" i="20"/>
  <c r="N7" i="20"/>
  <c r="N8" i="20"/>
  <c r="N9" i="20"/>
  <c r="N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4" i="20"/>
  <c r="AF5" i="20" l="1"/>
  <c r="AG5" i="20" s="1"/>
  <c r="AI5" i="20"/>
  <c r="V7" i="52" s="1"/>
  <c r="L5" i="60" l="1"/>
  <c r="L37" i="60"/>
  <c r="L4" i="60"/>
  <c r="L16" i="60"/>
  <c r="L9" i="60"/>
  <c r="L8" i="60"/>
  <c r="L40" i="60"/>
  <c r="L17" i="60"/>
  <c r="L41" i="60"/>
  <c r="L6" i="60"/>
  <c r="L30" i="60"/>
  <c r="L27" i="60"/>
  <c r="L11" i="60"/>
  <c r="L21" i="60"/>
  <c r="L29" i="60"/>
  <c r="L26" i="60"/>
  <c r="L34" i="60"/>
  <c r="L28" i="60"/>
  <c r="L20" i="60"/>
  <c r="L18" i="60"/>
  <c r="L23" i="60"/>
  <c r="L10" i="60"/>
  <c r="L15" i="60"/>
  <c r="L19" i="60"/>
  <c r="L25" i="60"/>
  <c r="L31" i="60"/>
  <c r="L33" i="60"/>
  <c r="L24" i="60"/>
  <c r="L14" i="60"/>
  <c r="L32" i="60"/>
  <c r="L22" i="60"/>
  <c r="L38" i="60"/>
  <c r="L35" i="60"/>
  <c r="L36" i="60"/>
  <c r="L39" i="60"/>
  <c r="L43" i="60"/>
  <c r="H13" i="60"/>
  <c r="AO6" i="27" l="1"/>
  <c r="AO11" i="27"/>
  <c r="AO12" i="27"/>
  <c r="E10" i="69"/>
  <c r="D10" i="69"/>
  <c r="C10" i="69"/>
  <c r="H191" i="27" l="1"/>
  <c r="B16" i="70"/>
  <c r="F69" i="70"/>
  <c r="G69" i="70"/>
  <c r="F70" i="70"/>
  <c r="G70" i="70"/>
  <c r="F74" i="70"/>
  <c r="G74" i="70"/>
  <c r="F75" i="70"/>
  <c r="G75" i="70"/>
  <c r="B5" i="70"/>
  <c r="C5" i="70"/>
  <c r="B6" i="70"/>
  <c r="C6" i="70"/>
  <c r="B7" i="70"/>
  <c r="C7" i="70"/>
  <c r="B8" i="70"/>
  <c r="C8" i="70"/>
  <c r="B9" i="70"/>
  <c r="C9" i="70"/>
  <c r="B10" i="70"/>
  <c r="C10" i="70"/>
  <c r="B11" i="70"/>
  <c r="C11" i="70"/>
  <c r="B12" i="70"/>
  <c r="C12" i="70"/>
  <c r="B13" i="70"/>
  <c r="C13" i="70"/>
  <c r="B14" i="70"/>
  <c r="C14" i="70"/>
  <c r="B15" i="70"/>
  <c r="C15" i="70"/>
  <c r="C16" i="70"/>
  <c r="B17" i="70"/>
  <c r="C17" i="70"/>
  <c r="B18" i="70"/>
  <c r="C18" i="70"/>
  <c r="B19" i="70"/>
  <c r="C19" i="70"/>
  <c r="B20" i="70"/>
  <c r="C20" i="70"/>
  <c r="B21" i="70"/>
  <c r="C21" i="70"/>
  <c r="B22" i="70"/>
  <c r="C22" i="70"/>
  <c r="F22" i="70"/>
  <c r="G22" i="70"/>
  <c r="B23" i="70"/>
  <c r="C23" i="70"/>
  <c r="F23" i="70"/>
  <c r="G23" i="70"/>
  <c r="B24" i="70"/>
  <c r="C24" i="70"/>
  <c r="F24" i="70"/>
  <c r="G24" i="70"/>
  <c r="K32" i="65"/>
  <c r="L32" i="65"/>
  <c r="M32" i="65"/>
  <c r="K33" i="65"/>
  <c r="L33" i="65"/>
  <c r="M33" i="65"/>
  <c r="K34" i="65"/>
  <c r="L34" i="65"/>
  <c r="M34" i="65"/>
  <c r="K14" i="65"/>
  <c r="L14" i="65"/>
  <c r="M14" i="65"/>
  <c r="K15" i="65"/>
  <c r="L15" i="65"/>
  <c r="M15" i="65"/>
  <c r="K16" i="65"/>
  <c r="L16" i="65"/>
  <c r="M16" i="65"/>
  <c r="K151" i="54"/>
  <c r="L151" i="54"/>
  <c r="M151" i="54"/>
  <c r="K152" i="54"/>
  <c r="L152" i="54"/>
  <c r="M152" i="54"/>
  <c r="K153" i="54"/>
  <c r="L153" i="54"/>
  <c r="M153" i="54"/>
  <c r="B3" i="70" l="1"/>
  <c r="B2" i="70"/>
  <c r="Q4" i="5"/>
  <c r="Q5" i="5"/>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C4" i="56"/>
  <c r="C48" i="56" s="1"/>
  <c r="C5" i="56"/>
  <c r="C6" i="56"/>
  <c r="C7" i="56"/>
  <c r="C8" i="56"/>
  <c r="C9" i="56"/>
  <c r="C10" i="56"/>
  <c r="C11" i="56"/>
  <c r="C12" i="56"/>
  <c r="C13" i="56"/>
  <c r="C14" i="56"/>
  <c r="C15" i="56"/>
  <c r="C16" i="56"/>
  <c r="C17" i="56"/>
  <c r="C18" i="56"/>
  <c r="C19" i="56"/>
  <c r="C20" i="56"/>
  <c r="C21" i="56"/>
  <c r="C22" i="56"/>
  <c r="C23" i="56"/>
  <c r="C24" i="56"/>
  <c r="C25" i="56"/>
  <c r="C26" i="56"/>
  <c r="C27" i="56"/>
  <c r="C28" i="56"/>
  <c r="C29" i="56"/>
  <c r="C30" i="56"/>
  <c r="C31" i="56"/>
  <c r="C32" i="56"/>
  <c r="C33" i="56"/>
  <c r="C34" i="56"/>
  <c r="C35" i="56"/>
  <c r="C36" i="56"/>
  <c r="C37" i="56"/>
  <c r="C38" i="56"/>
  <c r="C39" i="56"/>
  <c r="C40" i="56"/>
  <c r="C41" i="56"/>
  <c r="C42" i="56"/>
  <c r="C43" i="56"/>
  <c r="C55" i="56"/>
  <c r="C59" i="56"/>
  <c r="C51" i="56"/>
  <c r="C60" i="56"/>
  <c r="C62" i="56"/>
  <c r="C52" i="56"/>
  <c r="C61" i="56"/>
  <c r="C63" i="56"/>
  <c r="C56" i="56"/>
  <c r="C57" i="56"/>
  <c r="C53" i="56"/>
  <c r="C58" i="56"/>
  <c r="C64" i="56"/>
  <c r="C65" i="56"/>
  <c r="C54" i="56"/>
  <c r="M15" i="61"/>
  <c r="N15" i="61"/>
  <c r="O15" i="61"/>
  <c r="M16" i="61"/>
  <c r="N16" i="61"/>
  <c r="O16" i="61"/>
  <c r="M17" i="61"/>
  <c r="N17" i="61"/>
  <c r="O17" i="61"/>
  <c r="P17" i="67"/>
  <c r="Q17" i="67"/>
  <c r="R17" i="67"/>
  <c r="P18" i="67"/>
  <c r="Q18" i="67"/>
  <c r="R18" i="67"/>
  <c r="P19" i="67"/>
  <c r="Q19" i="67"/>
  <c r="R19" i="67"/>
  <c r="X251" i="66"/>
  <c r="X367" i="66"/>
  <c r="X172" i="66"/>
  <c r="X212" i="66"/>
  <c r="X211" i="66"/>
  <c r="X295" i="66"/>
  <c r="X190" i="66"/>
  <c r="X320" i="66"/>
  <c r="X254" i="66"/>
  <c r="X362" i="66"/>
  <c r="X205" i="66"/>
  <c r="X243" i="66"/>
  <c r="X281" i="66"/>
  <c r="X305" i="66"/>
  <c r="X219" i="66"/>
  <c r="X355" i="66"/>
  <c r="X188" i="66"/>
  <c r="X186" i="66"/>
  <c r="X319" i="66"/>
  <c r="X273" i="66"/>
  <c r="X244" i="66"/>
  <c r="X253" i="66"/>
  <c r="X338" i="66"/>
  <c r="X339" i="66"/>
  <c r="X376" i="66"/>
  <c r="X167" i="66"/>
  <c r="X245" i="66"/>
  <c r="X194" i="66"/>
  <c r="X366" i="66"/>
  <c r="X373" i="66"/>
  <c r="X304" i="66"/>
  <c r="X340" i="66"/>
  <c r="X234" i="66"/>
  <c r="X169" i="66"/>
  <c r="X231" i="66"/>
  <c r="X68" i="66"/>
  <c r="X293" i="66"/>
  <c r="X252" i="66"/>
  <c r="X225" i="66"/>
  <c r="X353" i="66"/>
  <c r="X238" i="66"/>
  <c r="X69" i="66"/>
  <c r="X352" i="66"/>
  <c r="X170" i="66"/>
  <c r="X192" i="66"/>
  <c r="X214" i="66"/>
  <c r="X223" i="66"/>
  <c r="X331" i="66"/>
  <c r="X171" i="66"/>
  <c r="X291" i="66"/>
  <c r="X258" i="66"/>
  <c r="X301" i="66"/>
  <c r="X330" i="66"/>
  <c r="X228" i="66"/>
  <c r="X313" i="66"/>
  <c r="X199" i="66"/>
  <c r="X276" i="66"/>
  <c r="X262" i="66"/>
  <c r="X250" i="66"/>
  <c r="X374" i="66"/>
  <c r="X356" i="66"/>
  <c r="X283" i="66"/>
  <c r="X269" i="66"/>
  <c r="X216" i="66"/>
  <c r="X365" i="66"/>
  <c r="X341" i="66"/>
  <c r="X310" i="66"/>
  <c r="X287" i="66"/>
  <c r="X300" i="66"/>
  <c r="X268" i="66"/>
  <c r="X379" i="66"/>
  <c r="X263" i="66"/>
  <c r="X266" i="66"/>
  <c r="X342" i="66"/>
  <c r="X364" i="66"/>
  <c r="X224" i="66"/>
  <c r="X257" i="66"/>
  <c r="X285" i="66"/>
  <c r="X316" i="66"/>
  <c r="X173" i="66"/>
  <c r="X337" i="66"/>
  <c r="X382" i="66"/>
  <c r="X73" i="66"/>
  <c r="X344" i="66"/>
  <c r="X208" i="66"/>
  <c r="X280" i="66"/>
  <c r="X328" i="66"/>
  <c r="X324" i="66"/>
  <c r="X259" i="66"/>
  <c r="X249" i="66"/>
  <c r="X348" i="66"/>
  <c r="X255" i="66"/>
  <c r="X200" i="66"/>
  <c r="X308" i="66"/>
  <c r="X193" i="66"/>
  <c r="X327" i="66"/>
  <c r="X333" i="66"/>
  <c r="X334" i="66"/>
  <c r="X290" i="66"/>
  <c r="X279" i="66"/>
  <c r="X187" i="66"/>
  <c r="X306" i="66"/>
  <c r="X271" i="66"/>
  <c r="X221" i="66"/>
  <c r="X261" i="66"/>
  <c r="X347" i="66"/>
  <c r="X48" i="66"/>
  <c r="X335" i="66"/>
  <c r="X267" i="66"/>
  <c r="X359" i="66"/>
  <c r="X189" i="66"/>
  <c r="X277" i="66"/>
  <c r="X289" i="66"/>
  <c r="X354" i="66"/>
  <c r="X385" i="66"/>
  <c r="X235" i="66"/>
  <c r="X241" i="66"/>
  <c r="X247" i="66"/>
  <c r="X206" i="66"/>
  <c r="X218" i="66"/>
  <c r="X297" i="66"/>
  <c r="X321" i="66"/>
  <c r="X314" i="66"/>
  <c r="X357" i="66"/>
  <c r="X384" i="66"/>
  <c r="X58" i="66"/>
  <c r="X336" i="66"/>
  <c r="X370" i="66"/>
  <c r="X345" i="66"/>
  <c r="X222" i="66"/>
  <c r="X315" i="66"/>
  <c r="X202" i="66"/>
  <c r="X246" i="66"/>
  <c r="X377" i="66"/>
  <c r="X346" i="66"/>
  <c r="X369" i="66"/>
  <c r="X183" i="66"/>
  <c r="X230" i="66"/>
  <c r="X309" i="66"/>
  <c r="X317" i="66"/>
  <c r="X248" i="66"/>
  <c r="X302" i="66"/>
  <c r="X217" i="66"/>
  <c r="X363" i="66"/>
  <c r="X358" i="66"/>
  <c r="X184" i="66"/>
  <c r="X360" i="66"/>
  <c r="X177" i="66"/>
  <c r="X185" i="66"/>
  <c r="X325" i="66"/>
  <c r="X318" i="66"/>
  <c r="X198" i="66"/>
  <c r="X232" i="66"/>
  <c r="X303" i="66"/>
  <c r="X322" i="66"/>
  <c r="X299" i="66"/>
  <c r="X349" i="66"/>
  <c r="X275" i="66"/>
  <c r="X175" i="66"/>
  <c r="X168" i="66"/>
  <c r="X239" i="66"/>
  <c r="X296" i="66"/>
  <c r="X226" i="66"/>
  <c r="X191" i="66"/>
  <c r="X197" i="66"/>
  <c r="X274" i="66"/>
  <c r="X179" i="66"/>
  <c r="X236" i="66"/>
  <c r="X311" i="66"/>
  <c r="X323" i="66"/>
  <c r="X378" i="66"/>
  <c r="X207" i="66"/>
  <c r="X350" i="66"/>
  <c r="X282" i="66"/>
  <c r="X368" i="66"/>
  <c r="X284" i="66"/>
  <c r="X229" i="66"/>
  <c r="X292" i="66"/>
  <c r="X264" i="66"/>
  <c r="X220" i="66"/>
  <c r="X240" i="66"/>
  <c r="X213" i="66"/>
  <c r="X278" i="66"/>
  <c r="X210" i="66"/>
  <c r="X242" i="66"/>
  <c r="X182" i="66"/>
  <c r="X329" i="66"/>
  <c r="X386" i="66"/>
  <c r="X265" i="66"/>
  <c r="X383" i="66"/>
  <c r="X256" i="66"/>
  <c r="X326" i="66"/>
  <c r="X174" i="66"/>
  <c r="X195" i="66"/>
  <c r="X260" i="66"/>
  <c r="X294" i="66"/>
  <c r="X375" i="66"/>
  <c r="X343" i="66"/>
  <c r="X312" i="66"/>
  <c r="X178" i="66"/>
  <c r="X215" i="66"/>
  <c r="X361" i="66"/>
  <c r="X181" i="66"/>
  <c r="X286" i="66"/>
  <c r="X237" i="66"/>
  <c r="X381" i="66"/>
  <c r="X233" i="66"/>
  <c r="X270" i="66"/>
  <c r="X372" i="66"/>
  <c r="X371" i="66"/>
  <c r="X204" i="66"/>
  <c r="X351" i="66"/>
  <c r="X332" i="66"/>
  <c r="X180" i="66"/>
  <c r="X176" i="66"/>
  <c r="X209" i="66"/>
  <c r="X227" i="66"/>
  <c r="X272" i="66"/>
  <c r="AF4" i="20"/>
  <c r="X380" i="66"/>
  <c r="X307" i="66"/>
  <c r="X298" i="66"/>
  <c r="X288" i="66"/>
  <c r="X203" i="66"/>
  <c r="X201" i="66"/>
  <c r="X164" i="66"/>
  <c r="X163" i="66"/>
  <c r="X161" i="66"/>
  <c r="X160" i="66"/>
  <c r="X159" i="66"/>
  <c r="X158" i="66"/>
  <c r="X157" i="66"/>
  <c r="X156" i="66"/>
  <c r="X155" i="66"/>
  <c r="X154" i="66"/>
  <c r="X153" i="66"/>
  <c r="X152" i="66"/>
  <c r="X151" i="66"/>
  <c r="X150" i="66"/>
  <c r="X149" i="66"/>
  <c r="X148" i="66"/>
  <c r="X147" i="66"/>
  <c r="X146" i="66"/>
  <c r="X145" i="66"/>
  <c r="X144" i="66"/>
  <c r="X143" i="66"/>
  <c r="X142" i="66"/>
  <c r="X141" i="66"/>
  <c r="X140" i="66"/>
  <c r="X139" i="66"/>
  <c r="X138" i="66"/>
  <c r="X137" i="66"/>
  <c r="X136" i="66"/>
  <c r="X135" i="66"/>
  <c r="X134" i="66"/>
  <c r="X133" i="66"/>
  <c r="X132" i="66"/>
  <c r="X131" i="66"/>
  <c r="X130" i="66"/>
  <c r="X129" i="66"/>
  <c r="X128" i="66"/>
  <c r="X127" i="66"/>
  <c r="X126" i="66"/>
  <c r="X125" i="66"/>
  <c r="X124" i="66"/>
  <c r="X123" i="66"/>
  <c r="X122" i="66"/>
  <c r="X121" i="66"/>
  <c r="X120" i="66"/>
  <c r="X119" i="66"/>
  <c r="X118" i="66"/>
  <c r="X117" i="66"/>
  <c r="X116" i="66"/>
  <c r="X115" i="66"/>
  <c r="X114" i="66"/>
  <c r="X113" i="66"/>
  <c r="X112" i="66"/>
  <c r="X111" i="66"/>
  <c r="X110" i="66"/>
  <c r="X109" i="66"/>
  <c r="X108" i="66"/>
  <c r="X107" i="66"/>
  <c r="X106" i="66"/>
  <c r="X105" i="66"/>
  <c r="X104" i="66"/>
  <c r="X103" i="66"/>
  <c r="X102" i="66"/>
  <c r="X101" i="66"/>
  <c r="X100" i="66"/>
  <c r="X99" i="66"/>
  <c r="X98" i="66"/>
  <c r="X97" i="66"/>
  <c r="X96" i="66"/>
  <c r="X95" i="66"/>
  <c r="X94" i="66"/>
  <c r="X93" i="66"/>
  <c r="X92" i="66"/>
  <c r="X91" i="66"/>
  <c r="X90" i="66"/>
  <c r="X89" i="66"/>
  <c r="X88" i="66"/>
  <c r="X87" i="66"/>
  <c r="X86" i="66"/>
  <c r="X85" i="66"/>
  <c r="X84" i="66"/>
  <c r="X33" i="66"/>
  <c r="X26" i="66"/>
  <c r="X25" i="66"/>
  <c r="X22" i="66"/>
  <c r="X21" i="66"/>
  <c r="Y4" i="66"/>
  <c r="Y5" i="66"/>
  <c r="Y6" i="66"/>
  <c r="Y7" i="66"/>
  <c r="Y8" i="66"/>
  <c r="Y9" i="66"/>
  <c r="Y10" i="66"/>
  <c r="Y11" i="66"/>
  <c r="Y12" i="66"/>
  <c r="Y13" i="66"/>
  <c r="Y14" i="66"/>
  <c r="Y15" i="66"/>
  <c r="Y16" i="66"/>
  <c r="Y17" i="66"/>
  <c r="Y18" i="66"/>
  <c r="Y19" i="66"/>
  <c r="Y20" i="66"/>
  <c r="Y21" i="66"/>
  <c r="Y22" i="66"/>
  <c r="Y23" i="66"/>
  <c r="Y24" i="66"/>
  <c r="Y25" i="66"/>
  <c r="Y26" i="66"/>
  <c r="Y27" i="66"/>
  <c r="Y28" i="66"/>
  <c r="Y29" i="66"/>
  <c r="Y30" i="66"/>
  <c r="Y31" i="66"/>
  <c r="Y32" i="66"/>
  <c r="Y33" i="66"/>
  <c r="Y34" i="66"/>
  <c r="Y35" i="66"/>
  <c r="Y36" i="66"/>
  <c r="Y37" i="66"/>
  <c r="Y38" i="66"/>
  <c r="Y39" i="66"/>
  <c r="Y40" i="66"/>
  <c r="Y41" i="66"/>
  <c r="Y42" i="66"/>
  <c r="Y43" i="66"/>
  <c r="Y44" i="66"/>
  <c r="Y45" i="66"/>
  <c r="Y46" i="66"/>
  <c r="Y47" i="66"/>
  <c r="Y272" i="66"/>
  <c r="Y49" i="66"/>
  <c r="Y50" i="66"/>
  <c r="Y51" i="66"/>
  <c r="Y52" i="66"/>
  <c r="Y53" i="66"/>
  <c r="Y54" i="66"/>
  <c r="Y55" i="66"/>
  <c r="Y56" i="66"/>
  <c r="Y57" i="66"/>
  <c r="Y227" i="66"/>
  <c r="Y59" i="66"/>
  <c r="Y60" i="66"/>
  <c r="Y61" i="66"/>
  <c r="Y62" i="66"/>
  <c r="Y63" i="66"/>
  <c r="Y64" i="66"/>
  <c r="Y65" i="66"/>
  <c r="Y66" i="66"/>
  <c r="Y67" i="66"/>
  <c r="Y176" i="66"/>
  <c r="Y209" i="66"/>
  <c r="Y70" i="66"/>
  <c r="Y71" i="66"/>
  <c r="Y72" i="66"/>
  <c r="Y180" i="66"/>
  <c r="Y74" i="66"/>
  <c r="Y75" i="66"/>
  <c r="Y76" i="66"/>
  <c r="Y77" i="66"/>
  <c r="Y78" i="66"/>
  <c r="Y79" i="66"/>
  <c r="Y80" i="66"/>
  <c r="Y81" i="66"/>
  <c r="Y82" i="66"/>
  <c r="Y83" i="66"/>
  <c r="Y84" i="66"/>
  <c r="Y85" i="66"/>
  <c r="Y86" i="66"/>
  <c r="Y87" i="66"/>
  <c r="Y88" i="66"/>
  <c r="Y89" i="66"/>
  <c r="Y90" i="66"/>
  <c r="Y91" i="66"/>
  <c r="Y92" i="66"/>
  <c r="Y93" i="66"/>
  <c r="Y94" i="66"/>
  <c r="Y95" i="66"/>
  <c r="Y96" i="66"/>
  <c r="Y97" i="66"/>
  <c r="Y98" i="66"/>
  <c r="Y99" i="66"/>
  <c r="Y100" i="66"/>
  <c r="Y101" i="66"/>
  <c r="Y102" i="66"/>
  <c r="Y103" i="66"/>
  <c r="Y104" i="66"/>
  <c r="Y105" i="66"/>
  <c r="Y106" i="66"/>
  <c r="Y107" i="66"/>
  <c r="Y108" i="66"/>
  <c r="Y109" i="66"/>
  <c r="Y110" i="66"/>
  <c r="Y111" i="66"/>
  <c r="Y112" i="66"/>
  <c r="Y113" i="66"/>
  <c r="Y114" i="66"/>
  <c r="Y115" i="66"/>
  <c r="Y116" i="66"/>
  <c r="Y117" i="66"/>
  <c r="Y118" i="66"/>
  <c r="Y119" i="66"/>
  <c r="Y120" i="66"/>
  <c r="Y121" i="66"/>
  <c r="Y122" i="66"/>
  <c r="Y123" i="66"/>
  <c r="Y124" i="66"/>
  <c r="Y125" i="66"/>
  <c r="Y126" i="66"/>
  <c r="Y127" i="66"/>
  <c r="Y128" i="66"/>
  <c r="Y129" i="66"/>
  <c r="Y130" i="66"/>
  <c r="Y131" i="66"/>
  <c r="Y132" i="66"/>
  <c r="Y133" i="66"/>
  <c r="Y134" i="66"/>
  <c r="Y135" i="66"/>
  <c r="Y136" i="66"/>
  <c r="Y137" i="66"/>
  <c r="Y138" i="66"/>
  <c r="Y139" i="66"/>
  <c r="Y140" i="66"/>
  <c r="Y141" i="66"/>
  <c r="Y142" i="66"/>
  <c r="Y143" i="66"/>
  <c r="Y144" i="66"/>
  <c r="Y145" i="66"/>
  <c r="Y146" i="66"/>
  <c r="Y147" i="66"/>
  <c r="Y148" i="66"/>
  <c r="Y149" i="66"/>
  <c r="Y150" i="66"/>
  <c r="Y151" i="66"/>
  <c r="Y152" i="66"/>
  <c r="Y153" i="66"/>
  <c r="Y154" i="66"/>
  <c r="Y155" i="66"/>
  <c r="Y156" i="66"/>
  <c r="Y157" i="66"/>
  <c r="Y158" i="66"/>
  <c r="Y159" i="66"/>
  <c r="Y160" i="66"/>
  <c r="Y161" i="66"/>
  <c r="Y162" i="66"/>
  <c r="Y163" i="66"/>
  <c r="Y164" i="66"/>
  <c r="Y165" i="66"/>
  <c r="Y166" i="66"/>
  <c r="Y242" i="66"/>
  <c r="Y182" i="66"/>
  <c r="Y329" i="66"/>
  <c r="Y386" i="66"/>
  <c r="Y265" i="66"/>
  <c r="Y383" i="66"/>
  <c r="Y256" i="66"/>
  <c r="Y326" i="66"/>
  <c r="Y174" i="66"/>
  <c r="Y195" i="66"/>
  <c r="Y260" i="66"/>
  <c r="Y294" i="66"/>
  <c r="Y375" i="66"/>
  <c r="Y343" i="66"/>
  <c r="Y312" i="66"/>
  <c r="Y178" i="66"/>
  <c r="Y215" i="66"/>
  <c r="Y361" i="66"/>
  <c r="Y181" i="66"/>
  <c r="Y286" i="66"/>
  <c r="Y237" i="66"/>
  <c r="Y381" i="66"/>
  <c r="Y233" i="66"/>
  <c r="Y270" i="66"/>
  <c r="Y372" i="66"/>
  <c r="Y371" i="66"/>
  <c r="Y204" i="66"/>
  <c r="Y351" i="66"/>
  <c r="Y332" i="66"/>
  <c r="Y196" i="66"/>
  <c r="Y240" i="66"/>
  <c r="Y213" i="66"/>
  <c r="Y278" i="66"/>
  <c r="Y210" i="66"/>
  <c r="Y201" i="66"/>
  <c r="Y220" i="66"/>
  <c r="Y203" i="66"/>
  <c r="Y327" i="66"/>
  <c r="Y333" i="66"/>
  <c r="Y334" i="66"/>
  <c r="Y290" i="66"/>
  <c r="Y279" i="66"/>
  <c r="Y187" i="66"/>
  <c r="Y306" i="66"/>
  <c r="Y271" i="66"/>
  <c r="Y221" i="66"/>
  <c r="Y261" i="66"/>
  <c r="Y347" i="66"/>
  <c r="Y48" i="66"/>
  <c r="Y335" i="66"/>
  <c r="Y267" i="66"/>
  <c r="Y359" i="66"/>
  <c r="Y189" i="66"/>
  <c r="Y277" i="66"/>
  <c r="Y289" i="66"/>
  <c r="Y354" i="66"/>
  <c r="Y385" i="66"/>
  <c r="Y235" i="66"/>
  <c r="Y241" i="66"/>
  <c r="Y247" i="66"/>
  <c r="Y206" i="66"/>
  <c r="Y218" i="66"/>
  <c r="Y297" i="66"/>
  <c r="Y321" i="66"/>
  <c r="Y314" i="66"/>
  <c r="Y357" i="66"/>
  <c r="Y384" i="66"/>
  <c r="Y58" i="66"/>
  <c r="Y336" i="66"/>
  <c r="Y370" i="66"/>
  <c r="Y345" i="66"/>
  <c r="Y222" i="66"/>
  <c r="Y315" i="66"/>
  <c r="Y202" i="66"/>
  <c r="Y246" i="66"/>
  <c r="Y377" i="66"/>
  <c r="Y346" i="66"/>
  <c r="Y369" i="66"/>
  <c r="Y183" i="66"/>
  <c r="Y230" i="66"/>
  <c r="Y309" i="66"/>
  <c r="Y317" i="66"/>
  <c r="Y248" i="66"/>
  <c r="Y302" i="66"/>
  <c r="Y217" i="66"/>
  <c r="Y363" i="66"/>
  <c r="Y358" i="66"/>
  <c r="Y184" i="66"/>
  <c r="Y360" i="66"/>
  <c r="Y177" i="66"/>
  <c r="Y185" i="66"/>
  <c r="Y325" i="66"/>
  <c r="Y318" i="66"/>
  <c r="Y198" i="66"/>
  <c r="Y232" i="66"/>
  <c r="Y303" i="66"/>
  <c r="Y322" i="66"/>
  <c r="Y299" i="66"/>
  <c r="Y349" i="66"/>
  <c r="Y275" i="66"/>
  <c r="Y175" i="66"/>
  <c r="Y168" i="66"/>
  <c r="Y239" i="66"/>
  <c r="Y296" i="66"/>
  <c r="Y226" i="66"/>
  <c r="Y191" i="66"/>
  <c r="Y197" i="66"/>
  <c r="Y274" i="66"/>
  <c r="Y179" i="66"/>
  <c r="Y236" i="66"/>
  <c r="Y311" i="66"/>
  <c r="Y323" i="66"/>
  <c r="Y378" i="66"/>
  <c r="Y207" i="66"/>
  <c r="Y350" i="66"/>
  <c r="Y282" i="66"/>
  <c r="Y368" i="66"/>
  <c r="Y284" i="66"/>
  <c r="Y229" i="66"/>
  <c r="Y292" i="66"/>
  <c r="Y264" i="66"/>
  <c r="Y288" i="66"/>
  <c r="Y328" i="66"/>
  <c r="Y324" i="66"/>
  <c r="Y259" i="66"/>
  <c r="Y249" i="66"/>
  <c r="Y348" i="66"/>
  <c r="Y255" i="66"/>
  <c r="Y200" i="66"/>
  <c r="Y308" i="66"/>
  <c r="Y193" i="66"/>
  <c r="Y298" i="66"/>
  <c r="Y316" i="66"/>
  <c r="Y173" i="66"/>
  <c r="Y337" i="66"/>
  <c r="Y382" i="66"/>
  <c r="Y73" i="66"/>
  <c r="Y344" i="66"/>
  <c r="Y208" i="66"/>
  <c r="Y280" i="66"/>
  <c r="Y307" i="66"/>
  <c r="Y190" i="66"/>
  <c r="Y320" i="66"/>
  <c r="Y254" i="66"/>
  <c r="Y362" i="66"/>
  <c r="Y205" i="66"/>
  <c r="Y243" i="66"/>
  <c r="Y281" i="66"/>
  <c r="Y305" i="66"/>
  <c r="Y219" i="66"/>
  <c r="Y355" i="66"/>
  <c r="Y188" i="66"/>
  <c r="Y186" i="66"/>
  <c r="Y319" i="66"/>
  <c r="Y273" i="66"/>
  <c r="Y244" i="66"/>
  <c r="Y253" i="66"/>
  <c r="Y338" i="66"/>
  <c r="Y339" i="66"/>
  <c r="Y376" i="66"/>
  <c r="Y167" i="66"/>
  <c r="Y245" i="66"/>
  <c r="Y194" i="66"/>
  <c r="Y366" i="66"/>
  <c r="Y373" i="66"/>
  <c r="Y304" i="66"/>
  <c r="Y340" i="66"/>
  <c r="Y234" i="66"/>
  <c r="Y169" i="66"/>
  <c r="Y231" i="66"/>
  <c r="Y68" i="66"/>
  <c r="Y293" i="66"/>
  <c r="Y252" i="66"/>
  <c r="Y225" i="66"/>
  <c r="Y353" i="66"/>
  <c r="Y238" i="66"/>
  <c r="Y69" i="66"/>
  <c r="Y352" i="66"/>
  <c r="Y170" i="66"/>
  <c r="Y192" i="66"/>
  <c r="Y214" i="66"/>
  <c r="Y223" i="66"/>
  <c r="Y331" i="66"/>
  <c r="Y171" i="66"/>
  <c r="Y291" i="66"/>
  <c r="Y258" i="66"/>
  <c r="Y301" i="66"/>
  <c r="Y330" i="66"/>
  <c r="Y228" i="66"/>
  <c r="Y313" i="66"/>
  <c r="Y199" i="66"/>
  <c r="Y276" i="66"/>
  <c r="Y262" i="66"/>
  <c r="Y250" i="66"/>
  <c r="Y374" i="66"/>
  <c r="Y356" i="66"/>
  <c r="Y283" i="66"/>
  <c r="Y269" i="66"/>
  <c r="Y216" i="66"/>
  <c r="Y365" i="66"/>
  <c r="Y341" i="66"/>
  <c r="Y310" i="66"/>
  <c r="Y287" i="66"/>
  <c r="Y300" i="66"/>
  <c r="Y268" i="66"/>
  <c r="Y379" i="66"/>
  <c r="Y263" i="66"/>
  <c r="Y266" i="66"/>
  <c r="Y342" i="66"/>
  <c r="Y364" i="66"/>
  <c r="Y224" i="66"/>
  <c r="Y257" i="66"/>
  <c r="Y285" i="66"/>
  <c r="Y380" i="66"/>
  <c r="Y251" i="66"/>
  <c r="Y367" i="66"/>
  <c r="Y172" i="66"/>
  <c r="Y212" i="66"/>
  <c r="Y211" i="66"/>
  <c r="Y295" i="66"/>
  <c r="M444" i="5"/>
  <c r="D444" i="5" s="1"/>
  <c r="M253" i="5"/>
  <c r="D253" i="5" s="1"/>
  <c r="M462" i="5"/>
  <c r="D462" i="5" s="1"/>
  <c r="M167" i="5"/>
  <c r="D167" i="5" s="1"/>
  <c r="M184" i="5"/>
  <c r="D184" i="5" s="1"/>
  <c r="M68" i="5"/>
  <c r="D68" i="5" s="1"/>
  <c r="M189" i="5"/>
  <c r="D189" i="5" s="1"/>
  <c r="M35" i="5"/>
  <c r="D35" i="5" s="1"/>
  <c r="M90" i="5"/>
  <c r="D90" i="5" s="1"/>
  <c r="M148" i="5"/>
  <c r="D148" i="5" s="1"/>
  <c r="M425" i="5"/>
  <c r="D425" i="5" s="1"/>
  <c r="M15" i="5"/>
  <c r="D15" i="5" s="1"/>
  <c r="M322" i="5"/>
  <c r="D322" i="5" s="1"/>
  <c r="M220" i="5"/>
  <c r="D220" i="5" s="1"/>
  <c r="M18" i="5"/>
  <c r="D18" i="5" s="1"/>
  <c r="M19" i="5"/>
  <c r="D19" i="5" s="1"/>
  <c r="M16" i="5"/>
  <c r="D16" i="5" s="1"/>
  <c r="M37" i="5"/>
  <c r="D37" i="5" s="1"/>
  <c r="M20" i="5"/>
  <c r="D20" i="5" s="1"/>
  <c r="M23" i="5"/>
  <c r="D23" i="5" s="1"/>
  <c r="M24" i="5"/>
  <c r="D24" i="5" s="1"/>
  <c r="M464" i="5"/>
  <c r="D464" i="5" s="1"/>
  <c r="M518" i="5"/>
  <c r="D518" i="5" s="1"/>
  <c r="M394" i="5"/>
  <c r="D394" i="5" s="1"/>
  <c r="M320" i="5"/>
  <c r="D320" i="5" s="1"/>
  <c r="M431" i="5"/>
  <c r="D431" i="5" s="1"/>
  <c r="M30" i="5"/>
  <c r="D30" i="5" s="1"/>
  <c r="M267" i="5"/>
  <c r="D267" i="5" s="1"/>
  <c r="M29" i="5"/>
  <c r="D29" i="5" s="1"/>
  <c r="M424" i="5"/>
  <c r="D424" i="5" s="1"/>
  <c r="M62" i="5"/>
  <c r="D62" i="5" s="1"/>
  <c r="M465" i="5"/>
  <c r="D465" i="5" s="1"/>
  <c r="M352" i="5"/>
  <c r="D352" i="5" s="1"/>
  <c r="M408" i="5"/>
  <c r="D408" i="5" s="1"/>
  <c r="M441" i="5"/>
  <c r="D441" i="5" s="1"/>
  <c r="M85" i="5"/>
  <c r="D85" i="5" s="1"/>
  <c r="M40" i="5"/>
  <c r="D40" i="5" s="1"/>
  <c r="M351" i="5"/>
  <c r="D351" i="5" s="1"/>
  <c r="M45" i="5"/>
  <c r="D45" i="5" s="1"/>
  <c r="M226" i="5"/>
  <c r="D226" i="5" s="1"/>
  <c r="M44" i="5"/>
  <c r="D44" i="5" s="1"/>
  <c r="M417" i="5"/>
  <c r="D417" i="5" s="1"/>
  <c r="M364" i="5"/>
  <c r="D364" i="5" s="1"/>
  <c r="M47" i="5"/>
  <c r="D47" i="5" s="1"/>
  <c r="M48" i="5"/>
  <c r="D48" i="5" s="1"/>
  <c r="M106" i="5"/>
  <c r="D106" i="5" s="1"/>
  <c r="M50" i="5"/>
  <c r="D50" i="5" s="1"/>
  <c r="M51" i="5"/>
  <c r="D51" i="5" s="1"/>
  <c r="M393" i="5"/>
  <c r="D393" i="5" s="1"/>
  <c r="M53" i="5"/>
  <c r="D53" i="5" s="1"/>
  <c r="M54" i="5"/>
  <c r="D54" i="5" s="1"/>
  <c r="M55" i="5"/>
  <c r="D55" i="5" s="1"/>
  <c r="M56" i="5"/>
  <c r="D56" i="5" s="1"/>
  <c r="M194" i="5"/>
  <c r="D194" i="5" s="1"/>
  <c r="M38" i="5"/>
  <c r="D38" i="5" s="1"/>
  <c r="M59" i="5"/>
  <c r="D59" i="5" s="1"/>
  <c r="M287" i="5"/>
  <c r="D287" i="5" s="1"/>
  <c r="M363" i="5"/>
  <c r="D363" i="5" s="1"/>
  <c r="M479" i="5"/>
  <c r="D479" i="5" s="1"/>
  <c r="M468" i="5"/>
  <c r="D468" i="5" s="1"/>
  <c r="M473" i="5"/>
  <c r="D473" i="5" s="1"/>
  <c r="M434" i="5"/>
  <c r="D434" i="5" s="1"/>
  <c r="M170" i="5"/>
  <c r="D170" i="5" s="1"/>
  <c r="M446" i="5"/>
  <c r="D446" i="5" s="1"/>
  <c r="M491" i="5"/>
  <c r="D491" i="5" s="1"/>
  <c r="M471" i="5"/>
  <c r="D471" i="5" s="1"/>
  <c r="M443" i="5"/>
  <c r="D443" i="5" s="1"/>
  <c r="M477" i="5"/>
  <c r="D477" i="5" s="1"/>
  <c r="M217" i="5"/>
  <c r="D217" i="5" s="1"/>
  <c r="M452" i="5"/>
  <c r="D452" i="5" s="1"/>
  <c r="M487" i="5"/>
  <c r="D487" i="5" s="1"/>
  <c r="M475" i="5"/>
  <c r="D475" i="5" s="1"/>
  <c r="M476" i="5"/>
  <c r="D476" i="5" s="1"/>
  <c r="M472" i="5"/>
  <c r="D472" i="5" s="1"/>
  <c r="M78" i="5"/>
  <c r="D78" i="5" s="1"/>
  <c r="M321" i="5"/>
  <c r="D321" i="5" s="1"/>
  <c r="M377" i="5"/>
  <c r="D377" i="5" s="1"/>
  <c r="M210" i="5"/>
  <c r="D210" i="5" s="1"/>
  <c r="M323" i="5"/>
  <c r="D323" i="5" s="1"/>
  <c r="M389" i="5"/>
  <c r="D389" i="5" s="1"/>
  <c r="M118" i="5"/>
  <c r="D118" i="5" s="1"/>
  <c r="M39" i="5"/>
  <c r="D39" i="5" s="1"/>
  <c r="M489" i="5"/>
  <c r="D489" i="5" s="1"/>
  <c r="M484" i="5"/>
  <c r="D484" i="5" s="1"/>
  <c r="M52" i="5"/>
  <c r="D52" i="5" s="1"/>
  <c r="M296" i="5"/>
  <c r="D296" i="5" s="1"/>
  <c r="M98" i="5"/>
  <c r="D98" i="5" s="1"/>
  <c r="M262" i="5"/>
  <c r="D262" i="5" s="1"/>
  <c r="M485" i="5"/>
  <c r="D485" i="5" s="1"/>
  <c r="M33" i="5"/>
  <c r="D33" i="5" s="1"/>
  <c r="M402" i="5"/>
  <c r="D402" i="5" s="1"/>
  <c r="M73" i="5"/>
  <c r="D73" i="5" s="1"/>
  <c r="M216" i="5"/>
  <c r="D216" i="5" s="1"/>
  <c r="M488" i="5"/>
  <c r="D488" i="5" s="1"/>
  <c r="M108" i="5"/>
  <c r="D108" i="5" s="1"/>
  <c r="M308" i="5"/>
  <c r="D308" i="5" s="1"/>
  <c r="M474" i="5"/>
  <c r="D474" i="5" s="1"/>
  <c r="M306" i="5"/>
  <c r="D306" i="5" s="1"/>
  <c r="M340" i="5"/>
  <c r="D340" i="5" s="1"/>
  <c r="M28" i="5"/>
  <c r="D28" i="5" s="1"/>
  <c r="M230" i="5"/>
  <c r="D230" i="5" s="1"/>
  <c r="M406" i="5"/>
  <c r="D406" i="5" s="1"/>
  <c r="M268" i="5"/>
  <c r="D268" i="5" s="1"/>
  <c r="M456" i="5"/>
  <c r="D456" i="5" s="1"/>
  <c r="M227" i="5"/>
  <c r="D227" i="5" s="1"/>
  <c r="M283" i="5"/>
  <c r="D283" i="5" s="1"/>
  <c r="M440" i="5"/>
  <c r="D440" i="5" s="1"/>
  <c r="M91" i="5"/>
  <c r="D91" i="5" s="1"/>
  <c r="M165" i="5"/>
  <c r="D165" i="5" s="1"/>
  <c r="M361" i="5"/>
  <c r="D361" i="5" s="1"/>
  <c r="M99" i="5"/>
  <c r="D99" i="5" s="1"/>
  <c r="M211" i="5"/>
  <c r="D211" i="5" s="1"/>
  <c r="M156" i="5"/>
  <c r="D156" i="5" s="1"/>
  <c r="M326" i="5"/>
  <c r="D326" i="5" s="1"/>
  <c r="M416" i="5"/>
  <c r="D416" i="5" s="1"/>
  <c r="M335" i="5"/>
  <c r="D335" i="5" s="1"/>
  <c r="M482" i="5"/>
  <c r="D482" i="5" s="1"/>
  <c r="M344" i="5"/>
  <c r="D344" i="5" s="1"/>
  <c r="M324" i="5"/>
  <c r="D324" i="5" s="1"/>
  <c r="M49" i="5"/>
  <c r="D49" i="5" s="1"/>
  <c r="M95" i="5"/>
  <c r="D95" i="5" s="1"/>
  <c r="M480" i="5"/>
  <c r="D480" i="5" s="1"/>
  <c r="M191" i="5"/>
  <c r="D191" i="5" s="1"/>
  <c r="M255" i="5"/>
  <c r="D255" i="5" s="1"/>
  <c r="M12" i="5"/>
  <c r="D12" i="5" s="1"/>
  <c r="M103" i="5"/>
  <c r="D103" i="5" s="1"/>
  <c r="M46" i="5"/>
  <c r="D46" i="5" s="1"/>
  <c r="M414" i="5"/>
  <c r="D414" i="5" s="1"/>
  <c r="M369" i="5"/>
  <c r="D369" i="5" s="1"/>
  <c r="M260" i="5"/>
  <c r="D260" i="5" s="1"/>
  <c r="M71" i="5"/>
  <c r="D71" i="5" s="1"/>
  <c r="M248" i="5"/>
  <c r="D248" i="5" s="1"/>
  <c r="M127" i="5"/>
  <c r="D127" i="5" s="1"/>
  <c r="M36" i="5"/>
  <c r="D36" i="5" s="1"/>
  <c r="M4" i="5"/>
  <c r="D4" i="5" s="1"/>
  <c r="M454" i="5"/>
  <c r="D454" i="5" s="1"/>
  <c r="M159" i="5"/>
  <c r="D159" i="5" s="1"/>
  <c r="M459" i="5"/>
  <c r="D459" i="5" s="1"/>
  <c r="M466" i="5"/>
  <c r="D466" i="5" s="1"/>
  <c r="M490" i="5"/>
  <c r="D490" i="5" s="1"/>
  <c r="M27" i="5"/>
  <c r="D27" i="5" s="1"/>
  <c r="M145" i="5"/>
  <c r="D145" i="5" s="1"/>
  <c r="M277" i="5"/>
  <c r="D277" i="5" s="1"/>
  <c r="M193" i="5"/>
  <c r="D193" i="5" s="1"/>
  <c r="M234" i="5"/>
  <c r="D234" i="5" s="1"/>
  <c r="M449" i="5"/>
  <c r="D449" i="5" s="1"/>
  <c r="M359" i="5"/>
  <c r="D359" i="5" s="1"/>
  <c r="M291" i="5"/>
  <c r="D291" i="5" s="1"/>
  <c r="M311" i="5"/>
  <c r="D311" i="5" s="1"/>
  <c r="M386" i="5"/>
  <c r="D386" i="5" s="1"/>
  <c r="M75" i="5"/>
  <c r="D75" i="5" s="1"/>
  <c r="M261" i="5"/>
  <c r="D261" i="5" s="1"/>
  <c r="M289" i="5"/>
  <c r="D289" i="5" s="1"/>
  <c r="M331" i="5"/>
  <c r="D331" i="5" s="1"/>
  <c r="M134" i="5"/>
  <c r="D134" i="5" s="1"/>
  <c r="M76" i="5"/>
  <c r="D76" i="5" s="1"/>
  <c r="M442" i="5"/>
  <c r="D442" i="5" s="1"/>
  <c r="M435" i="5"/>
  <c r="D435" i="5" s="1"/>
  <c r="M65" i="5"/>
  <c r="D65" i="5" s="1"/>
  <c r="M284" i="5"/>
  <c r="D284" i="5" s="1"/>
  <c r="M243" i="5"/>
  <c r="D243" i="5" s="1"/>
  <c r="M281" i="5"/>
  <c r="D281" i="5" s="1"/>
  <c r="M107" i="5"/>
  <c r="D107" i="5" s="1"/>
  <c r="M390" i="5"/>
  <c r="D390" i="5" s="1"/>
  <c r="M357" i="5"/>
  <c r="D357" i="5" s="1"/>
  <c r="M66" i="5"/>
  <c r="D66" i="5" s="1"/>
  <c r="M152" i="5"/>
  <c r="D152" i="5" s="1"/>
  <c r="M301" i="5"/>
  <c r="D301" i="5" s="1"/>
  <c r="M348" i="5"/>
  <c r="D348" i="5" s="1"/>
  <c r="M280" i="5"/>
  <c r="D280" i="5" s="1"/>
  <c r="M178" i="5"/>
  <c r="D178" i="5" s="1"/>
  <c r="M349" i="5"/>
  <c r="D349" i="5" s="1"/>
  <c r="M101" i="5"/>
  <c r="D101" i="5" s="1"/>
  <c r="M42" i="5"/>
  <c r="D42" i="5" s="1"/>
  <c r="M347" i="5"/>
  <c r="D347" i="5" s="1"/>
  <c r="M150" i="5"/>
  <c r="D150" i="5" s="1"/>
  <c r="M282" i="5"/>
  <c r="D282" i="5" s="1"/>
  <c r="M181" i="5"/>
  <c r="D181" i="5" s="1"/>
  <c r="M221" i="5"/>
  <c r="D221" i="5" s="1"/>
  <c r="M204" i="5"/>
  <c r="D204" i="5" s="1"/>
  <c r="M410" i="5"/>
  <c r="D410" i="5" s="1"/>
  <c r="M137" i="5"/>
  <c r="D137" i="5" s="1"/>
  <c r="M208" i="5"/>
  <c r="D208" i="5" s="1"/>
  <c r="M460" i="5"/>
  <c r="D460" i="5" s="1"/>
  <c r="M276" i="5"/>
  <c r="D276" i="5" s="1"/>
  <c r="M244" i="5"/>
  <c r="D244" i="5" s="1"/>
  <c r="M274" i="5"/>
  <c r="D274" i="5" s="1"/>
  <c r="M398" i="5"/>
  <c r="D398" i="5" s="1"/>
  <c r="M273" i="5"/>
  <c r="D273" i="5" s="1"/>
  <c r="M275" i="5"/>
  <c r="D275" i="5" s="1"/>
  <c r="M371" i="5"/>
  <c r="D371" i="5" s="1"/>
  <c r="M438" i="5"/>
  <c r="D438" i="5" s="1"/>
  <c r="M447" i="5"/>
  <c r="D447" i="5" s="1"/>
  <c r="M421" i="5"/>
  <c r="D421" i="5" s="1"/>
  <c r="M92" i="5"/>
  <c r="D92" i="5" s="1"/>
  <c r="M383" i="5"/>
  <c r="D383" i="5" s="1"/>
  <c r="M439" i="5"/>
  <c r="D439" i="5" s="1"/>
  <c r="M420" i="5"/>
  <c r="D420" i="5" s="1"/>
  <c r="M31" i="5"/>
  <c r="D31" i="5" s="1"/>
  <c r="M304" i="5"/>
  <c r="D304" i="5" s="1"/>
  <c r="M453" i="5"/>
  <c r="D453" i="5" s="1"/>
  <c r="M481" i="5"/>
  <c r="D481" i="5" s="1"/>
  <c r="M455" i="5"/>
  <c r="D455" i="5" s="1"/>
  <c r="M450" i="5"/>
  <c r="D450" i="5" s="1"/>
  <c r="M407" i="5"/>
  <c r="D407" i="5" s="1"/>
  <c r="M209" i="5"/>
  <c r="D209" i="5" s="1"/>
  <c r="M427" i="5"/>
  <c r="D427" i="5" s="1"/>
  <c r="M448" i="5"/>
  <c r="D448" i="5" s="1"/>
  <c r="M265" i="5"/>
  <c r="D265" i="5" s="1"/>
  <c r="M461" i="5"/>
  <c r="D461" i="5" s="1"/>
  <c r="M432" i="5"/>
  <c r="D432" i="5" s="1"/>
  <c r="M391" i="5"/>
  <c r="D391" i="5" s="1"/>
  <c r="M354" i="5"/>
  <c r="D354" i="5" s="1"/>
  <c r="M63" i="5"/>
  <c r="D63" i="5" s="1"/>
  <c r="M138" i="5"/>
  <c r="D138" i="5" s="1"/>
  <c r="M470" i="5"/>
  <c r="D470" i="5" s="1"/>
  <c r="M445" i="5"/>
  <c r="D445" i="5" s="1"/>
  <c r="M325" i="5"/>
  <c r="D325" i="5" s="1"/>
  <c r="M21" i="5"/>
  <c r="D21" i="5" s="1"/>
  <c r="M41" i="5"/>
  <c r="D41" i="5" s="1"/>
  <c r="M22" i="5"/>
  <c r="D22" i="5" s="1"/>
  <c r="M279" i="5"/>
  <c r="D279" i="5" s="1"/>
  <c r="M412" i="5"/>
  <c r="D412" i="5" s="1"/>
  <c r="M241" i="5"/>
  <c r="D241" i="5" s="1"/>
  <c r="M34" i="5"/>
  <c r="D34" i="5" s="1"/>
  <c r="M61" i="5"/>
  <c r="D61" i="5" s="1"/>
  <c r="M238" i="5"/>
  <c r="D238" i="5" s="1"/>
  <c r="M14" i="5"/>
  <c r="D14" i="5" s="1"/>
  <c r="M89" i="5"/>
  <c r="D89" i="5" s="1"/>
  <c r="M109" i="5"/>
  <c r="D109" i="5" s="1"/>
  <c r="M436" i="5"/>
  <c r="D436" i="5" s="1"/>
  <c r="M315" i="5"/>
  <c r="D315" i="5" s="1"/>
  <c r="M252" i="5"/>
  <c r="D252" i="5" s="1"/>
  <c r="M32" i="5"/>
  <c r="D32" i="5" s="1"/>
  <c r="M345" i="5"/>
  <c r="D345" i="5" s="1"/>
  <c r="M96" i="5"/>
  <c r="D96" i="5" s="1"/>
  <c r="M58" i="5"/>
  <c r="D58" i="5" s="1"/>
  <c r="M396" i="5"/>
  <c r="D396" i="5" s="1"/>
  <c r="M67" i="5"/>
  <c r="D67" i="5" s="1"/>
  <c r="M74" i="5"/>
  <c r="D74" i="5" s="1"/>
  <c r="M60" i="5"/>
  <c r="D60" i="5" s="1"/>
  <c r="M169" i="5"/>
  <c r="D169" i="5" s="1"/>
  <c r="M182" i="5"/>
  <c r="D182" i="5" s="1"/>
  <c r="M26" i="5"/>
  <c r="D26" i="5" s="1"/>
  <c r="M13" i="5"/>
  <c r="D13" i="5" s="1"/>
  <c r="M94" i="5"/>
  <c r="D94" i="5" s="1"/>
  <c r="M153" i="5"/>
  <c r="D153" i="5" s="1"/>
  <c r="M17" i="5"/>
  <c r="D17" i="5" s="1"/>
  <c r="M403" i="5"/>
  <c r="D403" i="5" s="1"/>
  <c r="M368" i="5"/>
  <c r="D368" i="5" s="1"/>
  <c r="M254" i="5"/>
  <c r="D254" i="5" s="1"/>
  <c r="M467" i="5"/>
  <c r="D467" i="5" s="1"/>
  <c r="M250" i="5"/>
  <c r="D250" i="5" s="1"/>
  <c r="M373" i="5"/>
  <c r="D373" i="5" s="1"/>
  <c r="M299" i="5"/>
  <c r="D299" i="5" s="1"/>
  <c r="M384" i="5"/>
  <c r="D384" i="5" s="1"/>
  <c r="M422" i="5"/>
  <c r="D422" i="5" s="1"/>
  <c r="M129" i="5"/>
  <c r="D129" i="5" s="1"/>
  <c r="M387" i="5"/>
  <c r="D387" i="5" s="1"/>
  <c r="M370" i="5"/>
  <c r="D370" i="5" s="1"/>
  <c r="M310" i="5"/>
  <c r="D310" i="5" s="1"/>
  <c r="M290" i="5"/>
  <c r="D290" i="5" s="1"/>
  <c r="M116" i="5"/>
  <c r="D116" i="5" s="1"/>
  <c r="M429" i="5"/>
  <c r="D429" i="5" s="1"/>
  <c r="M219" i="5"/>
  <c r="D219" i="5" s="1"/>
  <c r="M288" i="5"/>
  <c r="D288" i="5" s="1"/>
  <c r="M140" i="5"/>
  <c r="D140" i="5" s="1"/>
  <c r="M158" i="5"/>
  <c r="D158" i="5" s="1"/>
  <c r="M97" i="5"/>
  <c r="D97" i="5" s="1"/>
  <c r="M355" i="5"/>
  <c r="D355" i="5" s="1"/>
  <c r="M168" i="5"/>
  <c r="D168" i="5" s="1"/>
  <c r="M119" i="5"/>
  <c r="D119" i="5" s="1"/>
  <c r="M329" i="5"/>
  <c r="D329" i="5" s="1"/>
  <c r="M130" i="5"/>
  <c r="D130" i="5" s="1"/>
  <c r="M128" i="5"/>
  <c r="D128" i="5" s="1"/>
  <c r="M177" i="5"/>
  <c r="D177" i="5" s="1"/>
  <c r="M411" i="5"/>
  <c r="D411" i="5" s="1"/>
  <c r="M245" i="5"/>
  <c r="D245" i="5" s="1"/>
  <c r="M356" i="5"/>
  <c r="D356" i="5" s="1"/>
  <c r="M469" i="5"/>
  <c r="D469" i="5" s="1"/>
  <c r="M190" i="5"/>
  <c r="D190" i="5" s="1"/>
  <c r="M285" i="5"/>
  <c r="D285" i="5" s="1"/>
  <c r="M147" i="5"/>
  <c r="D147" i="5" s="1"/>
  <c r="M88" i="5"/>
  <c r="D88" i="5" s="1"/>
  <c r="M278" i="5"/>
  <c r="D278" i="5" s="1"/>
  <c r="M333" i="5"/>
  <c r="D333" i="5" s="1"/>
  <c r="M343" i="5"/>
  <c r="D343" i="5" s="1"/>
  <c r="M295" i="5"/>
  <c r="D295" i="5" s="1"/>
  <c r="M185" i="5"/>
  <c r="D185" i="5" s="1"/>
  <c r="M122" i="5"/>
  <c r="D122" i="5" s="1"/>
  <c r="M382" i="5"/>
  <c r="D382" i="5" s="1"/>
  <c r="M135" i="5"/>
  <c r="D135" i="5" s="1"/>
  <c r="M179" i="5"/>
  <c r="D179" i="5" s="1"/>
  <c r="M330" i="5"/>
  <c r="D330" i="5" s="1"/>
  <c r="M123" i="5"/>
  <c r="D123" i="5" s="1"/>
  <c r="M374" i="5"/>
  <c r="D374" i="5" s="1"/>
  <c r="M338" i="5"/>
  <c r="D338" i="5" s="1"/>
  <c r="M319" i="5"/>
  <c r="D319" i="5" s="1"/>
  <c r="M258" i="5"/>
  <c r="D258" i="5" s="1"/>
  <c r="M251" i="5"/>
  <c r="D251" i="5" s="1"/>
  <c r="M239" i="5"/>
  <c r="D239" i="5" s="1"/>
  <c r="M423" i="5"/>
  <c r="D423" i="5" s="1"/>
  <c r="M105" i="5"/>
  <c r="D105" i="5" s="1"/>
  <c r="M350" i="5"/>
  <c r="D350" i="5" s="1"/>
  <c r="M199" i="5"/>
  <c r="D199" i="5" s="1"/>
  <c r="M70" i="5"/>
  <c r="D70" i="5" s="1"/>
  <c r="M313" i="5"/>
  <c r="D313" i="5" s="1"/>
  <c r="M146" i="5"/>
  <c r="D146" i="5" s="1"/>
  <c r="M82" i="5"/>
  <c r="D82" i="5" s="1"/>
  <c r="M198" i="5"/>
  <c r="D198" i="5" s="1"/>
  <c r="M80" i="5"/>
  <c r="D80" i="5" s="1"/>
  <c r="M305" i="5"/>
  <c r="D305" i="5" s="1"/>
  <c r="M83" i="5"/>
  <c r="D83" i="5" s="1"/>
  <c r="M113" i="5"/>
  <c r="D113" i="5" s="1"/>
  <c r="M375" i="5"/>
  <c r="D375" i="5" s="1"/>
  <c r="M172" i="5"/>
  <c r="D172" i="5" s="1"/>
  <c r="M458" i="5"/>
  <c r="D458" i="5" s="1"/>
  <c r="M112" i="5"/>
  <c r="D112" i="5" s="1"/>
  <c r="M271" i="5"/>
  <c r="D271" i="5" s="1"/>
  <c r="M196" i="5"/>
  <c r="D196" i="5" s="1"/>
  <c r="M297" i="5"/>
  <c r="D297" i="5" s="1"/>
  <c r="M126" i="5"/>
  <c r="D126" i="5" s="1"/>
  <c r="M197" i="5"/>
  <c r="D197" i="5" s="1"/>
  <c r="M246" i="5"/>
  <c r="D246" i="5" s="1"/>
  <c r="M187" i="5"/>
  <c r="D187" i="5" s="1"/>
  <c r="M307" i="5"/>
  <c r="D307" i="5" s="1"/>
  <c r="M205" i="5"/>
  <c r="D205" i="5" s="1"/>
  <c r="M215" i="5"/>
  <c r="D215" i="5" s="1"/>
  <c r="M229" i="5"/>
  <c r="D229" i="5" s="1"/>
  <c r="M173" i="5"/>
  <c r="D173" i="5" s="1"/>
  <c r="M365" i="5"/>
  <c r="D365" i="5" s="1"/>
  <c r="M264" i="5"/>
  <c r="D264" i="5" s="1"/>
  <c r="M309" i="5"/>
  <c r="D309" i="5" s="1"/>
  <c r="M86" i="5"/>
  <c r="D86" i="5" s="1"/>
  <c r="M81" i="5"/>
  <c r="D81" i="5" s="1"/>
  <c r="M162" i="5"/>
  <c r="D162" i="5" s="1"/>
  <c r="M224" i="5"/>
  <c r="D224" i="5" s="1"/>
  <c r="M270" i="5"/>
  <c r="D270" i="5" s="1"/>
  <c r="M400" i="5"/>
  <c r="D400" i="5" s="1"/>
  <c r="M242" i="5"/>
  <c r="D242" i="5" s="1"/>
  <c r="M367" i="5"/>
  <c r="D367" i="5" s="1"/>
  <c r="M327" i="5"/>
  <c r="D327" i="5" s="1"/>
  <c r="M339" i="5"/>
  <c r="D339" i="5" s="1"/>
  <c r="M160" i="5"/>
  <c r="D160" i="5" s="1"/>
  <c r="M256" i="5"/>
  <c r="D256" i="5" s="1"/>
  <c r="M180" i="5"/>
  <c r="D180" i="5" s="1"/>
  <c r="M201" i="5"/>
  <c r="D201" i="5" s="1"/>
  <c r="M237" i="5"/>
  <c r="D237" i="5" s="1"/>
  <c r="M366" i="5"/>
  <c r="D366" i="5" s="1"/>
  <c r="M240" i="5"/>
  <c r="D240" i="5" s="1"/>
  <c r="M136" i="5"/>
  <c r="D136" i="5" s="1"/>
  <c r="M399" i="5"/>
  <c r="D399" i="5" s="1"/>
  <c r="M415" i="5"/>
  <c r="D415" i="5" s="1"/>
  <c r="M166" i="5"/>
  <c r="D166" i="5" s="1"/>
  <c r="M203" i="5"/>
  <c r="D203" i="5" s="1"/>
  <c r="M207" i="5"/>
  <c r="D207" i="5" s="1"/>
  <c r="M292" i="5"/>
  <c r="D292" i="5" s="1"/>
  <c r="M100" i="5"/>
  <c r="D100" i="5" s="1"/>
  <c r="M163" i="5"/>
  <c r="D163" i="5" s="1"/>
  <c r="M104" i="5"/>
  <c r="D104" i="5" s="1"/>
  <c r="M117" i="5"/>
  <c r="D117" i="5" s="1"/>
  <c r="M183" i="5"/>
  <c r="D183" i="5" s="1"/>
  <c r="M433" i="5"/>
  <c r="D433" i="5" s="1"/>
  <c r="M87" i="5"/>
  <c r="D87" i="5" s="1"/>
  <c r="M388" i="5"/>
  <c r="D388" i="5" s="1"/>
  <c r="M430" i="5"/>
  <c r="D430" i="5" s="1"/>
  <c r="M341" i="5"/>
  <c r="D341" i="5" s="1"/>
  <c r="M121" i="5"/>
  <c r="D121" i="5" s="1"/>
  <c r="M132" i="5"/>
  <c r="D132" i="5" s="1"/>
  <c r="M302" i="5"/>
  <c r="D302" i="5" s="1"/>
  <c r="M316" i="5"/>
  <c r="D316" i="5" s="1"/>
  <c r="M483" i="5"/>
  <c r="D483" i="5" s="1"/>
  <c r="M263" i="5"/>
  <c r="D263" i="5" s="1"/>
  <c r="M175" i="5"/>
  <c r="D175" i="5" s="1"/>
  <c r="M111" i="5"/>
  <c r="D111" i="5" s="1"/>
  <c r="M139" i="5"/>
  <c r="D139" i="5" s="1"/>
  <c r="M141" i="5"/>
  <c r="D141" i="5" s="1"/>
  <c r="M380" i="5"/>
  <c r="D380" i="5" s="1"/>
  <c r="M110" i="5"/>
  <c r="D110" i="5" s="1"/>
  <c r="M231" i="5"/>
  <c r="D231" i="5" s="1"/>
  <c r="M176" i="5"/>
  <c r="D176" i="5" s="1"/>
  <c r="M202" i="5"/>
  <c r="D202" i="5" s="1"/>
  <c r="M409" i="5"/>
  <c r="D409" i="5" s="1"/>
  <c r="M298" i="5"/>
  <c r="D298" i="5" s="1"/>
  <c r="M115" i="5"/>
  <c r="D115" i="5" s="1"/>
  <c r="M151" i="5"/>
  <c r="D151" i="5" s="1"/>
  <c r="M328" i="5"/>
  <c r="D328" i="5" s="1"/>
  <c r="M426" i="5"/>
  <c r="D426" i="5" s="1"/>
  <c r="M405" i="5"/>
  <c r="D405" i="5" s="1"/>
  <c r="M188" i="5"/>
  <c r="D188" i="5" s="1"/>
  <c r="M142" i="5"/>
  <c r="D142" i="5" s="1"/>
  <c r="M385" i="5"/>
  <c r="D385" i="5" s="1"/>
  <c r="M72" i="5"/>
  <c r="D72" i="5" s="1"/>
  <c r="M392" i="5"/>
  <c r="D392" i="5" s="1"/>
  <c r="M79" i="5"/>
  <c r="D79" i="5" s="1"/>
  <c r="M124" i="5"/>
  <c r="D124" i="5" s="1"/>
  <c r="M154" i="5"/>
  <c r="D154" i="5" s="1"/>
  <c r="M300" i="5"/>
  <c r="D300" i="5" s="1"/>
  <c r="M362" i="5"/>
  <c r="D362" i="5" s="1"/>
  <c r="M84" i="5"/>
  <c r="D84" i="5" s="1"/>
  <c r="M125" i="5"/>
  <c r="D125" i="5" s="1"/>
  <c r="M232" i="5"/>
  <c r="D232" i="5" s="1"/>
  <c r="M192" i="5"/>
  <c r="D192" i="5" s="1"/>
  <c r="M64" i="5"/>
  <c r="D64" i="5" s="1"/>
  <c r="M214" i="5"/>
  <c r="D214" i="5" s="1"/>
  <c r="M155" i="5"/>
  <c r="D155" i="5" s="1"/>
  <c r="M358" i="5"/>
  <c r="D358" i="5" s="1"/>
  <c r="M235" i="5"/>
  <c r="D235" i="5" s="1"/>
  <c r="M120" i="5"/>
  <c r="D120" i="5" s="1"/>
  <c r="M144" i="5"/>
  <c r="D144" i="5" s="1"/>
  <c r="M69" i="5"/>
  <c r="D69" i="5" s="1"/>
  <c r="M225" i="5"/>
  <c r="D225" i="5" s="1"/>
  <c r="M174" i="5"/>
  <c r="D174" i="5" s="1"/>
  <c r="M401" i="5"/>
  <c r="D401" i="5" s="1"/>
  <c r="M77" i="5"/>
  <c r="D77" i="5" s="1"/>
  <c r="M457" i="5"/>
  <c r="D457" i="5" s="1"/>
  <c r="M186" i="5"/>
  <c r="D186" i="5" s="1"/>
  <c r="M102" i="5"/>
  <c r="D102" i="5" s="1"/>
  <c r="M418" i="5"/>
  <c r="D418" i="5" s="1"/>
  <c r="M337" i="5"/>
  <c r="D337" i="5" s="1"/>
  <c r="M451" i="5"/>
  <c r="D451" i="5" s="1"/>
  <c r="M332" i="5"/>
  <c r="D332" i="5" s="1"/>
  <c r="M164" i="5"/>
  <c r="D164" i="5" s="1"/>
  <c r="M378" i="5"/>
  <c r="D378" i="5" s="1"/>
  <c r="M404" i="5"/>
  <c r="D404" i="5" s="1"/>
  <c r="M143" i="5"/>
  <c r="D143" i="5" s="1"/>
  <c r="M212" i="5"/>
  <c r="D212" i="5" s="1"/>
  <c r="M43" i="5"/>
  <c r="D43" i="5" s="1"/>
  <c r="M395" i="5"/>
  <c r="D395" i="5" s="1"/>
  <c r="M397" i="5"/>
  <c r="D397" i="5" s="1"/>
  <c r="M294" i="5"/>
  <c r="D294" i="5" s="1"/>
  <c r="M236" i="5"/>
  <c r="D236" i="5" s="1"/>
  <c r="M161" i="5"/>
  <c r="D161" i="5" s="1"/>
  <c r="M314" i="5"/>
  <c r="D314" i="5" s="1"/>
  <c r="M228" i="5"/>
  <c r="D228" i="5" s="1"/>
  <c r="M342" i="5"/>
  <c r="D342" i="5" s="1"/>
  <c r="M478" i="5"/>
  <c r="D478" i="5" s="1"/>
  <c r="M247" i="5"/>
  <c r="D247" i="5" s="1"/>
  <c r="M293" i="5"/>
  <c r="D293" i="5" s="1"/>
  <c r="M372" i="5"/>
  <c r="D372" i="5" s="1"/>
  <c r="M157" i="5"/>
  <c r="D157" i="5" s="1"/>
  <c r="M303" i="5"/>
  <c r="D303" i="5" s="1"/>
  <c r="M131" i="5"/>
  <c r="D131" i="5" s="1"/>
  <c r="M272" i="5"/>
  <c r="D272" i="5" s="1"/>
  <c r="M428" i="5"/>
  <c r="D428" i="5" s="1"/>
  <c r="M218" i="5"/>
  <c r="D218" i="5" s="1"/>
  <c r="M379" i="5"/>
  <c r="D379" i="5" s="1"/>
  <c r="M93" i="5"/>
  <c r="D93" i="5" s="1"/>
  <c r="M376" i="5"/>
  <c r="D376" i="5" s="1"/>
  <c r="M286" i="5"/>
  <c r="D286" i="5" s="1"/>
  <c r="M249" i="5"/>
  <c r="D249" i="5" s="1"/>
  <c r="M114" i="5"/>
  <c r="D114" i="5" s="1"/>
  <c r="M336" i="5"/>
  <c r="D336" i="5" s="1"/>
  <c r="M360" i="5"/>
  <c r="D360" i="5" s="1"/>
  <c r="M233" i="5"/>
  <c r="D233" i="5" s="1"/>
  <c r="M381" i="5"/>
  <c r="D381" i="5" s="1"/>
  <c r="M419" i="5"/>
  <c r="D419" i="5" s="1"/>
  <c r="M437" i="5"/>
  <c r="D437" i="5" s="1"/>
  <c r="M257" i="5"/>
  <c r="D257" i="5" s="1"/>
  <c r="M463" i="5"/>
  <c r="D463" i="5" s="1"/>
  <c r="M195" i="5"/>
  <c r="D195" i="5" s="1"/>
  <c r="M25" i="5"/>
  <c r="D25" i="5" s="1"/>
  <c r="M223" i="5"/>
  <c r="D223" i="5" s="1"/>
  <c r="M57" i="5"/>
  <c r="D57" i="5" s="1"/>
  <c r="M222" i="5"/>
  <c r="D222" i="5" s="1"/>
  <c r="M200" i="5"/>
  <c r="D200" i="5" s="1"/>
  <c r="M269" i="5"/>
  <c r="D269" i="5" s="1"/>
  <c r="M346" i="5"/>
  <c r="D346" i="5" s="1"/>
  <c r="M318" i="5"/>
  <c r="D318" i="5" s="1"/>
  <c r="M334" i="5"/>
  <c r="D334" i="5" s="1"/>
  <c r="M413" i="5"/>
  <c r="D413" i="5" s="1"/>
  <c r="M353" i="5"/>
  <c r="D353" i="5" s="1"/>
  <c r="M317" i="5"/>
  <c r="D317" i="5" s="1"/>
  <c r="M259" i="5"/>
  <c r="D259" i="5" s="1"/>
  <c r="M312" i="5"/>
  <c r="D312" i="5" s="1"/>
  <c r="M213" i="5"/>
  <c r="D213" i="5" s="1"/>
  <c r="M266" i="5"/>
  <c r="D266" i="5" s="1"/>
  <c r="M133" i="5"/>
  <c r="D133" i="5" s="1"/>
  <c r="M149" i="5"/>
  <c r="D149" i="5" s="1"/>
  <c r="M171" i="5"/>
  <c r="D171" i="5" s="1"/>
  <c r="M206" i="5"/>
  <c r="D206" i="5" s="1"/>
  <c r="M5" i="5"/>
  <c r="D5" i="5" s="1"/>
  <c r="M6" i="5"/>
  <c r="D6" i="5" s="1"/>
  <c r="M7" i="5"/>
  <c r="D7" i="5" s="1"/>
  <c r="M8" i="5"/>
  <c r="D8" i="5" s="1"/>
  <c r="M9" i="5"/>
  <c r="D9" i="5" s="1"/>
  <c r="M10" i="5"/>
  <c r="D10" i="5" s="1"/>
  <c r="M11" i="5"/>
  <c r="D11" i="5" s="1"/>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486" i="5"/>
  <c r="D486" i="5" s="1"/>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S5" i="53"/>
  <c r="T5" i="53"/>
  <c r="S6" i="53"/>
  <c r="T6" i="53"/>
  <c r="S7" i="53"/>
  <c r="T7" i="53"/>
  <c r="S8" i="53"/>
  <c r="T8" i="53"/>
  <c r="S9" i="53"/>
  <c r="T9" i="53"/>
  <c r="S10" i="53"/>
  <c r="T10" i="53"/>
  <c r="S11" i="53"/>
  <c r="T11" i="53"/>
  <c r="R11" i="53"/>
  <c r="R10" i="53"/>
  <c r="R9" i="53"/>
  <c r="R8" i="53"/>
  <c r="R7" i="53"/>
  <c r="R6" i="53"/>
  <c r="R5" i="53"/>
  <c r="S474" i="19"/>
  <c r="P475" i="19"/>
  <c r="S475" i="19"/>
  <c r="P474" i="19"/>
  <c r="S473" i="19"/>
  <c r="S472" i="19"/>
  <c r="P473" i="19"/>
  <c r="P472" i="19"/>
  <c r="S470" i="19"/>
  <c r="S471" i="19"/>
  <c r="P471" i="19"/>
  <c r="P470" i="19"/>
  <c r="S469" i="19"/>
  <c r="S468" i="19"/>
  <c r="P469" i="19"/>
  <c r="P468" i="19"/>
  <c r="S467" i="19"/>
  <c r="S466" i="19"/>
  <c r="P467" i="19"/>
  <c r="P466" i="19"/>
  <c r="N529" i="19"/>
  <c r="N530" i="19"/>
  <c r="N531" i="19"/>
  <c r="N532" i="19"/>
  <c r="N533" i="19"/>
  <c r="M532" i="19"/>
  <c r="M533" i="19"/>
  <c r="M529" i="19"/>
  <c r="M530" i="19"/>
  <c r="M531" i="19"/>
  <c r="S465" i="19"/>
  <c r="S464" i="19"/>
  <c r="P465" i="19"/>
  <c r="P464" i="19"/>
  <c r="S463" i="19"/>
  <c r="S462" i="19"/>
  <c r="N520" i="19"/>
  <c r="N521" i="19"/>
  <c r="N522" i="19"/>
  <c r="N523" i="19"/>
  <c r="N524" i="19"/>
  <c r="N525" i="19"/>
  <c r="N526" i="19"/>
  <c r="N527" i="19"/>
  <c r="N528" i="19"/>
  <c r="P463" i="19"/>
  <c r="P462" i="19"/>
  <c r="M521" i="19"/>
  <c r="M522" i="19"/>
  <c r="M523" i="19"/>
  <c r="M524" i="19"/>
  <c r="M525" i="19"/>
  <c r="M526" i="19"/>
  <c r="M527" i="19"/>
  <c r="M528" i="19"/>
  <c r="M520" i="19"/>
  <c r="S461" i="19"/>
  <c r="S460" i="19"/>
  <c r="P461" i="19"/>
  <c r="P460" i="19"/>
  <c r="S459" i="19"/>
  <c r="S458" i="19"/>
  <c r="P459" i="19"/>
  <c r="P458" i="19"/>
  <c r="Q458" i="19" s="1"/>
  <c r="S457" i="19"/>
  <c r="AD10" i="19" s="1"/>
  <c r="S456" i="19"/>
  <c r="P457" i="19"/>
  <c r="P456" i="19"/>
  <c r="N508" i="19"/>
  <c r="N509" i="19"/>
  <c r="N510" i="19"/>
  <c r="N511" i="19"/>
  <c r="N512" i="19"/>
  <c r="N513" i="19"/>
  <c r="N514" i="19"/>
  <c r="N515" i="19"/>
  <c r="N516" i="19"/>
  <c r="N517" i="19"/>
  <c r="N518" i="19"/>
  <c r="N519" i="19"/>
  <c r="M456" i="19"/>
  <c r="Q456" i="19" s="1"/>
  <c r="M457" i="19"/>
  <c r="Q457" i="19" s="1"/>
  <c r="M458" i="19"/>
  <c r="M459" i="19"/>
  <c r="M460" i="19"/>
  <c r="Q460" i="19" s="1"/>
  <c r="M461" i="19"/>
  <c r="Q461" i="19" s="1"/>
  <c r="M462" i="19"/>
  <c r="M463" i="19"/>
  <c r="Q463" i="19" s="1"/>
  <c r="M464" i="19"/>
  <c r="Q464" i="19" s="1"/>
  <c r="M465" i="19"/>
  <c r="M466" i="19"/>
  <c r="Q466" i="19" s="1"/>
  <c r="M467" i="19"/>
  <c r="Q467" i="19" s="1"/>
  <c r="M468" i="19"/>
  <c r="M469" i="19"/>
  <c r="M470" i="19"/>
  <c r="Q470" i="19" s="1"/>
  <c r="M471" i="19"/>
  <c r="Q471" i="19" s="1"/>
  <c r="M472" i="19"/>
  <c r="M473" i="19"/>
  <c r="M474" i="19"/>
  <c r="Q474" i="19" s="1"/>
  <c r="M475" i="19"/>
  <c r="M509" i="19"/>
  <c r="M510" i="19"/>
  <c r="M511" i="19"/>
  <c r="M512" i="19"/>
  <c r="M513" i="19"/>
  <c r="M514" i="19"/>
  <c r="M515" i="19"/>
  <c r="M516" i="19"/>
  <c r="M517" i="19"/>
  <c r="M518" i="19"/>
  <c r="M519" i="19"/>
  <c r="M508" i="19"/>
  <c r="M507" i="19"/>
  <c r="N507" i="19"/>
  <c r="M506" i="19"/>
  <c r="M504" i="19"/>
  <c r="M505" i="19"/>
  <c r="M503" i="19"/>
  <c r="C3" i="64"/>
  <c r="C4" i="64"/>
  <c r="C5" i="64"/>
  <c r="C6" i="64"/>
  <c r="C7" i="64"/>
  <c r="C8" i="64"/>
  <c r="C9" i="64"/>
  <c r="C10" i="64"/>
  <c r="C11" i="64"/>
  <c r="C12" i="64"/>
  <c r="C13" i="64"/>
  <c r="C14" i="64"/>
  <c r="C15" i="64"/>
  <c r="C16" i="64"/>
  <c r="C17" i="64"/>
  <c r="C18" i="64"/>
  <c r="C19" i="64"/>
  <c r="C20" i="64"/>
  <c r="C21" i="64"/>
  <c r="C22" i="64"/>
  <c r="C23" i="64"/>
  <c r="C24" i="64"/>
  <c r="C25" i="64"/>
  <c r="C26" i="64"/>
  <c r="C27" i="64"/>
  <c r="C28" i="64"/>
  <c r="C29" i="64"/>
  <c r="C30" i="64"/>
  <c r="V444" i="5"/>
  <c r="M487" i="19"/>
  <c r="M488" i="19"/>
  <c r="M489" i="19"/>
  <c r="M490" i="19"/>
  <c r="M491" i="19"/>
  <c r="M492" i="19"/>
  <c r="M493" i="19"/>
  <c r="M494" i="19"/>
  <c r="M495" i="19"/>
  <c r="M496" i="19"/>
  <c r="M497" i="19"/>
  <c r="M498" i="19"/>
  <c r="M499" i="19"/>
  <c r="M500" i="19"/>
  <c r="M501" i="19"/>
  <c r="M502" i="19"/>
  <c r="M481" i="19"/>
  <c r="M478" i="19"/>
  <c r="M479" i="19"/>
  <c r="M480" i="19"/>
  <c r="M482" i="19"/>
  <c r="M483" i="19"/>
  <c r="M484" i="19"/>
  <c r="M485" i="19"/>
  <c r="M486" i="19"/>
  <c r="M477" i="19"/>
  <c r="M476" i="19"/>
  <c r="S451" i="19"/>
  <c r="S450" i="19"/>
  <c r="P451" i="19"/>
  <c r="P450" i="19"/>
  <c r="S449" i="19"/>
  <c r="S448" i="19"/>
  <c r="P449" i="19"/>
  <c r="P448" i="19"/>
  <c r="S447" i="19"/>
  <c r="S446" i="19"/>
  <c r="P447" i="19"/>
  <c r="P446" i="19"/>
  <c r="S445" i="19"/>
  <c r="S444" i="19"/>
  <c r="P445" i="19"/>
  <c r="P444" i="19"/>
  <c r="S443" i="19"/>
  <c r="S442" i="19"/>
  <c r="P443" i="19"/>
  <c r="P442" i="19"/>
  <c r="S441" i="19"/>
  <c r="S440" i="19"/>
  <c r="P441" i="19"/>
  <c r="P440" i="19"/>
  <c r="S439" i="19"/>
  <c r="AD4" i="19" s="1"/>
  <c r="S438" i="19"/>
  <c r="P439" i="19"/>
  <c r="P438" i="19"/>
  <c r="S436" i="19"/>
  <c r="S437" i="19"/>
  <c r="P437" i="19"/>
  <c r="P436" i="19"/>
  <c r="S455" i="19"/>
  <c r="S454" i="19"/>
  <c r="P455" i="19"/>
  <c r="P454" i="19"/>
  <c r="S453" i="19"/>
  <c r="S452" i="19"/>
  <c r="P453" i="19"/>
  <c r="P452" i="19"/>
  <c r="M436" i="19"/>
  <c r="M437" i="19"/>
  <c r="M438" i="19"/>
  <c r="Q438" i="19" s="1"/>
  <c r="M439" i="19"/>
  <c r="Q439" i="19" s="1"/>
  <c r="M440" i="19"/>
  <c r="M441" i="19"/>
  <c r="M442" i="19"/>
  <c r="Q442" i="19" s="1"/>
  <c r="M443" i="19"/>
  <c r="Q443" i="19" s="1"/>
  <c r="M444" i="19"/>
  <c r="Q444" i="19" s="1"/>
  <c r="M445" i="19"/>
  <c r="M446" i="19"/>
  <c r="Q446" i="19" s="1"/>
  <c r="M447" i="19"/>
  <c r="Q447" i="19" s="1"/>
  <c r="M448" i="19"/>
  <c r="M449" i="19"/>
  <c r="M450" i="19"/>
  <c r="Q450" i="19" s="1"/>
  <c r="M451" i="19"/>
  <c r="M452" i="19"/>
  <c r="Q452" i="19" s="1"/>
  <c r="M453" i="19"/>
  <c r="M454" i="19"/>
  <c r="Q454" i="19" s="1"/>
  <c r="M455" i="19"/>
  <c r="Q455" i="19" s="1"/>
  <c r="V253" i="5"/>
  <c r="V462" i="5"/>
  <c r="V167" i="5"/>
  <c r="V184" i="5"/>
  <c r="V68" i="5"/>
  <c r="W68" i="5" s="1"/>
  <c r="V189" i="5"/>
  <c r="V35" i="5"/>
  <c r="V90" i="5"/>
  <c r="V148" i="5"/>
  <c r="V425" i="5"/>
  <c r="V15" i="5"/>
  <c r="V322" i="5"/>
  <c r="W322" i="5" s="1"/>
  <c r="V220" i="5"/>
  <c r="W220" i="5" s="1"/>
  <c r="V18" i="5"/>
  <c r="V19" i="5"/>
  <c r="W19" i="5" s="1"/>
  <c r="V16" i="5"/>
  <c r="W16" i="5" s="1"/>
  <c r="V37" i="5"/>
  <c r="W37" i="5" s="1"/>
  <c r="V20" i="5"/>
  <c r="W20" i="5" s="1"/>
  <c r="V23" i="5"/>
  <c r="W23" i="5" s="1"/>
  <c r="V24" i="5"/>
  <c r="W24" i="5" s="1"/>
  <c r="V464" i="5"/>
  <c r="V518" i="5"/>
  <c r="W518" i="5" s="1"/>
  <c r="V394" i="5"/>
  <c r="V320" i="5"/>
  <c r="W320" i="5" s="1"/>
  <c r="V431" i="5"/>
  <c r="V30" i="5"/>
  <c r="W30" i="5" s="1"/>
  <c r="V267" i="5"/>
  <c r="W267" i="5" s="1"/>
  <c r="V29" i="5"/>
  <c r="V424" i="5"/>
  <c r="V62" i="5"/>
  <c r="W62" i="5" s="1"/>
  <c r="V465" i="5"/>
  <c r="V352" i="5"/>
  <c r="W352" i="5" s="1"/>
  <c r="V408" i="5"/>
  <c r="V441" i="5"/>
  <c r="W441" i="5" s="1"/>
  <c r="V85" i="5"/>
  <c r="V40" i="5"/>
  <c r="V351" i="5"/>
  <c r="V45" i="5"/>
  <c r="W45" i="5" s="1"/>
  <c r="V226" i="5"/>
  <c r="V44" i="5"/>
  <c r="W44" i="5" s="1"/>
  <c r="V417" i="5"/>
  <c r="V364" i="5"/>
  <c r="V47" i="5"/>
  <c r="V48" i="5"/>
  <c r="V106" i="5"/>
  <c r="V50" i="5"/>
  <c r="V51" i="5"/>
  <c r="V393" i="5"/>
  <c r="V53" i="5"/>
  <c r="V54" i="5"/>
  <c r="V55" i="5"/>
  <c r="W55" i="5" s="1"/>
  <c r="V56" i="5"/>
  <c r="W56" i="5" s="1"/>
  <c r="V194" i="5"/>
  <c r="W194" i="5" s="1"/>
  <c r="V38" i="5"/>
  <c r="W38" i="5" s="1"/>
  <c r="V59" i="5"/>
  <c r="W59" i="5" s="1"/>
  <c r="V287" i="5"/>
  <c r="W287" i="5" s="1"/>
  <c r="V363" i="5"/>
  <c r="W363" i="5" s="1"/>
  <c r="V479" i="5"/>
  <c r="W479" i="5" s="1"/>
  <c r="V468" i="5"/>
  <c r="W468" i="5" s="1"/>
  <c r="V473" i="5"/>
  <c r="W473" i="5" s="1"/>
  <c r="V434" i="5"/>
  <c r="W434" i="5" s="1"/>
  <c r="V170" i="5"/>
  <c r="W170" i="5" s="1"/>
  <c r="V446" i="5"/>
  <c r="W446" i="5" s="1"/>
  <c r="V491" i="5"/>
  <c r="W491" i="5" s="1"/>
  <c r="V471" i="5"/>
  <c r="W471" i="5" s="1"/>
  <c r="V443" i="5"/>
  <c r="W443" i="5" s="1"/>
  <c r="V477" i="5"/>
  <c r="W477" i="5" s="1"/>
  <c r="V217" i="5"/>
  <c r="W217" i="5" s="1"/>
  <c r="V452" i="5"/>
  <c r="W452" i="5" s="1"/>
  <c r="V487" i="5"/>
  <c r="W487" i="5" s="1"/>
  <c r="V475" i="5"/>
  <c r="W475" i="5" s="1"/>
  <c r="V476" i="5"/>
  <c r="W476" i="5" s="1"/>
  <c r="V472" i="5"/>
  <c r="W472" i="5" s="1"/>
  <c r="V78" i="5"/>
  <c r="W78" i="5" s="1"/>
  <c r="V321" i="5"/>
  <c r="W321" i="5" s="1"/>
  <c r="V377" i="5"/>
  <c r="V210" i="5"/>
  <c r="W210" i="5" s="1"/>
  <c r="V323" i="5"/>
  <c r="V389" i="5"/>
  <c r="V118" i="5"/>
  <c r="V39" i="5"/>
  <c r="V489" i="5"/>
  <c r="V484" i="5"/>
  <c r="W484" i="5" s="1"/>
  <c r="V52" i="5"/>
  <c r="W52" i="5" s="1"/>
  <c r="V296" i="5"/>
  <c r="W296" i="5" s="1"/>
  <c r="V98" i="5"/>
  <c r="V262" i="5"/>
  <c r="V485" i="5"/>
  <c r="V33" i="5"/>
  <c r="V402" i="5"/>
  <c r="V73" i="5"/>
  <c r="W73" i="5" s="1"/>
  <c r="V216" i="5"/>
  <c r="W216" i="5" s="1"/>
  <c r="V488" i="5"/>
  <c r="W488" i="5" s="1"/>
  <c r="V108" i="5"/>
  <c r="V308" i="5"/>
  <c r="V474" i="5"/>
  <c r="V306" i="5"/>
  <c r="V340" i="5"/>
  <c r="V28" i="5"/>
  <c r="V230" i="5"/>
  <c r="W230" i="5" s="1"/>
  <c r="V406" i="5"/>
  <c r="W406" i="5" s="1"/>
  <c r="V268" i="5"/>
  <c r="V456" i="5"/>
  <c r="V227" i="5"/>
  <c r="V283" i="5"/>
  <c r="V440" i="5"/>
  <c r="V91" i="5"/>
  <c r="V165" i="5"/>
  <c r="V361" i="5"/>
  <c r="W361" i="5" s="1"/>
  <c r="V99" i="5"/>
  <c r="V211" i="5"/>
  <c r="V156" i="5"/>
  <c r="V326" i="5"/>
  <c r="V416" i="5"/>
  <c r="V335" i="5"/>
  <c r="V482" i="5"/>
  <c r="V344" i="5"/>
  <c r="W344" i="5" s="1"/>
  <c r="V324" i="5"/>
  <c r="V49" i="5"/>
  <c r="V95" i="5"/>
  <c r="V480" i="5"/>
  <c r="V191" i="5"/>
  <c r="V255" i="5"/>
  <c r="V12" i="5"/>
  <c r="V103" i="5"/>
  <c r="W103" i="5" s="1"/>
  <c r="V46" i="5"/>
  <c r="V414" i="5"/>
  <c r="V369" i="5"/>
  <c r="V260" i="5"/>
  <c r="V71" i="5"/>
  <c r="V248" i="5"/>
  <c r="V127" i="5"/>
  <c r="V36" i="5"/>
  <c r="W36" i="5" s="1"/>
  <c r="V4" i="5"/>
  <c r="V454" i="5"/>
  <c r="V159" i="5"/>
  <c r="V459" i="5"/>
  <c r="V466" i="5"/>
  <c r="V490" i="5"/>
  <c r="V27" i="5"/>
  <c r="V145" i="5"/>
  <c r="W145" i="5" s="1"/>
  <c r="V277" i="5"/>
  <c r="W277" i="5" s="1"/>
  <c r="V193" i="5"/>
  <c r="V234" i="5"/>
  <c r="V449" i="5"/>
  <c r="V359" i="5"/>
  <c r="V291" i="5"/>
  <c r="V311" i="5"/>
  <c r="V386" i="5"/>
  <c r="W386" i="5" s="1"/>
  <c r="V75" i="5"/>
  <c r="V261" i="5"/>
  <c r="V289" i="5"/>
  <c r="V331" i="5"/>
  <c r="V134" i="5"/>
  <c r="V76" i="5"/>
  <c r="V442" i="5"/>
  <c r="V435" i="5"/>
  <c r="W435" i="5" s="1"/>
  <c r="V65" i="5"/>
  <c r="W65" i="5" s="1"/>
  <c r="V284" i="5"/>
  <c r="V243" i="5"/>
  <c r="V281" i="5"/>
  <c r="V107" i="5"/>
  <c r="V390" i="5"/>
  <c r="V357" i="5"/>
  <c r="V66" i="5"/>
  <c r="W66" i="5" s="1"/>
  <c r="V152" i="5"/>
  <c r="V301" i="5"/>
  <c r="W301" i="5" s="1"/>
  <c r="V348" i="5"/>
  <c r="V280" i="5"/>
  <c r="V178" i="5"/>
  <c r="V349" i="5"/>
  <c r="W349" i="5" s="1"/>
  <c r="V101" i="5"/>
  <c r="W101" i="5" s="1"/>
  <c r="V42" i="5"/>
  <c r="W42" i="5" s="1"/>
  <c r="V347" i="5"/>
  <c r="V150" i="5"/>
  <c r="V282" i="5"/>
  <c r="V181" i="5"/>
  <c r="V221" i="5"/>
  <c r="V204" i="5"/>
  <c r="W204" i="5" s="1"/>
  <c r="V410" i="5"/>
  <c r="V137" i="5"/>
  <c r="W137" i="5" s="1"/>
  <c r="V208" i="5"/>
  <c r="W208" i="5" s="1"/>
  <c r="V460" i="5"/>
  <c r="V276" i="5"/>
  <c r="W276" i="5" s="1"/>
  <c r="V244" i="5"/>
  <c r="W244" i="5" s="1"/>
  <c r="V274" i="5"/>
  <c r="W274" i="5" s="1"/>
  <c r="V398" i="5"/>
  <c r="W398" i="5" s="1"/>
  <c r="V273" i="5"/>
  <c r="W273" i="5" s="1"/>
  <c r="V275" i="5"/>
  <c r="W275" i="5" s="1"/>
  <c r="V371" i="5"/>
  <c r="V438" i="5"/>
  <c r="W438" i="5" s="1"/>
  <c r="V447" i="5"/>
  <c r="W447" i="5" s="1"/>
  <c r="V421" i="5"/>
  <c r="W421" i="5" s="1"/>
  <c r="V92" i="5"/>
  <c r="V383" i="5"/>
  <c r="W383" i="5" s="1"/>
  <c r="V439" i="5"/>
  <c r="W439" i="5" s="1"/>
  <c r="V420" i="5"/>
  <c r="W420" i="5" s="1"/>
  <c r="V31" i="5"/>
  <c r="W31" i="5" s="1"/>
  <c r="V304" i="5"/>
  <c r="W304" i="5" s="1"/>
  <c r="V453" i="5"/>
  <c r="W453" i="5" s="1"/>
  <c r="V481" i="5"/>
  <c r="W481" i="5" s="1"/>
  <c r="V455" i="5"/>
  <c r="W455" i="5" s="1"/>
  <c r="V450" i="5"/>
  <c r="W450" i="5" s="1"/>
  <c r="V407" i="5"/>
  <c r="W407" i="5" s="1"/>
  <c r="V209" i="5"/>
  <c r="W209" i="5" s="1"/>
  <c r="V427" i="5"/>
  <c r="W427" i="5" s="1"/>
  <c r="V448" i="5"/>
  <c r="W448" i="5" s="1"/>
  <c r="V265" i="5"/>
  <c r="W265" i="5" s="1"/>
  <c r="V461" i="5"/>
  <c r="W461" i="5" s="1"/>
  <c r="V432" i="5"/>
  <c r="W432" i="5" s="1"/>
  <c r="V391" i="5"/>
  <c r="W391" i="5" s="1"/>
  <c r="V354" i="5"/>
  <c r="W354" i="5" s="1"/>
  <c r="V63" i="5"/>
  <c r="W63" i="5" s="1"/>
  <c r="V138" i="5"/>
  <c r="W138" i="5" s="1"/>
  <c r="V470" i="5"/>
  <c r="W470" i="5" s="1"/>
  <c r="V445" i="5"/>
  <c r="W445" i="5" s="1"/>
  <c r="V325" i="5"/>
  <c r="W325" i="5" s="1"/>
  <c r="V21" i="5"/>
  <c r="V41" i="5"/>
  <c r="V22" i="5"/>
  <c r="V279" i="5"/>
  <c r="W279" i="5" s="1"/>
  <c r="V412" i="5"/>
  <c r="V241" i="5"/>
  <c r="V34" i="5"/>
  <c r="V61" i="5"/>
  <c r="V238" i="5"/>
  <c r="V14" i="5"/>
  <c r="V89" i="5"/>
  <c r="V109" i="5"/>
  <c r="W109" i="5" s="1"/>
  <c r="V436" i="5"/>
  <c r="V315" i="5"/>
  <c r="V252" i="5"/>
  <c r="W252" i="5" s="1"/>
  <c r="V32" i="5"/>
  <c r="V345" i="5"/>
  <c r="V96" i="5"/>
  <c r="V58" i="5"/>
  <c r="V396" i="5"/>
  <c r="W396" i="5" s="1"/>
  <c r="V67" i="5"/>
  <c r="W67" i="5" s="1"/>
  <c r="V74" i="5"/>
  <c r="V60" i="5"/>
  <c r="V169" i="5"/>
  <c r="V182" i="5"/>
  <c r="V26" i="5"/>
  <c r="V13" i="5"/>
  <c r="V94" i="5"/>
  <c r="W94" i="5" s="1"/>
  <c r="V153" i="5"/>
  <c r="V17" i="5"/>
  <c r="V403" i="5"/>
  <c r="V368" i="5"/>
  <c r="V254" i="5"/>
  <c r="V467" i="5"/>
  <c r="W467" i="5" s="1"/>
  <c r="V250" i="5"/>
  <c r="W250" i="5" s="1"/>
  <c r="V373" i="5"/>
  <c r="W373" i="5" s="1"/>
  <c r="V299" i="5"/>
  <c r="V384" i="5"/>
  <c r="V422" i="5"/>
  <c r="V129" i="5"/>
  <c r="W129" i="5" s="1"/>
  <c r="V387" i="5"/>
  <c r="V370" i="5"/>
  <c r="V310" i="5"/>
  <c r="W310" i="5" s="1"/>
  <c r="V290" i="5"/>
  <c r="W290" i="5" s="1"/>
  <c r="V116" i="5"/>
  <c r="W116" i="5" s="1"/>
  <c r="V429" i="5"/>
  <c r="V219" i="5"/>
  <c r="V288" i="5"/>
  <c r="V140" i="5"/>
  <c r="V158" i="5"/>
  <c r="W158" i="5" s="1"/>
  <c r="V97" i="5"/>
  <c r="W97" i="5" s="1"/>
  <c r="V355" i="5"/>
  <c r="W355" i="5" s="1"/>
  <c r="V168" i="5"/>
  <c r="V119" i="5"/>
  <c r="W119" i="5" s="1"/>
  <c r="V329" i="5"/>
  <c r="V130" i="5"/>
  <c r="V128" i="5"/>
  <c r="W128" i="5" s="1"/>
  <c r="V177" i="5"/>
  <c r="W177" i="5" s="1"/>
  <c r="V411" i="5"/>
  <c r="W411" i="5" s="1"/>
  <c r="V245" i="5"/>
  <c r="W245" i="5" s="1"/>
  <c r="V356" i="5"/>
  <c r="V469" i="5"/>
  <c r="V190" i="5"/>
  <c r="V285" i="5"/>
  <c r="V147" i="5"/>
  <c r="V88" i="5"/>
  <c r="W88" i="5" s="1"/>
  <c r="V278" i="5"/>
  <c r="W278" i="5" s="1"/>
  <c r="V333" i="5"/>
  <c r="W333" i="5" s="1"/>
  <c r="V343" i="5"/>
  <c r="V295" i="5"/>
  <c r="V185" i="5"/>
  <c r="V122" i="5"/>
  <c r="V382" i="5"/>
  <c r="V135" i="5"/>
  <c r="V179" i="5"/>
  <c r="W179" i="5" s="1"/>
  <c r="V330" i="5"/>
  <c r="W330" i="5" s="1"/>
  <c r="V123" i="5"/>
  <c r="W123" i="5" s="1"/>
  <c r="V374" i="5"/>
  <c r="V338" i="5"/>
  <c r="V319" i="5"/>
  <c r="V258" i="5"/>
  <c r="V251" i="5"/>
  <c r="V239" i="5"/>
  <c r="V423" i="5"/>
  <c r="W423" i="5" s="1"/>
  <c r="V105" i="5"/>
  <c r="V350" i="5"/>
  <c r="V199" i="5"/>
  <c r="V70" i="5"/>
  <c r="V313" i="5"/>
  <c r="V146" i="5"/>
  <c r="W146" i="5" s="1"/>
  <c r="V82" i="5"/>
  <c r="V198" i="5"/>
  <c r="W198" i="5" s="1"/>
  <c r="V80" i="5"/>
  <c r="V305" i="5"/>
  <c r="V83" i="5"/>
  <c r="V113" i="5"/>
  <c r="V375" i="5"/>
  <c r="V172" i="5"/>
  <c r="V458" i="5"/>
  <c r="W458" i="5" s="1"/>
  <c r="V112" i="5"/>
  <c r="W112" i="5" s="1"/>
  <c r="V271" i="5"/>
  <c r="V196" i="5"/>
  <c r="V297" i="5"/>
  <c r="V126" i="5"/>
  <c r="V197" i="5"/>
  <c r="V246" i="5"/>
  <c r="V187" i="5"/>
  <c r="V307" i="5"/>
  <c r="W307" i="5" s="1"/>
  <c r="V205" i="5"/>
  <c r="V215" i="5"/>
  <c r="V229" i="5"/>
  <c r="V173" i="5"/>
  <c r="V365" i="5"/>
  <c r="V264" i="5"/>
  <c r="V309" i="5"/>
  <c r="V86" i="5"/>
  <c r="W86" i="5" s="1"/>
  <c r="V81" i="5"/>
  <c r="V162" i="5"/>
  <c r="V224" i="5"/>
  <c r="V270" i="5"/>
  <c r="V400" i="5"/>
  <c r="V242" i="5"/>
  <c r="W242" i="5" s="1"/>
  <c r="V367" i="5"/>
  <c r="W367" i="5" s="1"/>
  <c r="V327" i="5"/>
  <c r="W327" i="5" s="1"/>
  <c r="V339" i="5"/>
  <c r="V160" i="5"/>
  <c r="V256" i="5"/>
  <c r="V180" i="5"/>
  <c r="V201" i="5"/>
  <c r="V237" i="5"/>
  <c r="V366" i="5"/>
  <c r="W366" i="5" s="1"/>
  <c r="V240" i="5"/>
  <c r="W240" i="5" s="1"/>
  <c r="V136" i="5"/>
  <c r="V399" i="5"/>
  <c r="V415" i="5"/>
  <c r="V166" i="5"/>
  <c r="V203" i="5"/>
  <c r="V207" i="5"/>
  <c r="V292" i="5"/>
  <c r="V100" i="5"/>
  <c r="W100" i="5" s="1"/>
  <c r="V163" i="5"/>
  <c r="V104" i="5"/>
  <c r="V117" i="5"/>
  <c r="V183" i="5"/>
  <c r="V433" i="5"/>
  <c r="V87" i="5"/>
  <c r="V388" i="5"/>
  <c r="W388" i="5" s="1"/>
  <c r="V430" i="5"/>
  <c r="W430" i="5" s="1"/>
  <c r="V341" i="5"/>
  <c r="V121" i="5"/>
  <c r="V132" i="5"/>
  <c r="V302" i="5"/>
  <c r="V316" i="5"/>
  <c r="V483" i="5"/>
  <c r="W483" i="5" s="1"/>
  <c r="V263" i="5"/>
  <c r="W263" i="5" s="1"/>
  <c r="V175" i="5"/>
  <c r="W175" i="5" s="1"/>
  <c r="V111" i="5"/>
  <c r="V139" i="5"/>
  <c r="V141" i="5"/>
  <c r="V380" i="5"/>
  <c r="V110" i="5"/>
  <c r="V231" i="5"/>
  <c r="V176" i="5"/>
  <c r="V202" i="5"/>
  <c r="W202" i="5" s="1"/>
  <c r="V409" i="5"/>
  <c r="V298" i="5"/>
  <c r="V115" i="5"/>
  <c r="V151" i="5"/>
  <c r="V328" i="5"/>
  <c r="V426" i="5"/>
  <c r="W426" i="5" s="1"/>
  <c r="V405" i="5"/>
  <c r="W405" i="5" s="1"/>
  <c r="V188" i="5"/>
  <c r="W188" i="5" s="1"/>
  <c r="V142" i="5"/>
  <c r="V385" i="5"/>
  <c r="V72" i="5"/>
  <c r="V392" i="5"/>
  <c r="V79" i="5"/>
  <c r="V124" i="5"/>
  <c r="V154" i="5"/>
  <c r="V300" i="5"/>
  <c r="W300" i="5" s="1"/>
  <c r="V362" i="5"/>
  <c r="V84" i="5"/>
  <c r="V125" i="5"/>
  <c r="V232" i="5"/>
  <c r="V192" i="5"/>
  <c r="V64" i="5"/>
  <c r="V214" i="5"/>
  <c r="V155" i="5"/>
  <c r="W155" i="5" s="1"/>
  <c r="V358" i="5"/>
  <c r="V235" i="5"/>
  <c r="V120" i="5"/>
  <c r="V144" i="5"/>
  <c r="V69" i="5"/>
  <c r="V225" i="5"/>
  <c r="W225" i="5" s="1"/>
  <c r="V174" i="5"/>
  <c r="V401" i="5"/>
  <c r="W401" i="5" s="1"/>
  <c r="V77" i="5"/>
  <c r="V457" i="5"/>
  <c r="V186" i="5"/>
  <c r="V102" i="5"/>
  <c r="V418" i="5"/>
  <c r="V337" i="5"/>
  <c r="W337" i="5" s="1"/>
  <c r="V451" i="5"/>
  <c r="W451" i="5" s="1"/>
  <c r="V332" i="5"/>
  <c r="W332" i="5" s="1"/>
  <c r="V164" i="5"/>
  <c r="V378" i="5"/>
  <c r="V404" i="5"/>
  <c r="V143" i="5"/>
  <c r="V212" i="5"/>
  <c r="V43" i="5"/>
  <c r="W43" i="5" s="1"/>
  <c r="V395" i="5"/>
  <c r="W395" i="5" s="1"/>
  <c r="V397" i="5"/>
  <c r="W397" i="5" s="1"/>
  <c r="V294" i="5"/>
  <c r="V236" i="5"/>
  <c r="V161" i="5"/>
  <c r="V314" i="5"/>
  <c r="V228" i="5"/>
  <c r="V342" i="5"/>
  <c r="W342" i="5" s="1"/>
  <c r="V478" i="5"/>
  <c r="W478" i="5" s="1"/>
  <c r="V247" i="5"/>
  <c r="W247" i="5" s="1"/>
  <c r="V293" i="5"/>
  <c r="V372" i="5"/>
  <c r="V157" i="5"/>
  <c r="V303" i="5"/>
  <c r="V131" i="5"/>
  <c r="V272" i="5"/>
  <c r="W272" i="5" s="1"/>
  <c r="V428" i="5"/>
  <c r="W428" i="5" s="1"/>
  <c r="V218" i="5"/>
  <c r="W218" i="5" s="1"/>
  <c r="V379" i="5"/>
  <c r="V93" i="5"/>
  <c r="V376" i="5"/>
  <c r="V286" i="5"/>
  <c r="V249" i="5"/>
  <c r="V114" i="5"/>
  <c r="W114" i="5" s="1"/>
  <c r="V336" i="5"/>
  <c r="W336" i="5" s="1"/>
  <c r="V360" i="5"/>
  <c r="W360" i="5" s="1"/>
  <c r="V233" i="5"/>
  <c r="V381" i="5"/>
  <c r="V419" i="5"/>
  <c r="V437" i="5"/>
  <c r="V257" i="5"/>
  <c r="V463" i="5"/>
  <c r="W463" i="5" s="1"/>
  <c r="V195" i="5"/>
  <c r="W195" i="5" s="1"/>
  <c r="V25" i="5"/>
  <c r="W25" i="5" s="1"/>
  <c r="V223" i="5"/>
  <c r="V57" i="5"/>
  <c r="V222" i="5"/>
  <c r="V200" i="5"/>
  <c r="V269" i="5"/>
  <c r="V346" i="5"/>
  <c r="W346" i="5" s="1"/>
  <c r="V318" i="5"/>
  <c r="W318" i="5" s="1"/>
  <c r="V334" i="5"/>
  <c r="W334" i="5" s="1"/>
  <c r="V413" i="5"/>
  <c r="V353" i="5"/>
  <c r="V317" i="5"/>
  <c r="V259" i="5"/>
  <c r="V312" i="5"/>
  <c r="V213" i="5"/>
  <c r="W213" i="5" s="1"/>
  <c r="V266" i="5"/>
  <c r="W266" i="5" s="1"/>
  <c r="V133" i="5"/>
  <c r="W133" i="5" s="1"/>
  <c r="V149" i="5"/>
  <c r="V171" i="5"/>
  <c r="V206" i="5"/>
  <c r="V5" i="5"/>
  <c r="W5" i="5" s="1"/>
  <c r="V6" i="5"/>
  <c r="W6" i="5" s="1"/>
  <c r="V7" i="5"/>
  <c r="W7" i="5" s="1"/>
  <c r="V8" i="5"/>
  <c r="W8" i="5" s="1"/>
  <c r="V9" i="5"/>
  <c r="W9" i="5" s="1"/>
  <c r="V10" i="5"/>
  <c r="W10" i="5" s="1"/>
  <c r="V11" i="5"/>
  <c r="V492" i="5"/>
  <c r="V493" i="5"/>
  <c r="W493" i="5" s="1"/>
  <c r="V494" i="5"/>
  <c r="W494" i="5" s="1"/>
  <c r="V495" i="5"/>
  <c r="W495" i="5" s="1"/>
  <c r="V496" i="5"/>
  <c r="W496" i="5" s="1"/>
  <c r="V497" i="5"/>
  <c r="W497" i="5" s="1"/>
  <c r="V498" i="5"/>
  <c r="V499" i="5"/>
  <c r="V500" i="5"/>
  <c r="W500" i="5" s="1"/>
  <c r="V501" i="5"/>
  <c r="W501" i="5" s="1"/>
  <c r="V502" i="5"/>
  <c r="V503" i="5"/>
  <c r="W503" i="5" s="1"/>
  <c r="V504" i="5"/>
  <c r="W504" i="5" s="1"/>
  <c r="V505" i="5"/>
  <c r="W505" i="5" s="1"/>
  <c r="V506" i="5"/>
  <c r="V507" i="5"/>
  <c r="V508" i="5"/>
  <c r="W508" i="5" s="1"/>
  <c r="V509" i="5"/>
  <c r="V510" i="5"/>
  <c r="V511" i="5"/>
  <c r="V512" i="5"/>
  <c r="W512" i="5" s="1"/>
  <c r="V513" i="5"/>
  <c r="W513" i="5" s="1"/>
  <c r="V514" i="5"/>
  <c r="V515" i="5"/>
  <c r="W515" i="5" s="1"/>
  <c r="V516" i="5"/>
  <c r="V517" i="5"/>
  <c r="V486" i="5"/>
  <c r="V519" i="5"/>
  <c r="W519" i="5" s="1"/>
  <c r="V520" i="5"/>
  <c r="V521" i="5"/>
  <c r="W521" i="5" s="1"/>
  <c r="V522" i="5"/>
  <c r="V523" i="5"/>
  <c r="V524" i="5"/>
  <c r="V525" i="5"/>
  <c r="W525" i="5" s="1"/>
  <c r="V526" i="5"/>
  <c r="V527" i="5"/>
  <c r="W527" i="5" s="1"/>
  <c r="V528" i="5"/>
  <c r="W528" i="5" s="1"/>
  <c r="V529" i="5"/>
  <c r="W529" i="5" s="1"/>
  <c r="V530" i="5"/>
  <c r="W530" i="5" s="1"/>
  <c r="V531" i="5"/>
  <c r="W531" i="5" s="1"/>
  <c r="V532" i="5"/>
  <c r="W532" i="5" s="1"/>
  <c r="V533" i="5"/>
  <c r="W533" i="5" s="1"/>
  <c r="V534" i="5"/>
  <c r="W534" i="5" s="1"/>
  <c r="V535" i="5"/>
  <c r="W535" i="5" s="1"/>
  <c r="V536" i="5"/>
  <c r="W536" i="5" s="1"/>
  <c r="V537" i="5"/>
  <c r="W537" i="5" s="1"/>
  <c r="V538" i="5"/>
  <c r="W538" i="5" s="1"/>
  <c r="V539" i="5"/>
  <c r="W539" i="5" s="1"/>
  <c r="V540" i="5"/>
  <c r="V541" i="5"/>
  <c r="V542" i="5"/>
  <c r="V543" i="5"/>
  <c r="W543" i="5" s="1"/>
  <c r="V544" i="5"/>
  <c r="W544" i="5" s="1"/>
  <c r="K223" i="54"/>
  <c r="L223" i="54"/>
  <c r="M223" i="54"/>
  <c r="K224" i="54"/>
  <c r="L224" i="54"/>
  <c r="M224" i="54"/>
  <c r="K225" i="54"/>
  <c r="L225" i="54"/>
  <c r="K187" i="54"/>
  <c r="L187" i="54"/>
  <c r="M187" i="54"/>
  <c r="K188" i="54"/>
  <c r="L188" i="54"/>
  <c r="M188" i="54"/>
  <c r="K189" i="54"/>
  <c r="L189" i="54"/>
  <c r="M189" i="54"/>
  <c r="K168" i="54"/>
  <c r="L168" i="54"/>
  <c r="M168" i="54"/>
  <c r="K169" i="54"/>
  <c r="L169" i="54"/>
  <c r="M169" i="54"/>
  <c r="K170" i="54"/>
  <c r="L170" i="54"/>
  <c r="M170" i="54"/>
  <c r="K131" i="54"/>
  <c r="L131" i="54"/>
  <c r="M131" i="54"/>
  <c r="K132" i="54"/>
  <c r="L132" i="54"/>
  <c r="M132" i="54"/>
  <c r="K133" i="54"/>
  <c r="L133" i="54"/>
  <c r="M133" i="54"/>
  <c r="K112" i="54"/>
  <c r="L112" i="54"/>
  <c r="M112" i="54"/>
  <c r="K113" i="54"/>
  <c r="L113" i="54"/>
  <c r="M113" i="54"/>
  <c r="K114" i="54"/>
  <c r="L114" i="54"/>
  <c r="M114" i="54"/>
  <c r="K92" i="54"/>
  <c r="L92" i="54"/>
  <c r="M92" i="54"/>
  <c r="K93" i="54"/>
  <c r="L93" i="54"/>
  <c r="M93" i="54"/>
  <c r="K94" i="54"/>
  <c r="L94" i="54"/>
  <c r="M94" i="54"/>
  <c r="K75" i="54"/>
  <c r="L75" i="54"/>
  <c r="M75" i="54"/>
  <c r="K76" i="54"/>
  <c r="L76" i="54"/>
  <c r="M76" i="54"/>
  <c r="K77" i="54"/>
  <c r="L77" i="54"/>
  <c r="M77" i="54"/>
  <c r="N79" i="54"/>
  <c r="G610" i="27"/>
  <c r="G611" i="27"/>
  <c r="G612" i="27"/>
  <c r="G613" i="27"/>
  <c r="G614" i="27"/>
  <c r="G615" i="27"/>
  <c r="G616" i="27"/>
  <c r="G617" i="27"/>
  <c r="G618" i="27"/>
  <c r="G619" i="27"/>
  <c r="G620" i="27"/>
  <c r="G621" i="27"/>
  <c r="G622" i="27"/>
  <c r="G623" i="27"/>
  <c r="G624" i="27"/>
  <c r="G625" i="27"/>
  <c r="G626" i="27"/>
  <c r="G627" i="27"/>
  <c r="G628" i="27"/>
  <c r="G629" i="27"/>
  <c r="G630" i="27"/>
  <c r="G631" i="27"/>
  <c r="G632" i="27"/>
  <c r="G633" i="27"/>
  <c r="G634" i="27"/>
  <c r="G635" i="27"/>
  <c r="G636" i="27"/>
  <c r="G637" i="27"/>
  <c r="G638" i="27"/>
  <c r="G639" i="27"/>
  <c r="G640" i="27"/>
  <c r="G641" i="27"/>
  <c r="G642" i="27"/>
  <c r="G609" i="27"/>
  <c r="S431" i="19"/>
  <c r="S430" i="19"/>
  <c r="P431" i="19"/>
  <c r="P430" i="19"/>
  <c r="S429" i="19"/>
  <c r="S428" i="19"/>
  <c r="P429" i="19"/>
  <c r="P428" i="19"/>
  <c r="S427" i="19"/>
  <c r="S426" i="19"/>
  <c r="P427" i="19"/>
  <c r="P426" i="19"/>
  <c r="S425" i="19"/>
  <c r="S424" i="19"/>
  <c r="P425" i="19"/>
  <c r="P424" i="19"/>
  <c r="S423" i="19"/>
  <c r="S422" i="19"/>
  <c r="P423" i="19"/>
  <c r="P422" i="19"/>
  <c r="S421" i="19"/>
  <c r="S420" i="19"/>
  <c r="P420" i="19"/>
  <c r="P421" i="19"/>
  <c r="Q421" i="19" s="1"/>
  <c r="S419" i="19"/>
  <c r="S418" i="19"/>
  <c r="P419" i="19"/>
  <c r="P418" i="19"/>
  <c r="S417" i="19"/>
  <c r="S416" i="19"/>
  <c r="P417" i="19"/>
  <c r="P416" i="19"/>
  <c r="S435" i="19"/>
  <c r="S434" i="19"/>
  <c r="P435" i="19"/>
  <c r="P434" i="19"/>
  <c r="S433" i="19"/>
  <c r="S432" i="19"/>
  <c r="P433" i="19"/>
  <c r="P432" i="19"/>
  <c r="M416" i="19"/>
  <c r="M417" i="19"/>
  <c r="M418" i="19"/>
  <c r="M419" i="19"/>
  <c r="M420" i="19"/>
  <c r="M421" i="19"/>
  <c r="M422" i="19"/>
  <c r="M423" i="19"/>
  <c r="M424" i="19"/>
  <c r="M425" i="19"/>
  <c r="M426" i="19"/>
  <c r="M427" i="19"/>
  <c r="M428" i="19"/>
  <c r="M429" i="19"/>
  <c r="M430" i="19"/>
  <c r="Q430" i="19" s="1"/>
  <c r="M431" i="19"/>
  <c r="M432" i="19"/>
  <c r="M433" i="19"/>
  <c r="M434" i="19"/>
  <c r="M435" i="19"/>
  <c r="H683" i="27"/>
  <c r="H684" i="27"/>
  <c r="H685" i="27"/>
  <c r="H686" i="27"/>
  <c r="H687" i="27"/>
  <c r="H688" i="27"/>
  <c r="H689" i="27"/>
  <c r="H690" i="27"/>
  <c r="H691" i="27"/>
  <c r="I691" i="27"/>
  <c r="I690" i="27"/>
  <c r="I689" i="27"/>
  <c r="I688" i="27"/>
  <c r="I687" i="27"/>
  <c r="I686" i="27"/>
  <c r="I685" i="27"/>
  <c r="I684" i="27"/>
  <c r="I683" i="27"/>
  <c r="I682" i="27"/>
  <c r="H682" i="27"/>
  <c r="H676" i="27"/>
  <c r="H677" i="27"/>
  <c r="H678" i="27"/>
  <c r="H679" i="27"/>
  <c r="H680" i="27"/>
  <c r="H681" i="27"/>
  <c r="I681" i="27"/>
  <c r="I680" i="27"/>
  <c r="I679" i="27"/>
  <c r="I678" i="27"/>
  <c r="I677" i="27"/>
  <c r="I676" i="27"/>
  <c r="H675" i="27"/>
  <c r="I675" i="27"/>
  <c r="I674" i="27"/>
  <c r="H674" i="27"/>
  <c r="H673" i="27"/>
  <c r="I673" i="27"/>
  <c r="H660" i="27"/>
  <c r="H661" i="27"/>
  <c r="H662" i="27"/>
  <c r="H663" i="27"/>
  <c r="H664" i="27"/>
  <c r="H665" i="27"/>
  <c r="H666" i="27"/>
  <c r="H667" i="27"/>
  <c r="H668" i="27"/>
  <c r="H669" i="27"/>
  <c r="H670" i="27"/>
  <c r="H671" i="27"/>
  <c r="H672" i="27"/>
  <c r="I672" i="27"/>
  <c r="I671" i="27"/>
  <c r="I670" i="27"/>
  <c r="I669" i="27"/>
  <c r="I668" i="27"/>
  <c r="I667" i="27"/>
  <c r="I666" i="27"/>
  <c r="I665" i="27"/>
  <c r="I664" i="27"/>
  <c r="I663" i="27"/>
  <c r="I662" i="27"/>
  <c r="I661" i="27"/>
  <c r="I660" i="27"/>
  <c r="I659" i="27"/>
  <c r="H659" i="27"/>
  <c r="I658" i="27"/>
  <c r="I657" i="27"/>
  <c r="I656" i="27"/>
  <c r="I655" i="27"/>
  <c r="I654" i="27"/>
  <c r="I653" i="27"/>
  <c r="S413" i="19"/>
  <c r="S412" i="19"/>
  <c r="P413" i="19"/>
  <c r="P412" i="19"/>
  <c r="S411" i="19"/>
  <c r="S410" i="19"/>
  <c r="P411" i="19"/>
  <c r="P410" i="19"/>
  <c r="S409" i="19"/>
  <c r="S408" i="19"/>
  <c r="P409" i="19"/>
  <c r="P408" i="19"/>
  <c r="I652" i="27"/>
  <c r="I651" i="27"/>
  <c r="I650" i="27"/>
  <c r="I649" i="27"/>
  <c r="I648" i="27"/>
  <c r="H649" i="27"/>
  <c r="H650" i="27"/>
  <c r="H651" i="27"/>
  <c r="H652" i="27"/>
  <c r="H653" i="27"/>
  <c r="H654" i="27"/>
  <c r="H655" i="27"/>
  <c r="S407" i="19"/>
  <c r="H648" i="27"/>
  <c r="S406" i="19"/>
  <c r="P407" i="19"/>
  <c r="P406" i="19"/>
  <c r="S405" i="19"/>
  <c r="S404" i="19"/>
  <c r="P405" i="19"/>
  <c r="P404" i="19"/>
  <c r="S403" i="19"/>
  <c r="S402" i="19"/>
  <c r="P403" i="19"/>
  <c r="P402" i="19"/>
  <c r="I647" i="27"/>
  <c r="H647" i="27"/>
  <c r="I646" i="27"/>
  <c r="S401" i="19"/>
  <c r="S400" i="19"/>
  <c r="P401" i="19"/>
  <c r="P400" i="19"/>
  <c r="S399" i="19"/>
  <c r="S398" i="19"/>
  <c r="P399" i="19"/>
  <c r="P398" i="19"/>
  <c r="S397" i="19"/>
  <c r="S396" i="19"/>
  <c r="P397" i="19"/>
  <c r="P396" i="19"/>
  <c r="S415" i="19"/>
  <c r="S414" i="19"/>
  <c r="P415" i="19"/>
  <c r="P414" i="19"/>
  <c r="M337" i="19"/>
  <c r="M338" i="19"/>
  <c r="M339" i="19"/>
  <c r="M340" i="19"/>
  <c r="M341" i="19"/>
  <c r="M342" i="19"/>
  <c r="M343" i="19"/>
  <c r="M344" i="19"/>
  <c r="M345" i="19"/>
  <c r="M346" i="19"/>
  <c r="M347" i="19"/>
  <c r="M348" i="19"/>
  <c r="M349" i="19"/>
  <c r="M350" i="19"/>
  <c r="M351" i="19"/>
  <c r="M352" i="19"/>
  <c r="M353" i="19"/>
  <c r="M354" i="19"/>
  <c r="M355" i="19"/>
  <c r="M356" i="19"/>
  <c r="M357" i="19"/>
  <c r="M358" i="19"/>
  <c r="M359" i="19"/>
  <c r="M360" i="19"/>
  <c r="M361" i="19"/>
  <c r="M362" i="19"/>
  <c r="M363" i="19"/>
  <c r="M364" i="19"/>
  <c r="M365" i="19"/>
  <c r="M366" i="19"/>
  <c r="M367" i="19"/>
  <c r="M368" i="19"/>
  <c r="M369" i="19"/>
  <c r="M370" i="19"/>
  <c r="M371" i="19"/>
  <c r="M372" i="19"/>
  <c r="M373" i="19"/>
  <c r="M374" i="19"/>
  <c r="M375" i="19"/>
  <c r="M376" i="19"/>
  <c r="M377" i="19"/>
  <c r="Q377" i="19" s="1"/>
  <c r="M378" i="19"/>
  <c r="M379" i="19"/>
  <c r="M380" i="19"/>
  <c r="M381" i="19"/>
  <c r="M382" i="19"/>
  <c r="M383" i="19"/>
  <c r="M384" i="19"/>
  <c r="M385" i="19"/>
  <c r="Q385" i="19" s="1"/>
  <c r="M386" i="19"/>
  <c r="M387" i="19"/>
  <c r="M388" i="19"/>
  <c r="M389" i="19"/>
  <c r="M390" i="19"/>
  <c r="M391" i="19"/>
  <c r="M392" i="19"/>
  <c r="M393" i="19"/>
  <c r="M394" i="19"/>
  <c r="M395" i="19"/>
  <c r="M396" i="19"/>
  <c r="Q396" i="19" s="1"/>
  <c r="M397" i="19"/>
  <c r="M398" i="19"/>
  <c r="M399" i="19"/>
  <c r="Q399" i="19" s="1"/>
  <c r="M400" i="19"/>
  <c r="M401" i="19"/>
  <c r="M402" i="19"/>
  <c r="Q402" i="19" s="1"/>
  <c r="M403" i="19"/>
  <c r="M404" i="19"/>
  <c r="Q404" i="19" s="1"/>
  <c r="M405" i="19"/>
  <c r="M406" i="19"/>
  <c r="M407" i="19"/>
  <c r="M408" i="19"/>
  <c r="M409" i="19"/>
  <c r="M410" i="19"/>
  <c r="M411" i="19"/>
  <c r="M412" i="19"/>
  <c r="M413" i="19"/>
  <c r="M414" i="19"/>
  <c r="M415" i="19"/>
  <c r="Q415" i="19" s="1"/>
  <c r="M336" i="19"/>
  <c r="I645" i="27"/>
  <c r="I644" i="27"/>
  <c r="S393" i="19"/>
  <c r="S392" i="19"/>
  <c r="I643" i="27"/>
  <c r="P393" i="19"/>
  <c r="P392" i="19"/>
  <c r="S391" i="19"/>
  <c r="S390" i="19"/>
  <c r="P391" i="19"/>
  <c r="P390" i="19"/>
  <c r="S389" i="19"/>
  <c r="S388" i="19"/>
  <c r="P389" i="19"/>
  <c r="P388" i="19"/>
  <c r="S387" i="19"/>
  <c r="S386" i="19"/>
  <c r="P387" i="19"/>
  <c r="P386" i="19"/>
  <c r="S385" i="19"/>
  <c r="S384" i="19"/>
  <c r="P385" i="19"/>
  <c r="P384" i="19"/>
  <c r="S383" i="19"/>
  <c r="S382" i="19"/>
  <c r="P383" i="19"/>
  <c r="P382" i="19"/>
  <c r="S381" i="19"/>
  <c r="S380" i="19"/>
  <c r="P381" i="19"/>
  <c r="P380" i="19"/>
  <c r="S379" i="19"/>
  <c r="S378" i="19"/>
  <c r="P379" i="19"/>
  <c r="P378" i="19"/>
  <c r="S377" i="19"/>
  <c r="S376" i="19"/>
  <c r="P377" i="19"/>
  <c r="AL4" i="18"/>
  <c r="AK4" i="18"/>
  <c r="P376" i="19"/>
  <c r="P395" i="19"/>
  <c r="S394" i="19"/>
  <c r="S395" i="19"/>
  <c r="P394" i="19"/>
  <c r="S373" i="19"/>
  <c r="S372" i="19"/>
  <c r="P373" i="19"/>
  <c r="P372" i="19"/>
  <c r="S371" i="19"/>
  <c r="S370" i="19"/>
  <c r="P371" i="19"/>
  <c r="P370" i="19"/>
  <c r="S369" i="19"/>
  <c r="S368" i="19"/>
  <c r="P369" i="19"/>
  <c r="P368" i="19"/>
  <c r="S367" i="19"/>
  <c r="S366" i="19"/>
  <c r="P367" i="19"/>
  <c r="P366" i="19"/>
  <c r="S365" i="19"/>
  <c r="S364" i="19"/>
  <c r="P365" i="19"/>
  <c r="P364" i="19"/>
  <c r="S363" i="19"/>
  <c r="S362" i="19"/>
  <c r="P362" i="19"/>
  <c r="P363" i="19"/>
  <c r="S361" i="19"/>
  <c r="S360" i="19"/>
  <c r="P361" i="19"/>
  <c r="P360" i="19"/>
  <c r="S359" i="19"/>
  <c r="S358" i="19"/>
  <c r="P359" i="19"/>
  <c r="P358" i="19"/>
  <c r="S357" i="19"/>
  <c r="S356" i="19"/>
  <c r="P357" i="19"/>
  <c r="P356" i="19"/>
  <c r="S375" i="19"/>
  <c r="P375" i="19"/>
  <c r="P374" i="19"/>
  <c r="S374" i="19"/>
  <c r="H88" i="26"/>
  <c r="K88" i="26" s="1"/>
  <c r="F87" i="26"/>
  <c r="H87" i="26" s="1"/>
  <c r="K87" i="26" s="1"/>
  <c r="H84" i="26"/>
  <c r="K84" i="26" s="1"/>
  <c r="H85" i="26"/>
  <c r="K85" i="26" s="1"/>
  <c r="H86" i="26"/>
  <c r="K86" i="26" s="1"/>
  <c r="G81" i="26"/>
  <c r="H81" i="26" s="1"/>
  <c r="K81" i="26" s="1"/>
  <c r="F81" i="26"/>
  <c r="G80" i="26"/>
  <c r="F80" i="26"/>
  <c r="G79" i="26"/>
  <c r="F79" i="26"/>
  <c r="G78" i="26"/>
  <c r="F78" i="26"/>
  <c r="G77" i="26"/>
  <c r="F77" i="26"/>
  <c r="G76" i="26"/>
  <c r="F76" i="26"/>
  <c r="H76" i="26" s="1"/>
  <c r="K76" i="26" s="1"/>
  <c r="F75" i="26"/>
  <c r="H75" i="26" s="1"/>
  <c r="K75" i="26" s="1"/>
  <c r="G74" i="26"/>
  <c r="H74" i="26" s="1"/>
  <c r="K74" i="26" s="1"/>
  <c r="F74" i="26"/>
  <c r="H82" i="26"/>
  <c r="K82" i="26" s="1"/>
  <c r="H83" i="26"/>
  <c r="K83" i="26" s="1"/>
  <c r="G73" i="26"/>
  <c r="F73" i="26"/>
  <c r="G72" i="26"/>
  <c r="F72" i="26"/>
  <c r="G71" i="26"/>
  <c r="F71" i="26"/>
  <c r="G69" i="26"/>
  <c r="H69" i="26" s="1"/>
  <c r="K69" i="26" s="1"/>
  <c r="F69" i="26"/>
  <c r="G68" i="26"/>
  <c r="F68" i="26"/>
  <c r="G67" i="26"/>
  <c r="F67" i="26"/>
  <c r="G66" i="26"/>
  <c r="F66" i="26"/>
  <c r="G65" i="26"/>
  <c r="F65" i="26"/>
  <c r="G64" i="26"/>
  <c r="F64" i="26"/>
  <c r="H70" i="26"/>
  <c r="K70" i="26" s="1"/>
  <c r="G63" i="26"/>
  <c r="F63" i="26"/>
  <c r="G62" i="26"/>
  <c r="H62" i="26" s="1"/>
  <c r="K62" i="26" s="1"/>
  <c r="F62" i="26"/>
  <c r="I642" i="27"/>
  <c r="I641" i="27"/>
  <c r="G61" i="26"/>
  <c r="F61" i="26"/>
  <c r="I640" i="27"/>
  <c r="I639" i="27"/>
  <c r="I638" i="27"/>
  <c r="I637" i="27"/>
  <c r="G60" i="26"/>
  <c r="F60" i="26"/>
  <c r="H60" i="26"/>
  <c r="K60" i="26" s="1"/>
  <c r="G59" i="26"/>
  <c r="F59" i="26"/>
  <c r="H59" i="26" s="1"/>
  <c r="K59" i="26" s="1"/>
  <c r="G58" i="26"/>
  <c r="F58" i="26"/>
  <c r="G57" i="26"/>
  <c r="F57" i="26"/>
  <c r="I636" i="27"/>
  <c r="I635" i="27"/>
  <c r="G56" i="26"/>
  <c r="F56" i="26"/>
  <c r="I634" i="27"/>
  <c r="I633" i="27"/>
  <c r="G55" i="26"/>
  <c r="F55" i="26"/>
  <c r="G54" i="26"/>
  <c r="F54" i="26"/>
  <c r="H54" i="26" s="1"/>
  <c r="K54" i="26" s="1"/>
  <c r="I632" i="27"/>
  <c r="I631" i="27"/>
  <c r="G53" i="26"/>
  <c r="I630" i="27"/>
  <c r="F53" i="26"/>
  <c r="G52" i="26"/>
  <c r="F52" i="26"/>
  <c r="H52" i="26" s="1"/>
  <c r="K52" i="26" s="1"/>
  <c r="G51" i="26"/>
  <c r="F51" i="26"/>
  <c r="H51" i="26" s="1"/>
  <c r="K51" i="26" s="1"/>
  <c r="I629" i="27"/>
  <c r="I628" i="27"/>
  <c r="I627" i="27"/>
  <c r="I626" i="27"/>
  <c r="I625" i="27"/>
  <c r="I624" i="27"/>
  <c r="I623" i="27"/>
  <c r="I622" i="27"/>
  <c r="I621" i="27"/>
  <c r="I620" i="27"/>
  <c r="I619" i="27"/>
  <c r="I618" i="27"/>
  <c r="I617" i="27"/>
  <c r="I616" i="27"/>
  <c r="I615" i="27"/>
  <c r="I614" i="27"/>
  <c r="I613" i="27"/>
  <c r="I612" i="27"/>
  <c r="I611" i="27"/>
  <c r="I610" i="27"/>
  <c r="I609" i="27"/>
  <c r="I482" i="27"/>
  <c r="I483" i="27"/>
  <c r="I484" i="27"/>
  <c r="I485" i="27"/>
  <c r="I486" i="27"/>
  <c r="I487" i="27"/>
  <c r="I488" i="27"/>
  <c r="I489" i="27"/>
  <c r="I490" i="27"/>
  <c r="I491" i="27"/>
  <c r="I492" i="27"/>
  <c r="I493" i="27"/>
  <c r="I494" i="27"/>
  <c r="I495" i="27"/>
  <c r="I496" i="27"/>
  <c r="I497" i="27"/>
  <c r="I498" i="27"/>
  <c r="I499" i="27"/>
  <c r="I500" i="27"/>
  <c r="I501" i="27"/>
  <c r="I502" i="27"/>
  <c r="I503" i="27"/>
  <c r="I504" i="27"/>
  <c r="I505" i="27"/>
  <c r="I506" i="27"/>
  <c r="I507" i="27"/>
  <c r="I508" i="27"/>
  <c r="I509" i="27"/>
  <c r="I510" i="27"/>
  <c r="I511" i="27"/>
  <c r="I512" i="27"/>
  <c r="I513" i="27"/>
  <c r="I526" i="27"/>
  <c r="I527" i="27"/>
  <c r="I531" i="27"/>
  <c r="I532" i="27"/>
  <c r="F521" i="27"/>
  <c r="I521" i="27"/>
  <c r="I583" i="27"/>
  <c r="I539" i="27"/>
  <c r="I540" i="27"/>
  <c r="I541" i="27"/>
  <c r="I542" i="27"/>
  <c r="I559" i="27"/>
  <c r="I561" i="27"/>
  <c r="I562" i="27"/>
  <c r="I571" i="27"/>
  <c r="I182" i="27"/>
  <c r="I522" i="27"/>
  <c r="I536" i="27"/>
  <c r="I555" i="27"/>
  <c r="I186" i="27"/>
  <c r="I537" i="27"/>
  <c r="I548" i="27"/>
  <c r="I538" i="27"/>
  <c r="I523" i="27"/>
  <c r="I187" i="27"/>
  <c r="I551" i="27"/>
  <c r="I550" i="27"/>
  <c r="I25" i="27"/>
  <c r="F556" i="27"/>
  <c r="I556" i="27"/>
  <c r="I534" i="27"/>
  <c r="I171" i="27"/>
  <c r="I544" i="27"/>
  <c r="I518" i="27"/>
  <c r="I188" i="27"/>
  <c r="I189" i="27"/>
  <c r="I168" i="27"/>
  <c r="I524" i="27"/>
  <c r="I515" i="27"/>
  <c r="I528" i="27"/>
  <c r="I514" i="27"/>
  <c r="I516" i="27"/>
  <c r="I26" i="27"/>
  <c r="I177" i="27"/>
  <c r="I519" i="27"/>
  <c r="I545" i="27"/>
  <c r="F557" i="27"/>
  <c r="I557" i="27"/>
  <c r="I167" i="27"/>
  <c r="I546" i="27"/>
  <c r="I535" i="27"/>
  <c r="I529" i="27"/>
  <c r="I530" i="27"/>
  <c r="I568" i="27"/>
  <c r="I579" i="27"/>
  <c r="I575" i="27"/>
  <c r="I590" i="27"/>
  <c r="I589" i="27"/>
  <c r="I588" i="27"/>
  <c r="I587" i="27"/>
  <c r="I585" i="27"/>
  <c r="I586" i="27"/>
  <c r="I584" i="27"/>
  <c r="I582" i="27"/>
  <c r="I581" i="27"/>
  <c r="I580" i="27"/>
  <c r="I578" i="27"/>
  <c r="I574" i="27"/>
  <c r="I570" i="27"/>
  <c r="I567" i="27"/>
  <c r="I577" i="27"/>
  <c r="I573" i="27"/>
  <c r="I569" i="27"/>
  <c r="I566" i="27"/>
  <c r="I565" i="27"/>
  <c r="I564" i="27"/>
  <c r="I558" i="27"/>
  <c r="I563" i="27"/>
  <c r="I552" i="27"/>
  <c r="I560" i="27"/>
  <c r="I549" i="27"/>
  <c r="I576" i="27"/>
  <c r="I572" i="27"/>
  <c r="I608" i="27"/>
  <c r="I607" i="27"/>
  <c r="I606" i="27"/>
  <c r="I605" i="27"/>
  <c r="I604" i="27"/>
  <c r="AD9" i="19"/>
  <c r="Q451" i="19"/>
  <c r="I603" i="27"/>
  <c r="I602" i="27"/>
  <c r="I601" i="27"/>
  <c r="I600" i="27"/>
  <c r="I599" i="27"/>
  <c r="I598" i="27"/>
  <c r="I597" i="27"/>
  <c r="I596" i="27"/>
  <c r="I595" i="27"/>
  <c r="I594" i="27"/>
  <c r="L26" i="62"/>
  <c r="L131" i="62"/>
  <c r="L30" i="62"/>
  <c r="L105" i="62"/>
  <c r="L91" i="62"/>
  <c r="L20" i="62"/>
  <c r="L79" i="62"/>
  <c r="L238" i="62"/>
  <c r="L153" i="62"/>
  <c r="L220" i="62"/>
  <c r="L233" i="62"/>
  <c r="L229" i="62"/>
  <c r="L182" i="62"/>
  <c r="L237" i="62"/>
  <c r="L200" i="62"/>
  <c r="L88" i="62"/>
  <c r="L134" i="62"/>
  <c r="L82" i="62"/>
  <c r="L113" i="62"/>
  <c r="L151" i="62"/>
  <c r="L55" i="62"/>
  <c r="L221" i="62"/>
  <c r="L9" i="62"/>
  <c r="L12" i="62"/>
  <c r="L10" i="62"/>
  <c r="L43" i="62"/>
  <c r="L44" i="62"/>
  <c r="L19" i="62"/>
  <c r="L62" i="62"/>
  <c r="L63" i="62"/>
  <c r="L7" i="62"/>
  <c r="L50" i="62"/>
  <c r="L46" i="62"/>
  <c r="L207" i="62"/>
  <c r="L98" i="62"/>
  <c r="L129" i="62"/>
  <c r="L27" i="62"/>
  <c r="L15" i="62"/>
  <c r="L218" i="62"/>
  <c r="L178" i="62"/>
  <c r="L187" i="62"/>
  <c r="L4" i="62"/>
  <c r="L193" i="62"/>
  <c r="L61" i="62"/>
  <c r="L217" i="62"/>
  <c r="L189" i="62"/>
  <c r="L8" i="62"/>
  <c r="L41" i="62"/>
  <c r="L171" i="62"/>
  <c r="L66" i="62"/>
  <c r="L40" i="62"/>
  <c r="L183" i="62"/>
  <c r="L115" i="62"/>
  <c r="L186" i="62"/>
  <c r="L142" i="62"/>
  <c r="L103" i="62"/>
  <c r="L225" i="62"/>
  <c r="L25" i="62"/>
  <c r="L212" i="62"/>
  <c r="L45" i="62"/>
  <c r="L173" i="62"/>
  <c r="L194" i="62"/>
  <c r="L76" i="62"/>
  <c r="L102" i="62"/>
  <c r="L93" i="62"/>
  <c r="L68" i="62"/>
  <c r="L209" i="62"/>
  <c r="L109" i="62"/>
  <c r="L22" i="62"/>
  <c r="L148" i="62"/>
  <c r="L39" i="62"/>
  <c r="L127" i="62"/>
  <c r="L235" i="62"/>
  <c r="L73" i="62"/>
  <c r="L69" i="62"/>
  <c r="L11" i="62"/>
  <c r="L214" i="62"/>
  <c r="L196" i="62"/>
  <c r="L138" i="62"/>
  <c r="L118" i="62"/>
  <c r="L87" i="62"/>
  <c r="L136" i="62"/>
  <c r="L60" i="62"/>
  <c r="L56" i="62"/>
  <c r="L59" i="62"/>
  <c r="L16" i="62"/>
  <c r="L164" i="62"/>
  <c r="L161" i="62"/>
  <c r="L18" i="62"/>
  <c r="L23" i="62"/>
  <c r="L80" i="62"/>
  <c r="L36" i="62"/>
  <c r="L33" i="62"/>
  <c r="L48" i="62"/>
  <c r="L37" i="62"/>
  <c r="L65" i="62"/>
  <c r="L112" i="62"/>
  <c r="L47" i="62"/>
  <c r="L24" i="62"/>
  <c r="L222" i="62"/>
  <c r="L210" i="62"/>
  <c r="L13" i="62"/>
  <c r="L74" i="62"/>
  <c r="L133" i="62"/>
  <c r="L144" i="62"/>
  <c r="L195" i="62"/>
  <c r="L154" i="62"/>
  <c r="L174" i="62"/>
  <c r="L135" i="62"/>
  <c r="L147" i="62"/>
  <c r="L14" i="62"/>
  <c r="L198" i="62"/>
  <c r="L42" i="62"/>
  <c r="L119" i="62"/>
  <c r="L99" i="62"/>
  <c r="L92" i="62"/>
  <c r="L224" i="62"/>
  <c r="L17" i="62"/>
  <c r="L53" i="62"/>
  <c r="L175" i="62"/>
  <c r="L166" i="62"/>
  <c r="L181" i="62"/>
  <c r="L106" i="62"/>
  <c r="L54" i="62"/>
  <c r="L180" i="62"/>
  <c r="L117" i="62"/>
  <c r="L28" i="62"/>
  <c r="L29" i="62"/>
  <c r="L78" i="62"/>
  <c r="L199" i="62"/>
  <c r="L72" i="62"/>
  <c r="L32" i="62"/>
  <c r="L167" i="62"/>
  <c r="L137" i="62"/>
  <c r="L75" i="62"/>
  <c r="L123" i="62"/>
  <c r="L95" i="62"/>
  <c r="L58" i="62"/>
  <c r="L163" i="62"/>
  <c r="L77" i="62"/>
  <c r="L177" i="62"/>
  <c r="L97" i="62"/>
  <c r="L96" i="62"/>
  <c r="L208" i="62"/>
  <c r="L57" i="62"/>
  <c r="L206" i="62"/>
  <c r="L202" i="62"/>
  <c r="L86" i="62"/>
  <c r="L34" i="62"/>
  <c r="L204" i="62"/>
  <c r="L228" i="62"/>
  <c r="L130" i="62"/>
  <c r="L157" i="62"/>
  <c r="L205" i="62"/>
  <c r="L188" i="62"/>
  <c r="L179" i="62"/>
  <c r="L216" i="62"/>
  <c r="L146" i="62"/>
  <c r="L108" i="62"/>
  <c r="L160" i="62"/>
  <c r="L197" i="62"/>
  <c r="L64" i="62"/>
  <c r="L203" i="62"/>
  <c r="L170" i="62"/>
  <c r="L85" i="62"/>
  <c r="L158" i="62"/>
  <c r="L231" i="62"/>
  <c r="L234" i="62"/>
  <c r="L35" i="62"/>
  <c r="L70" i="62"/>
  <c r="L176" i="62"/>
  <c r="L121" i="62"/>
  <c r="L184" i="62"/>
  <c r="L21" i="62"/>
  <c r="L191" i="62"/>
  <c r="L38" i="62"/>
  <c r="L159" i="62"/>
  <c r="L227" i="62"/>
  <c r="L31" i="62"/>
  <c r="L145" i="62"/>
  <c r="L143" i="62"/>
  <c r="L162" i="62"/>
  <c r="L165" i="62"/>
  <c r="L5" i="62"/>
  <c r="L139" i="62"/>
  <c r="L223" i="62"/>
  <c r="L101" i="62"/>
  <c r="L67" i="62"/>
  <c r="L156" i="62"/>
  <c r="L226" i="62"/>
  <c r="L155" i="62"/>
  <c r="L6" i="62"/>
  <c r="L215" i="62"/>
  <c r="L122" i="62"/>
  <c r="L94" i="62"/>
  <c r="L232" i="62"/>
  <c r="L240" i="62"/>
  <c r="L192" i="62"/>
  <c r="L152" i="62"/>
  <c r="L236" i="62"/>
  <c r="L213" i="62"/>
  <c r="L201" i="62"/>
  <c r="L83" i="62"/>
  <c r="L132" i="62"/>
  <c r="L52" i="62"/>
  <c r="L51" i="62"/>
  <c r="L128" i="62"/>
  <c r="L125" i="62"/>
  <c r="L116" i="62"/>
  <c r="L100" i="62"/>
  <c r="L120" i="62"/>
  <c r="L185" i="62"/>
  <c r="L126" i="62"/>
  <c r="L239" i="62"/>
  <c r="L81" i="62"/>
  <c r="L211" i="62"/>
  <c r="L71" i="62"/>
  <c r="L110" i="62"/>
  <c r="L89" i="62"/>
  <c r="L190" i="62"/>
  <c r="L107" i="62"/>
  <c r="L241" i="62"/>
  <c r="L114" i="62"/>
  <c r="L149" i="62"/>
  <c r="L172" i="62"/>
  <c r="L141" i="62"/>
  <c r="L90" i="62"/>
  <c r="L230" i="62"/>
  <c r="L169" i="62"/>
  <c r="L168" i="62"/>
  <c r="L111" i="62"/>
  <c r="L84" i="62"/>
  <c r="L49" i="62"/>
  <c r="L104" i="62"/>
  <c r="L150" i="62"/>
  <c r="L124" i="62"/>
  <c r="L140" i="62"/>
  <c r="L219" i="62"/>
  <c r="L7" i="60"/>
  <c r="L45" i="60"/>
  <c r="L12" i="60"/>
  <c r="L42" i="60"/>
  <c r="Y4" i="62"/>
  <c r="L13" i="60"/>
  <c r="O7" i="60"/>
  <c r="Y4" i="60" s="1"/>
  <c r="AC4" i="60" s="1"/>
  <c r="U5" i="61" s="1"/>
  <c r="H44" i="60"/>
  <c r="L44" i="60"/>
  <c r="AB6" i="26"/>
  <c r="AA6" i="26"/>
  <c r="AE6" i="26" s="1"/>
  <c r="AB5" i="26"/>
  <c r="AA5" i="26"/>
  <c r="AD5" i="26" s="1"/>
  <c r="AE5" i="26"/>
  <c r="U6" i="55" s="1"/>
  <c r="AB4" i="26"/>
  <c r="AD4" i="26" s="1"/>
  <c r="AA4" i="26"/>
  <c r="V5" i="57"/>
  <c r="W4" i="56"/>
  <c r="AA4" i="56" s="1"/>
  <c r="U5" i="57" s="1"/>
  <c r="S355" i="19"/>
  <c r="S354" i="19"/>
  <c r="P355" i="19"/>
  <c r="P354" i="19"/>
  <c r="S353" i="19"/>
  <c r="S352" i="19"/>
  <c r="P353" i="19"/>
  <c r="P352" i="19"/>
  <c r="S351" i="19"/>
  <c r="S350" i="19"/>
  <c r="P351" i="19"/>
  <c r="P350" i="19"/>
  <c r="S349" i="19"/>
  <c r="S348" i="19"/>
  <c r="P349" i="19"/>
  <c r="P348" i="19"/>
  <c r="S347" i="19"/>
  <c r="S346" i="19"/>
  <c r="P347" i="19"/>
  <c r="Q347" i="19"/>
  <c r="P346" i="19"/>
  <c r="S345" i="19"/>
  <c r="S344" i="19"/>
  <c r="P345" i="19"/>
  <c r="P344" i="19"/>
  <c r="S343" i="19"/>
  <c r="S342" i="19"/>
  <c r="P343" i="19"/>
  <c r="P342" i="19"/>
  <c r="S341" i="19"/>
  <c r="S340" i="19"/>
  <c r="P341" i="19"/>
  <c r="P340" i="19"/>
  <c r="S339" i="19"/>
  <c r="S338" i="19"/>
  <c r="P339" i="19"/>
  <c r="Q339" i="19" s="1"/>
  <c r="P338" i="19"/>
  <c r="S337" i="19"/>
  <c r="S336" i="19"/>
  <c r="P337" i="19"/>
  <c r="AQ12" i="27"/>
  <c r="AR12" i="27" s="1"/>
  <c r="P336" i="19"/>
  <c r="AO7" i="27"/>
  <c r="AQ7" i="27" s="1"/>
  <c r="AR7" i="27" s="1"/>
  <c r="AO10" i="27"/>
  <c r="AQ10" i="27" s="1"/>
  <c r="W7" i="54" s="1"/>
  <c r="AO9" i="27"/>
  <c r="AQ9" i="27" s="1"/>
  <c r="W15" i="54" s="1"/>
  <c r="AO8" i="27"/>
  <c r="AQ8" i="27" s="1"/>
  <c r="W40" i="54" s="1"/>
  <c r="AO5" i="27"/>
  <c r="AQ5" i="27" s="1"/>
  <c r="AO4" i="27"/>
  <c r="AQ4" i="27" s="1"/>
  <c r="U5" i="58"/>
  <c r="D9" i="58"/>
  <c r="T5" i="58" s="1"/>
  <c r="C9" i="58"/>
  <c r="S5" i="58" s="1"/>
  <c r="B9" i="58"/>
  <c r="R5" i="58" s="1"/>
  <c r="F110" i="23"/>
  <c r="F111" i="23"/>
  <c r="F112" i="23"/>
  <c r="F113" i="23"/>
  <c r="F114" i="23"/>
  <c r="F115" i="23"/>
  <c r="F116" i="23"/>
  <c r="F117" i="23"/>
  <c r="F102" i="23"/>
  <c r="F103" i="23"/>
  <c r="F104" i="23"/>
  <c r="F105" i="23"/>
  <c r="F106" i="23"/>
  <c r="F107" i="23"/>
  <c r="F108" i="23"/>
  <c r="F109" i="23"/>
  <c r="F94" i="23"/>
  <c r="F95" i="23"/>
  <c r="F96" i="23"/>
  <c r="F97" i="23"/>
  <c r="F98" i="23"/>
  <c r="F99" i="23"/>
  <c r="F100" i="23"/>
  <c r="F101" i="23"/>
  <c r="F86" i="23"/>
  <c r="F87" i="23"/>
  <c r="F88" i="23"/>
  <c r="F89" i="23"/>
  <c r="F90" i="23"/>
  <c r="F91" i="23"/>
  <c r="F92" i="23"/>
  <c r="F93" i="23"/>
  <c r="F78" i="23"/>
  <c r="F79" i="23"/>
  <c r="F80" i="23"/>
  <c r="F81" i="23"/>
  <c r="F82" i="23"/>
  <c r="F83" i="23"/>
  <c r="F84" i="23"/>
  <c r="F85" i="23"/>
  <c r="F70" i="23"/>
  <c r="F71" i="23"/>
  <c r="F72" i="23"/>
  <c r="F73" i="23"/>
  <c r="F74" i="23"/>
  <c r="F75" i="23"/>
  <c r="F76" i="23"/>
  <c r="F77" i="23"/>
  <c r="F62" i="23"/>
  <c r="F63" i="23"/>
  <c r="F64" i="23"/>
  <c r="F65" i="23"/>
  <c r="F66" i="23"/>
  <c r="F67" i="23"/>
  <c r="F68" i="23"/>
  <c r="F69" i="23"/>
  <c r="F54" i="23"/>
  <c r="F55" i="23"/>
  <c r="F56" i="23"/>
  <c r="F57" i="23"/>
  <c r="F58" i="23"/>
  <c r="F59" i="23"/>
  <c r="F60" i="23"/>
  <c r="F61" i="23"/>
  <c r="AE4" i="26"/>
  <c r="AC4" i="26"/>
  <c r="Q349" i="19"/>
  <c r="AC6" i="26"/>
  <c r="F47" i="23"/>
  <c r="F48" i="23"/>
  <c r="F49" i="23"/>
  <c r="F50" i="23"/>
  <c r="F51" i="23"/>
  <c r="F52" i="23"/>
  <c r="F53" i="23"/>
  <c r="F46" i="23"/>
  <c r="F39" i="23"/>
  <c r="F40" i="23"/>
  <c r="F41" i="23"/>
  <c r="F42" i="23"/>
  <c r="F43" i="23"/>
  <c r="F44" i="23"/>
  <c r="F45" i="23"/>
  <c r="F38" i="23"/>
  <c r="H12" i="23"/>
  <c r="G115" i="23" s="1"/>
  <c r="H11" i="23"/>
  <c r="G106" i="23" s="1"/>
  <c r="H10" i="23"/>
  <c r="G98" i="23" s="1"/>
  <c r="H9" i="23"/>
  <c r="G90" i="23" s="1"/>
  <c r="H8" i="23"/>
  <c r="G80" i="23" s="1"/>
  <c r="H7" i="23"/>
  <c r="G70" i="23" s="1"/>
  <c r="H6" i="23"/>
  <c r="G67" i="23" s="1"/>
  <c r="H5" i="23"/>
  <c r="G57" i="23" s="1"/>
  <c r="H4" i="23"/>
  <c r="G47" i="23" s="1"/>
  <c r="H3" i="23"/>
  <c r="G39" i="23" s="1"/>
  <c r="G64" i="23"/>
  <c r="G84" i="23"/>
  <c r="G59" i="23"/>
  <c r="G72" i="23"/>
  <c r="G93" i="23"/>
  <c r="G86" i="23"/>
  <c r="G87" i="23"/>
  <c r="G42" i="23"/>
  <c r="G53" i="23"/>
  <c r="G46" i="23"/>
  <c r="G116" i="23"/>
  <c r="G112" i="23"/>
  <c r="M318" i="19"/>
  <c r="M44" i="19"/>
  <c r="M123" i="19"/>
  <c r="M294" i="19"/>
  <c r="M166" i="19"/>
  <c r="M45" i="19"/>
  <c r="M46" i="19"/>
  <c r="M313" i="19"/>
  <c r="M47" i="19"/>
  <c r="M121" i="19"/>
  <c r="M122" i="19"/>
  <c r="M140" i="19"/>
  <c r="M52" i="19"/>
  <c r="M227" i="19"/>
  <c r="M53" i="19"/>
  <c r="M41" i="19"/>
  <c r="M141" i="19"/>
  <c r="M42" i="19"/>
  <c r="M43" i="19"/>
  <c r="M142" i="19"/>
  <c r="M228" i="19"/>
  <c r="M143" i="19"/>
  <c r="M165" i="19"/>
  <c r="M54" i="19"/>
  <c r="M139" i="19"/>
  <c r="M314" i="19"/>
  <c r="M167" i="19"/>
  <c r="M295" i="19"/>
  <c r="M168" i="19"/>
  <c r="M55" i="19"/>
  <c r="M169" i="19"/>
  <c r="M56" i="19"/>
  <c r="M57" i="19"/>
  <c r="M138" i="19"/>
  <c r="M315" i="19"/>
  <c r="M170" i="19"/>
  <c r="M58" i="19"/>
  <c r="M171" i="19"/>
  <c r="M172" i="19"/>
  <c r="M48" i="19"/>
  <c r="M59" i="19"/>
  <c r="M296" i="19"/>
  <c r="M136" i="19"/>
  <c r="M137" i="19"/>
  <c r="M60" i="19"/>
  <c r="M175" i="19"/>
  <c r="M176" i="19"/>
  <c r="M177" i="19"/>
  <c r="M229" i="19"/>
  <c r="M61" i="19"/>
  <c r="M230" i="19"/>
  <c r="M62" i="19"/>
  <c r="M178" i="19"/>
  <c r="M49" i="19"/>
  <c r="M286" i="19"/>
  <c r="M63" i="19"/>
  <c r="M231" i="19"/>
  <c r="M135" i="19"/>
  <c r="M64" i="19"/>
  <c r="M232" i="19"/>
  <c r="M297" i="19"/>
  <c r="M65" i="19"/>
  <c r="M179" i="19"/>
  <c r="M66" i="19"/>
  <c r="M67" i="19"/>
  <c r="M180" i="19"/>
  <c r="M181" i="19"/>
  <c r="M68" i="19"/>
  <c r="M117" i="19"/>
  <c r="M134" i="19"/>
  <c r="M233" i="19"/>
  <c r="M234" i="19"/>
  <c r="M319" i="19"/>
  <c r="M235" i="19"/>
  <c r="M174" i="19"/>
  <c r="M69" i="19"/>
  <c r="M298" i="19"/>
  <c r="M226" i="19"/>
  <c r="M299" i="19"/>
  <c r="M118" i="19"/>
  <c r="M130" i="19"/>
  <c r="M70" i="19"/>
  <c r="M225" i="19"/>
  <c r="M71" i="19"/>
  <c r="M72" i="19"/>
  <c r="M131" i="19"/>
  <c r="M73" i="19"/>
  <c r="M74" i="19"/>
  <c r="M75" i="19"/>
  <c r="M173" i="19"/>
  <c r="M132" i="19"/>
  <c r="M133" i="19"/>
  <c r="M76" i="19"/>
  <c r="M236" i="19"/>
  <c r="M182" i="19"/>
  <c r="M320" i="19"/>
  <c r="M183" i="19"/>
  <c r="M237" i="19"/>
  <c r="M184" i="19"/>
  <c r="M77" i="19"/>
  <c r="M78" i="19"/>
  <c r="M185" i="19"/>
  <c r="M79" i="19"/>
  <c r="M80" i="19"/>
  <c r="M300" i="19"/>
  <c r="M186" i="19"/>
  <c r="M81" i="19"/>
  <c r="M238" i="19"/>
  <c r="M187" i="19"/>
  <c r="M188" i="19"/>
  <c r="M239" i="19"/>
  <c r="M240" i="19"/>
  <c r="M129" i="19"/>
  <c r="M316" i="19"/>
  <c r="M82" i="19"/>
  <c r="M241" i="19"/>
  <c r="M189" i="19"/>
  <c r="M190" i="19"/>
  <c r="M191" i="19"/>
  <c r="M128" i="19"/>
  <c r="M83" i="19"/>
  <c r="M127" i="19"/>
  <c r="M301" i="19"/>
  <c r="M192" i="19"/>
  <c r="M321" i="19"/>
  <c r="M193" i="19"/>
  <c r="M194" i="19"/>
  <c r="M84" i="19"/>
  <c r="M85" i="19"/>
  <c r="M242" i="19"/>
  <c r="M322" i="19"/>
  <c r="M293" i="19"/>
  <c r="M195" i="19"/>
  <c r="M196" i="19"/>
  <c r="M86" i="19"/>
  <c r="M119" i="19"/>
  <c r="M87" i="19"/>
  <c r="M197" i="19"/>
  <c r="M198" i="19"/>
  <c r="M126" i="19"/>
  <c r="M199" i="19"/>
  <c r="M88" i="19"/>
  <c r="M323" i="19"/>
  <c r="M243" i="19"/>
  <c r="M144" i="19"/>
  <c r="M89" i="19"/>
  <c r="M90" i="19"/>
  <c r="M201" i="19"/>
  <c r="M302" i="19"/>
  <c r="M244" i="19"/>
  <c r="M125" i="19"/>
  <c r="M91" i="19"/>
  <c r="M92" i="19"/>
  <c r="M245" i="19"/>
  <c r="M202" i="19"/>
  <c r="M246" i="19"/>
  <c r="M93" i="19"/>
  <c r="M203" i="19"/>
  <c r="M145" i="19"/>
  <c r="M146" i="19"/>
  <c r="M94" i="19"/>
  <c r="M200" i="19"/>
  <c r="M95" i="19"/>
  <c r="M147" i="19"/>
  <c r="M247" i="19"/>
  <c r="M148" i="19"/>
  <c r="M204" i="19"/>
  <c r="M248" i="19"/>
  <c r="M96" i="19"/>
  <c r="M97" i="19"/>
  <c r="M249" i="19"/>
  <c r="M149" i="19"/>
  <c r="M205" i="19"/>
  <c r="M324" i="19"/>
  <c r="M150" i="19"/>
  <c r="M250" i="19"/>
  <c r="M98" i="19"/>
  <c r="M99" i="19"/>
  <c r="M206" i="19"/>
  <c r="M325" i="19"/>
  <c r="M326" i="19"/>
  <c r="M251" i="19"/>
  <c r="M100" i="19"/>
  <c r="M207" i="19"/>
  <c r="M327" i="19"/>
  <c r="M101" i="19"/>
  <c r="M252" i="19"/>
  <c r="M328" i="19"/>
  <c r="M102" i="19"/>
  <c r="M253" i="19"/>
  <c r="M208" i="19"/>
  <c r="M103" i="19"/>
  <c r="M153" i="19"/>
  <c r="M254" i="19"/>
  <c r="M151" i="19"/>
  <c r="M209" i="19"/>
  <c r="M210" i="19"/>
  <c r="M152" i="19"/>
  <c r="M211" i="19"/>
  <c r="M303" i="19"/>
  <c r="M155" i="19"/>
  <c r="M255" i="19"/>
  <c r="M256" i="19"/>
  <c r="M104" i="19"/>
  <c r="M304" i="19"/>
  <c r="M329" i="19"/>
  <c r="M257" i="19"/>
  <c r="M105" i="19"/>
  <c r="M106" i="19"/>
  <c r="M107" i="19"/>
  <c r="M108" i="19"/>
  <c r="M258" i="19"/>
  <c r="M259" i="19"/>
  <c r="M109" i="19"/>
  <c r="M212" i="19"/>
  <c r="M156" i="19"/>
  <c r="M260" i="19"/>
  <c r="M330" i="19"/>
  <c r="M154" i="19"/>
  <c r="M213" i="19"/>
  <c r="M214" i="19"/>
  <c r="M261" i="19"/>
  <c r="M262" i="19"/>
  <c r="M215" i="19"/>
  <c r="M157" i="19"/>
  <c r="M263" i="19"/>
  <c r="M264" i="19"/>
  <c r="M265" i="19"/>
  <c r="M266" i="19"/>
  <c r="M267" i="19"/>
  <c r="M110" i="19"/>
  <c r="M268" i="19"/>
  <c r="M331" i="19"/>
  <c r="M111" i="19"/>
  <c r="M216" i="19"/>
  <c r="M269" i="19"/>
  <c r="M270" i="19"/>
  <c r="M112" i="19"/>
  <c r="M271" i="19"/>
  <c r="M305" i="19"/>
  <c r="M272" i="19"/>
  <c r="M273" i="19"/>
  <c r="M113" i="19"/>
  <c r="M51" i="19"/>
  <c r="M332" i="19"/>
  <c r="M158" i="19"/>
  <c r="M159" i="19"/>
  <c r="M306" i="19"/>
  <c r="M217" i="19"/>
  <c r="M333" i="19"/>
  <c r="M218" i="19"/>
  <c r="M219" i="19"/>
  <c r="M274" i="19"/>
  <c r="M275" i="19"/>
  <c r="M307" i="19"/>
  <c r="M40" i="19"/>
  <c r="M160" i="19"/>
  <c r="M308" i="19"/>
  <c r="M161" i="19"/>
  <c r="M309" i="19"/>
  <c r="M310" i="19"/>
  <c r="M276" i="19"/>
  <c r="M220" i="19"/>
  <c r="M277" i="19"/>
  <c r="M278" i="19"/>
  <c r="M114" i="19"/>
  <c r="M279" i="19"/>
  <c r="M287" i="19"/>
  <c r="M311" i="19"/>
  <c r="M221" i="19"/>
  <c r="M222" i="19"/>
  <c r="M164" i="19"/>
  <c r="M124" i="19"/>
  <c r="M288" i="19"/>
  <c r="M334" i="19"/>
  <c r="M162" i="19"/>
  <c r="M115" i="19"/>
  <c r="M317" i="19"/>
  <c r="M289" i="19"/>
  <c r="M335" i="19"/>
  <c r="M223" i="19"/>
  <c r="M224" i="19"/>
  <c r="M280" i="19"/>
  <c r="M281" i="19"/>
  <c r="M282" i="19"/>
  <c r="M283" i="19"/>
  <c r="M50" i="19"/>
  <c r="M284" i="19"/>
  <c r="M290" i="19"/>
  <c r="M291" i="19"/>
  <c r="M116" i="19"/>
  <c r="M312" i="19"/>
  <c r="M285" i="19"/>
  <c r="M163" i="19"/>
  <c r="M120" i="19"/>
  <c r="M292" i="19"/>
  <c r="K7" i="15"/>
  <c r="O7" i="15"/>
  <c r="K8" i="15"/>
  <c r="O8" i="15"/>
  <c r="K9" i="15"/>
  <c r="O9" i="15"/>
  <c r="K10" i="15"/>
  <c r="O10" i="15"/>
  <c r="K11" i="15"/>
  <c r="O11" i="15"/>
  <c r="K12" i="15"/>
  <c r="O12" i="15"/>
  <c r="K13" i="15"/>
  <c r="O13" i="15"/>
  <c r="K14" i="15"/>
  <c r="O14" i="15"/>
  <c r="K15" i="15"/>
  <c r="O15" i="15"/>
  <c r="K16" i="15"/>
  <c r="O16" i="15"/>
  <c r="K17" i="15"/>
  <c r="O17" i="15"/>
  <c r="K18" i="15"/>
  <c r="O18" i="15"/>
  <c r="K19" i="15"/>
  <c r="O19" i="15"/>
  <c r="K20" i="15"/>
  <c r="O20" i="15"/>
  <c r="K21" i="15"/>
  <c r="O21" i="15"/>
  <c r="K22" i="15"/>
  <c r="O22" i="15"/>
  <c r="K23" i="15"/>
  <c r="O23" i="15"/>
  <c r="K24" i="15"/>
  <c r="O24" i="15"/>
  <c r="K25" i="15"/>
  <c r="O25" i="15"/>
  <c r="K26" i="15"/>
  <c r="O26" i="15"/>
  <c r="K27" i="15"/>
  <c r="O27" i="15"/>
  <c r="K28" i="15"/>
  <c r="O28" i="15"/>
  <c r="K29" i="15"/>
  <c r="O29" i="15"/>
  <c r="K30" i="15"/>
  <c r="O30" i="15"/>
  <c r="K31" i="15"/>
  <c r="O31" i="15"/>
  <c r="K32" i="15"/>
  <c r="O32" i="15"/>
  <c r="K33" i="15"/>
  <c r="O33" i="15"/>
  <c r="K34" i="15"/>
  <c r="O34" i="15"/>
  <c r="K35" i="15"/>
  <c r="O35" i="15"/>
  <c r="K36" i="15"/>
  <c r="O36" i="15"/>
  <c r="K37" i="15"/>
  <c r="O37" i="15"/>
  <c r="K38" i="15"/>
  <c r="O38" i="15"/>
  <c r="K39" i="15"/>
  <c r="O39" i="15"/>
  <c r="K40" i="15"/>
  <c r="O40" i="15"/>
  <c r="K41" i="15"/>
  <c r="O41" i="15"/>
  <c r="K42" i="15"/>
  <c r="O42" i="15"/>
  <c r="K43" i="15"/>
  <c r="O43" i="15"/>
  <c r="K44" i="15"/>
  <c r="O44" i="15"/>
  <c r="K45" i="15"/>
  <c r="O45" i="15"/>
  <c r="K46" i="15"/>
  <c r="O46" i="15"/>
  <c r="K47" i="15"/>
  <c r="O47" i="15"/>
  <c r="K48" i="15"/>
  <c r="O48" i="15"/>
  <c r="K49" i="15"/>
  <c r="O49" i="15"/>
  <c r="K50" i="15"/>
  <c r="O50" i="15"/>
  <c r="K51" i="15"/>
  <c r="O51" i="15"/>
  <c r="K52" i="15"/>
  <c r="O52" i="15"/>
  <c r="K53" i="15"/>
  <c r="O53" i="15"/>
  <c r="K54" i="15"/>
  <c r="O54" i="15"/>
  <c r="K55" i="15"/>
  <c r="O55" i="15"/>
  <c r="K56" i="15"/>
  <c r="O56" i="15"/>
  <c r="K57" i="15"/>
  <c r="O57" i="15"/>
  <c r="K58" i="15"/>
  <c r="O58" i="15"/>
  <c r="K59" i="15"/>
  <c r="O59" i="15"/>
  <c r="K60" i="15"/>
  <c r="O60" i="15"/>
  <c r="K61" i="15"/>
  <c r="O61" i="15"/>
  <c r="K62" i="15"/>
  <c r="O62" i="15"/>
  <c r="K63" i="15"/>
  <c r="O63" i="15"/>
  <c r="K64" i="15"/>
  <c r="O64" i="15"/>
  <c r="K65" i="15"/>
  <c r="O65" i="15"/>
  <c r="K66" i="15"/>
  <c r="O66" i="15"/>
  <c r="K67" i="15"/>
  <c r="O67" i="15"/>
  <c r="K68" i="15"/>
  <c r="O68" i="15"/>
  <c r="K69" i="15"/>
  <c r="O69" i="15"/>
  <c r="K70" i="15"/>
  <c r="O70" i="15"/>
  <c r="K71" i="15"/>
  <c r="O71" i="15"/>
  <c r="K72" i="15"/>
  <c r="O72" i="15"/>
  <c r="K73" i="15"/>
  <c r="O73" i="15"/>
  <c r="K74" i="15"/>
  <c r="O74" i="15"/>
  <c r="K75" i="15"/>
  <c r="O75" i="15"/>
  <c r="K76" i="15"/>
  <c r="O76" i="15"/>
  <c r="K77" i="15"/>
  <c r="O77" i="15"/>
  <c r="K78" i="15"/>
  <c r="O78" i="15"/>
  <c r="K79" i="15"/>
  <c r="O79" i="15"/>
  <c r="K80" i="15"/>
  <c r="O80" i="15"/>
  <c r="K81" i="15"/>
  <c r="O81" i="15"/>
  <c r="K82" i="15"/>
  <c r="O82" i="15"/>
  <c r="K83" i="15"/>
  <c r="O83" i="15"/>
  <c r="K84" i="15"/>
  <c r="O84" i="15"/>
  <c r="K85" i="15"/>
  <c r="O85" i="15"/>
  <c r="K86" i="15"/>
  <c r="O86" i="15"/>
  <c r="K87" i="15"/>
  <c r="O87" i="15"/>
  <c r="K88" i="15"/>
  <c r="O88" i="15"/>
  <c r="K89" i="15"/>
  <c r="O89" i="15"/>
  <c r="K90" i="15"/>
  <c r="O90" i="15"/>
  <c r="K91" i="15"/>
  <c r="O91" i="15"/>
  <c r="K92" i="15"/>
  <c r="O92" i="15"/>
  <c r="K14" i="14"/>
  <c r="O14" i="14"/>
  <c r="K15" i="14"/>
  <c r="O15" i="14"/>
  <c r="K16" i="14"/>
  <c r="O16" i="14"/>
  <c r="K17" i="14"/>
  <c r="O17" i="14"/>
  <c r="K18" i="14"/>
  <c r="O18" i="14"/>
  <c r="K19" i="14"/>
  <c r="O19" i="14"/>
  <c r="K20" i="14"/>
  <c r="O20" i="14"/>
  <c r="K21" i="14"/>
  <c r="O21" i="14"/>
  <c r="K22" i="14"/>
  <c r="O22" i="14"/>
  <c r="K23" i="14"/>
  <c r="O23" i="14"/>
  <c r="K24" i="14"/>
  <c r="O24" i="14"/>
  <c r="K25" i="14"/>
  <c r="O25" i="14"/>
  <c r="K26" i="14"/>
  <c r="O26" i="14"/>
  <c r="K27" i="14"/>
  <c r="O27" i="14"/>
  <c r="K28" i="14"/>
  <c r="O28" i="14"/>
  <c r="K29" i="14"/>
  <c r="O29" i="14"/>
  <c r="K30" i="14"/>
  <c r="O30" i="14"/>
  <c r="K31" i="14"/>
  <c r="O31" i="14"/>
  <c r="K32" i="14"/>
  <c r="O32" i="14"/>
  <c r="K33" i="14"/>
  <c r="O33" i="14"/>
  <c r="K34" i="14"/>
  <c r="O34" i="14"/>
  <c r="K35" i="14"/>
  <c r="O35" i="14"/>
  <c r="K36" i="14"/>
  <c r="O36" i="14"/>
  <c r="K37" i="14"/>
  <c r="O37" i="14"/>
  <c r="K38" i="14"/>
  <c r="O38" i="14"/>
  <c r="K39" i="14"/>
  <c r="O39" i="14"/>
  <c r="J9" i="13"/>
  <c r="N9" i="13"/>
  <c r="J10" i="13"/>
  <c r="N10" i="13"/>
  <c r="J11" i="13"/>
  <c r="N11" i="13"/>
  <c r="J12" i="13"/>
  <c r="N12" i="13"/>
  <c r="J13" i="13"/>
  <c r="N13" i="13"/>
  <c r="J14" i="13"/>
  <c r="N14" i="13"/>
  <c r="J15" i="13"/>
  <c r="N15" i="13"/>
  <c r="L7" i="12"/>
  <c r="P7" i="12"/>
  <c r="L8" i="12"/>
  <c r="P8" i="12"/>
  <c r="L9" i="12"/>
  <c r="P9" i="12"/>
  <c r="L10" i="12"/>
  <c r="P10" i="12"/>
  <c r="L11" i="12"/>
  <c r="P11" i="12"/>
  <c r="L12" i="12"/>
  <c r="P12" i="12"/>
  <c r="L13" i="12"/>
  <c r="P13" i="12"/>
  <c r="L14" i="12"/>
  <c r="P14" i="12"/>
  <c r="L15" i="12"/>
  <c r="P15" i="12"/>
  <c r="L16" i="12"/>
  <c r="P16" i="12"/>
  <c r="L17" i="12"/>
  <c r="P17" i="12"/>
  <c r="L18" i="12"/>
  <c r="P18" i="12"/>
  <c r="L19" i="12"/>
  <c r="P19" i="12"/>
  <c r="L20" i="12"/>
  <c r="P20" i="12"/>
  <c r="L21" i="12"/>
  <c r="P21" i="12"/>
  <c r="L22" i="12"/>
  <c r="P22" i="12"/>
  <c r="L23" i="12"/>
  <c r="P23" i="12"/>
  <c r="L24" i="12"/>
  <c r="P24" i="12"/>
  <c r="L25" i="12"/>
  <c r="P25" i="12"/>
  <c r="L26" i="12"/>
  <c r="P26" i="12"/>
  <c r="L27" i="12"/>
  <c r="P27" i="12"/>
  <c r="L28" i="12"/>
  <c r="P28" i="12"/>
  <c r="L29" i="12"/>
  <c r="P29" i="12"/>
  <c r="L30" i="12"/>
  <c r="P30" i="12"/>
  <c r="L31" i="12"/>
  <c r="P31" i="12"/>
  <c r="L32" i="12"/>
  <c r="P32" i="12"/>
  <c r="L33" i="12"/>
  <c r="P33" i="12"/>
  <c r="L34" i="12"/>
  <c r="P34" i="12"/>
  <c r="L35" i="12"/>
  <c r="P35" i="12"/>
  <c r="L36" i="12"/>
  <c r="P36" i="12"/>
  <c r="L37" i="12"/>
  <c r="P37" i="12"/>
  <c r="L38" i="12"/>
  <c r="P38" i="12"/>
  <c r="L39" i="12"/>
  <c r="P39" i="12"/>
  <c r="L40" i="12"/>
  <c r="P40" i="12"/>
  <c r="L41" i="12"/>
  <c r="P41" i="12"/>
  <c r="L42" i="12"/>
  <c r="P42" i="12"/>
  <c r="L43" i="12"/>
  <c r="P43" i="12"/>
  <c r="L44" i="12"/>
  <c r="P44" i="12"/>
  <c r="L45" i="12"/>
  <c r="P45" i="12"/>
  <c r="L46" i="12"/>
  <c r="P46" i="12"/>
  <c r="L47" i="12"/>
  <c r="P47" i="12"/>
  <c r="L48" i="12"/>
  <c r="P48" i="12"/>
  <c r="L49" i="12"/>
  <c r="P49" i="12"/>
  <c r="L50" i="12"/>
  <c r="P50" i="12"/>
  <c r="L51" i="12"/>
  <c r="P51" i="12"/>
  <c r="L52" i="12"/>
  <c r="P52" i="12"/>
  <c r="L53" i="12"/>
  <c r="P53" i="12"/>
  <c r="L54" i="12"/>
  <c r="P54" i="12"/>
  <c r="L55" i="12"/>
  <c r="P55" i="12"/>
  <c r="L56" i="12"/>
  <c r="P56" i="12"/>
  <c r="L57" i="12"/>
  <c r="P57" i="12"/>
  <c r="L58" i="12"/>
  <c r="P58" i="12"/>
  <c r="L59" i="12"/>
  <c r="P59" i="12"/>
  <c r="L60" i="12"/>
  <c r="P60" i="12"/>
  <c r="L61" i="12"/>
  <c r="P61" i="12"/>
  <c r="L62" i="12"/>
  <c r="P62" i="12"/>
  <c r="L63" i="12"/>
  <c r="P63" i="12"/>
  <c r="L64" i="12"/>
  <c r="P64" i="12"/>
  <c r="L65" i="12"/>
  <c r="P65" i="12"/>
  <c r="L66" i="12"/>
  <c r="P66" i="12"/>
  <c r="L67" i="12"/>
  <c r="P67" i="12"/>
  <c r="L68" i="12"/>
  <c r="P68" i="12"/>
  <c r="L69" i="12"/>
  <c r="P69" i="12"/>
  <c r="L70" i="12"/>
  <c r="P70" i="12"/>
  <c r="L71" i="12"/>
  <c r="P71" i="12"/>
  <c r="L72" i="12"/>
  <c r="P72" i="12"/>
  <c r="L73" i="12"/>
  <c r="P73" i="12"/>
  <c r="L74" i="12"/>
  <c r="P74" i="12"/>
  <c r="L75" i="12"/>
  <c r="P75" i="12"/>
  <c r="L76" i="12"/>
  <c r="P76" i="12"/>
  <c r="L77" i="12"/>
  <c r="P77" i="12"/>
  <c r="L78" i="12"/>
  <c r="P78" i="12"/>
  <c r="L79" i="12"/>
  <c r="P79" i="12"/>
  <c r="L80" i="12"/>
  <c r="P80" i="12"/>
  <c r="L81" i="12"/>
  <c r="P81" i="12"/>
  <c r="L82" i="12"/>
  <c r="P82" i="12"/>
  <c r="L83" i="12"/>
  <c r="P83" i="12"/>
  <c r="L84" i="12"/>
  <c r="P84" i="12"/>
  <c r="L85" i="12"/>
  <c r="P85" i="12"/>
  <c r="L86" i="12"/>
  <c r="P86" i="12"/>
  <c r="L87" i="12"/>
  <c r="P87" i="12"/>
  <c r="L88" i="12"/>
  <c r="P88" i="12"/>
  <c r="L89" i="12"/>
  <c r="P89" i="12"/>
  <c r="L90" i="12"/>
  <c r="P90" i="12"/>
  <c r="L91" i="12"/>
  <c r="P91" i="12"/>
  <c r="L92" i="12"/>
  <c r="P92" i="12"/>
  <c r="L93" i="12"/>
  <c r="P93" i="12"/>
  <c r="L94" i="12"/>
  <c r="P94" i="12"/>
  <c r="L95" i="12"/>
  <c r="P95" i="12"/>
  <c r="L96" i="12"/>
  <c r="P96" i="12"/>
  <c r="L97" i="12"/>
  <c r="P97" i="12"/>
  <c r="L98" i="12"/>
  <c r="P98" i="12"/>
  <c r="L99" i="12"/>
  <c r="P99" i="12"/>
  <c r="L100" i="12"/>
  <c r="P100" i="12"/>
  <c r="L101" i="12"/>
  <c r="P101" i="12"/>
  <c r="L102" i="12"/>
  <c r="P102" i="12"/>
  <c r="L103" i="12"/>
  <c r="P103" i="12"/>
  <c r="L104" i="12"/>
  <c r="P104" i="12"/>
  <c r="L105" i="12"/>
  <c r="P105" i="12"/>
  <c r="L106" i="12"/>
  <c r="P106" i="12"/>
  <c r="L107" i="12"/>
  <c r="P107" i="12"/>
  <c r="L108" i="12"/>
  <c r="P108" i="12"/>
  <c r="L109" i="12"/>
  <c r="P109" i="12"/>
  <c r="L110" i="12"/>
  <c r="P110" i="12"/>
  <c r="L111" i="12"/>
  <c r="P111" i="12"/>
  <c r="L112" i="12"/>
  <c r="P112" i="12"/>
  <c r="L113" i="12"/>
  <c r="P113" i="12"/>
  <c r="L114" i="12"/>
  <c r="P114" i="12"/>
  <c r="L115" i="12"/>
  <c r="P115" i="12"/>
  <c r="L116" i="12"/>
  <c r="P116" i="12"/>
  <c r="L117" i="12"/>
  <c r="P117" i="12"/>
  <c r="L118" i="12"/>
  <c r="P118" i="12"/>
  <c r="L119" i="12"/>
  <c r="P119" i="12"/>
  <c r="L120" i="12"/>
  <c r="P120" i="12"/>
  <c r="L121" i="12"/>
  <c r="P121" i="12"/>
  <c r="L122" i="12"/>
  <c r="P122" i="12"/>
  <c r="L123" i="12"/>
  <c r="P123" i="12"/>
  <c r="L124" i="12"/>
  <c r="P124" i="12"/>
  <c r="L125" i="12"/>
  <c r="P125" i="12"/>
  <c r="L126" i="12"/>
  <c r="P126" i="12"/>
  <c r="L127" i="12"/>
  <c r="P127" i="12"/>
  <c r="L128" i="12"/>
  <c r="P128" i="12"/>
  <c r="L129" i="12"/>
  <c r="P129" i="12"/>
  <c r="L130" i="12"/>
  <c r="P130" i="12"/>
  <c r="L131" i="12"/>
  <c r="P131" i="12"/>
  <c r="L132" i="12"/>
  <c r="P132" i="12"/>
  <c r="Q429" i="19" l="1"/>
  <c r="Q358" i="19"/>
  <c r="Q342" i="19"/>
  <c r="Q374" i="19"/>
  <c r="Q400" i="19"/>
  <c r="Q408" i="19"/>
  <c r="Q469" i="19"/>
  <c r="Q350" i="19"/>
  <c r="G41" i="23"/>
  <c r="W520" i="5"/>
  <c r="W174" i="5"/>
  <c r="W214" i="5"/>
  <c r="W154" i="5"/>
  <c r="W176" i="5"/>
  <c r="W292" i="5"/>
  <c r="W309" i="5"/>
  <c r="W187" i="5"/>
  <c r="W82" i="5"/>
  <c r="W239" i="5"/>
  <c r="W13" i="5"/>
  <c r="W58" i="5"/>
  <c r="W89" i="5"/>
  <c r="W22" i="5"/>
  <c r="W410" i="5"/>
  <c r="W357" i="5"/>
  <c r="W442" i="5"/>
  <c r="W311" i="5"/>
  <c r="W27" i="5"/>
  <c r="W127" i="5"/>
  <c r="W12" i="5"/>
  <c r="W482" i="5"/>
  <c r="W165" i="5"/>
  <c r="W377" i="5"/>
  <c r="W184" i="5"/>
  <c r="G111" i="23"/>
  <c r="G51" i="23"/>
  <c r="G44" i="23"/>
  <c r="G103" i="23"/>
  <c r="AC5" i="26"/>
  <c r="G110" i="23"/>
  <c r="G50" i="23"/>
  <c r="G94" i="23"/>
  <c r="G109" i="23"/>
  <c r="H56" i="26"/>
  <c r="K56" i="26" s="1"/>
  <c r="H61" i="26"/>
  <c r="K61" i="26" s="1"/>
  <c r="H79" i="26"/>
  <c r="K79" i="26" s="1"/>
  <c r="Q360" i="19"/>
  <c r="Q409" i="19"/>
  <c r="Q401" i="19"/>
  <c r="Q428" i="19"/>
  <c r="Q420" i="19"/>
  <c r="W542" i="5"/>
  <c r="W526" i="5"/>
  <c r="W486" i="5"/>
  <c r="W510" i="5"/>
  <c r="W502" i="5"/>
  <c r="W312" i="5"/>
  <c r="W269" i="5"/>
  <c r="W257" i="5"/>
  <c r="W249" i="5"/>
  <c r="W131" i="5"/>
  <c r="W228" i="5"/>
  <c r="W212" i="5"/>
  <c r="W418" i="5"/>
  <c r="W69" i="5"/>
  <c r="W192" i="5"/>
  <c r="W79" i="5"/>
  <c r="W328" i="5"/>
  <c r="W110" i="5"/>
  <c r="W316" i="5"/>
  <c r="W433" i="5"/>
  <c r="W203" i="5"/>
  <c r="W201" i="5"/>
  <c r="W400" i="5"/>
  <c r="W365" i="5"/>
  <c r="W197" i="5"/>
  <c r="W375" i="5"/>
  <c r="W313" i="5"/>
  <c r="W258" i="5"/>
  <c r="W382" i="5"/>
  <c r="W147" i="5"/>
  <c r="W140" i="5"/>
  <c r="W387" i="5"/>
  <c r="W254" i="5"/>
  <c r="W182" i="5"/>
  <c r="W345" i="5"/>
  <c r="W238" i="5"/>
  <c r="W21" i="5"/>
  <c r="W92" i="5"/>
  <c r="W221" i="5"/>
  <c r="W178" i="5"/>
  <c r="W107" i="5"/>
  <c r="W134" i="5"/>
  <c r="W359" i="5"/>
  <c r="W466" i="5"/>
  <c r="W71" i="5"/>
  <c r="W191" i="5"/>
  <c r="W416" i="5"/>
  <c r="W440" i="5"/>
  <c r="W340" i="5"/>
  <c r="W402" i="5"/>
  <c r="W489" i="5"/>
  <c r="W54" i="5"/>
  <c r="W364" i="5"/>
  <c r="W425" i="5"/>
  <c r="W462" i="5"/>
  <c r="Q449" i="19"/>
  <c r="Q441" i="19"/>
  <c r="Q475" i="19"/>
  <c r="W207" i="5"/>
  <c r="W15" i="5"/>
  <c r="G49" i="23"/>
  <c r="W541" i="5"/>
  <c r="W517" i="5"/>
  <c r="W509" i="5"/>
  <c r="W259" i="5"/>
  <c r="W200" i="5"/>
  <c r="W437" i="5"/>
  <c r="W286" i="5"/>
  <c r="W303" i="5"/>
  <c r="W314" i="5"/>
  <c r="W143" i="5"/>
  <c r="W102" i="5"/>
  <c r="W144" i="5"/>
  <c r="W232" i="5"/>
  <c r="W392" i="5"/>
  <c r="W151" i="5"/>
  <c r="W380" i="5"/>
  <c r="W302" i="5"/>
  <c r="W183" i="5"/>
  <c r="W166" i="5"/>
  <c r="W180" i="5"/>
  <c r="W270" i="5"/>
  <c r="W173" i="5"/>
  <c r="W126" i="5"/>
  <c r="W113" i="5"/>
  <c r="W70" i="5"/>
  <c r="W319" i="5"/>
  <c r="W122" i="5"/>
  <c r="W285" i="5"/>
  <c r="W130" i="5"/>
  <c r="W288" i="5"/>
  <c r="W368" i="5"/>
  <c r="W169" i="5"/>
  <c r="W32" i="5"/>
  <c r="W61" i="5"/>
  <c r="W181" i="5"/>
  <c r="W280" i="5"/>
  <c r="W281" i="5"/>
  <c r="W331" i="5"/>
  <c r="W449" i="5"/>
  <c r="W459" i="5"/>
  <c r="W260" i="5"/>
  <c r="W480" i="5"/>
  <c r="W326" i="5"/>
  <c r="W283" i="5"/>
  <c r="W306" i="5"/>
  <c r="W33" i="5"/>
  <c r="W39" i="5"/>
  <c r="W53" i="5"/>
  <c r="W417" i="5"/>
  <c r="W148" i="5"/>
  <c r="W253" i="5"/>
  <c r="Q448" i="19"/>
  <c r="Q440" i="19"/>
  <c r="W444" i="5"/>
  <c r="Q459" i="19"/>
  <c r="W124" i="5"/>
  <c r="W237" i="5"/>
  <c r="W246" i="5"/>
  <c r="W251" i="5"/>
  <c r="W26" i="5"/>
  <c r="W41" i="5"/>
  <c r="W76" i="5"/>
  <c r="W490" i="5"/>
  <c r="W335" i="5"/>
  <c r="G114" i="23"/>
  <c r="G105" i="23"/>
  <c r="G117" i="23"/>
  <c r="G52" i="23"/>
  <c r="AD6" i="26"/>
  <c r="AD6" i="19"/>
  <c r="AM4" i="18"/>
  <c r="AC4" i="18" s="1"/>
  <c r="Q375" i="19"/>
  <c r="Q359" i="19"/>
  <c r="AD8" i="19"/>
  <c r="Q434" i="19"/>
  <c r="Q426" i="19"/>
  <c r="Q418" i="19"/>
  <c r="Q419" i="19"/>
  <c r="W540" i="5"/>
  <c r="W524" i="5"/>
  <c r="W516" i="5"/>
  <c r="W492" i="5"/>
  <c r="W206" i="5"/>
  <c r="W317" i="5"/>
  <c r="W222" i="5"/>
  <c r="W419" i="5"/>
  <c r="W376" i="5"/>
  <c r="W157" i="5"/>
  <c r="W161" i="5"/>
  <c r="W404" i="5"/>
  <c r="W186" i="5"/>
  <c r="W120" i="5"/>
  <c r="W125" i="5"/>
  <c r="W72" i="5"/>
  <c r="W115" i="5"/>
  <c r="W141" i="5"/>
  <c r="W132" i="5"/>
  <c r="W117" i="5"/>
  <c r="W415" i="5"/>
  <c r="W256" i="5"/>
  <c r="W224" i="5"/>
  <c r="W229" i="5"/>
  <c r="W297" i="5"/>
  <c r="W83" i="5"/>
  <c r="W199" i="5"/>
  <c r="W338" i="5"/>
  <c r="W185" i="5"/>
  <c r="W190" i="5"/>
  <c r="W329" i="5"/>
  <c r="W219" i="5"/>
  <c r="W422" i="5"/>
  <c r="W403" i="5"/>
  <c r="W60" i="5"/>
  <c r="W34" i="5"/>
  <c r="W282" i="5"/>
  <c r="W348" i="5"/>
  <c r="W243" i="5"/>
  <c r="W289" i="5"/>
  <c r="W234" i="5"/>
  <c r="W159" i="5"/>
  <c r="W369" i="5"/>
  <c r="W95" i="5"/>
  <c r="W156" i="5"/>
  <c r="W227" i="5"/>
  <c r="W474" i="5"/>
  <c r="W485" i="5"/>
  <c r="W118" i="5"/>
  <c r="W393" i="5"/>
  <c r="W90" i="5"/>
  <c r="Q412" i="19"/>
  <c r="W511" i="5"/>
  <c r="W87" i="5"/>
  <c r="W264" i="5"/>
  <c r="W370" i="5"/>
  <c r="W96" i="5"/>
  <c r="W390" i="5"/>
  <c r="W248" i="5"/>
  <c r="W28" i="5"/>
  <c r="G113" i="23"/>
  <c r="G48" i="23"/>
  <c r="G79" i="23"/>
  <c r="AD5" i="19"/>
  <c r="H64" i="26"/>
  <c r="K64" i="26" s="1"/>
  <c r="H68" i="26"/>
  <c r="K68" i="26" s="1"/>
  <c r="H73" i="26"/>
  <c r="K73" i="26" s="1"/>
  <c r="H80" i="26"/>
  <c r="K80" i="26" s="1"/>
  <c r="Q414" i="19"/>
  <c r="Q398" i="19"/>
  <c r="Q433" i="19"/>
  <c r="Q425" i="19"/>
  <c r="Q417" i="19"/>
  <c r="W523" i="5"/>
  <c r="W507" i="5"/>
  <c r="W499" i="5"/>
  <c r="W11" i="5"/>
  <c r="W171" i="5"/>
  <c r="W353" i="5"/>
  <c r="W57" i="5"/>
  <c r="W381" i="5"/>
  <c r="W93" i="5"/>
  <c r="W372" i="5"/>
  <c r="W236" i="5"/>
  <c r="W378" i="5"/>
  <c r="W457" i="5"/>
  <c r="W235" i="5"/>
  <c r="W84" i="5"/>
  <c r="W385" i="5"/>
  <c r="W298" i="5"/>
  <c r="W139" i="5"/>
  <c r="W121" i="5"/>
  <c r="W104" i="5"/>
  <c r="W399" i="5"/>
  <c r="W160" i="5"/>
  <c r="W162" i="5"/>
  <c r="W215" i="5"/>
  <c r="W196" i="5"/>
  <c r="W305" i="5"/>
  <c r="W350" i="5"/>
  <c r="W374" i="5"/>
  <c r="W295" i="5"/>
  <c r="W469" i="5"/>
  <c r="W429" i="5"/>
  <c r="W384" i="5"/>
  <c r="W17" i="5"/>
  <c r="W74" i="5"/>
  <c r="W315" i="5"/>
  <c r="W241" i="5"/>
  <c r="W460" i="5"/>
  <c r="W150" i="5"/>
  <c r="W284" i="5"/>
  <c r="W261" i="5"/>
  <c r="W193" i="5"/>
  <c r="W454" i="5"/>
  <c r="W414" i="5"/>
  <c r="W49" i="5"/>
  <c r="W211" i="5"/>
  <c r="W456" i="5"/>
  <c r="W308" i="5"/>
  <c r="W262" i="5"/>
  <c r="W389" i="5"/>
  <c r="W35" i="5"/>
  <c r="W64" i="5"/>
  <c r="W231" i="5"/>
  <c r="W172" i="5"/>
  <c r="W135" i="5"/>
  <c r="W14" i="5"/>
  <c r="W291" i="5"/>
  <c r="W255" i="5"/>
  <c r="W91" i="5"/>
  <c r="W167" i="5"/>
  <c r="G75" i="23"/>
  <c r="AF4" i="26"/>
  <c r="V5" i="55" s="1"/>
  <c r="AD7" i="19"/>
  <c r="Q413" i="19"/>
  <c r="Q405" i="19"/>
  <c r="Q397" i="19"/>
  <c r="Q389" i="19"/>
  <c r="Q381" i="19"/>
  <c r="Q365" i="19"/>
  <c r="Q432" i="19"/>
  <c r="Q424" i="19"/>
  <c r="Q416" i="19"/>
  <c r="W522" i="5"/>
  <c r="W514" i="5"/>
  <c r="W506" i="5"/>
  <c r="W498" i="5"/>
  <c r="W149" i="5"/>
  <c r="W413" i="5"/>
  <c r="W223" i="5"/>
  <c r="W233" i="5"/>
  <c r="W379" i="5"/>
  <c r="W293" i="5"/>
  <c r="W294" i="5"/>
  <c r="W164" i="5"/>
  <c r="W77" i="5"/>
  <c r="W358" i="5"/>
  <c r="W362" i="5"/>
  <c r="W142" i="5"/>
  <c r="W409" i="5"/>
  <c r="W111" i="5"/>
  <c r="W341" i="5"/>
  <c r="W163" i="5"/>
  <c r="W136" i="5"/>
  <c r="W339" i="5"/>
  <c r="W81" i="5"/>
  <c r="W205" i="5"/>
  <c r="W271" i="5"/>
  <c r="W80" i="5"/>
  <c r="W105" i="5"/>
  <c r="W343" i="5"/>
  <c r="W356" i="5"/>
  <c r="W168" i="5"/>
  <c r="W299" i="5"/>
  <c r="W153" i="5"/>
  <c r="W436" i="5"/>
  <c r="W412" i="5"/>
  <c r="W371" i="5"/>
  <c r="W347" i="5"/>
  <c r="W152" i="5"/>
  <c r="W75" i="5"/>
  <c r="W4" i="5"/>
  <c r="W46" i="5"/>
  <c r="W324" i="5"/>
  <c r="W99" i="5"/>
  <c r="W268" i="5"/>
  <c r="W108" i="5"/>
  <c r="W98" i="5"/>
  <c r="W323" i="5"/>
  <c r="W50" i="5"/>
  <c r="W18" i="5"/>
  <c r="W189" i="5"/>
  <c r="AB4" i="18"/>
  <c r="AD4" i="18" s="1"/>
  <c r="AE4" i="18" s="1"/>
  <c r="W47" i="5"/>
  <c r="W85" i="5"/>
  <c r="Q468" i="19"/>
  <c r="AF5" i="26"/>
  <c r="V6" i="55" s="1"/>
  <c r="G43" i="23"/>
  <c r="G97" i="23"/>
  <c r="G74" i="23"/>
  <c r="G104" i="23"/>
  <c r="H58" i="26"/>
  <c r="K58" i="26" s="1"/>
  <c r="Q353" i="19"/>
  <c r="G101" i="23"/>
  <c r="G40" i="23"/>
  <c r="G88" i="23"/>
  <c r="G78" i="23"/>
  <c r="U5" i="55"/>
  <c r="H65" i="26"/>
  <c r="K65" i="26" s="1"/>
  <c r="H77" i="26"/>
  <c r="K77" i="26" s="1"/>
  <c r="Q392" i="19"/>
  <c r="Q384" i="19"/>
  <c r="Q376" i="19"/>
  <c r="Q368" i="19"/>
  <c r="Q435" i="19"/>
  <c r="Q427" i="19"/>
  <c r="W408" i="5"/>
  <c r="W431" i="5"/>
  <c r="Q473" i="19"/>
  <c r="G96" i="23"/>
  <c r="G92" i="23"/>
  <c r="G108" i="23"/>
  <c r="G83" i="23"/>
  <c r="AD11" i="19"/>
  <c r="H63" i="26"/>
  <c r="K63" i="26" s="1"/>
  <c r="H66" i="26"/>
  <c r="K66" i="26" s="1"/>
  <c r="H71" i="26"/>
  <c r="K71" i="26" s="1"/>
  <c r="H78" i="26"/>
  <c r="K78" i="26" s="1"/>
  <c r="Q406" i="19"/>
  <c r="Q390" i="19"/>
  <c r="Q382" i="19"/>
  <c r="Q366" i="19"/>
  <c r="W51" i="5"/>
  <c r="W226" i="5"/>
  <c r="W465" i="5"/>
  <c r="W394" i="5"/>
  <c r="Q472" i="19"/>
  <c r="Q465" i="19"/>
  <c r="G38" i="23"/>
  <c r="G99" i="23"/>
  <c r="G107" i="23"/>
  <c r="Q453" i="19"/>
  <c r="Q445" i="19"/>
  <c r="Q437" i="19"/>
  <c r="G45" i="23"/>
  <c r="G95" i="23"/>
  <c r="G102" i="23"/>
  <c r="G62" i="23"/>
  <c r="W12" i="54"/>
  <c r="AR4" i="27"/>
  <c r="H55" i="26"/>
  <c r="K55" i="26" s="1"/>
  <c r="H67" i="26"/>
  <c r="K67" i="26" s="1"/>
  <c r="H72" i="26"/>
  <c r="K72" i="26" s="1"/>
  <c r="Q388" i="19"/>
  <c r="Q380" i="19"/>
  <c r="Q372" i="19"/>
  <c r="Q364" i="19"/>
  <c r="Q356" i="19"/>
  <c r="Q348" i="19"/>
  <c r="Q431" i="19"/>
  <c r="Q423" i="19"/>
  <c r="W106" i="5"/>
  <c r="W351" i="5"/>
  <c r="W424" i="5"/>
  <c r="W464" i="5"/>
  <c r="Q436" i="19"/>
  <c r="H53" i="26"/>
  <c r="K53" i="26" s="1"/>
  <c r="H57" i="26"/>
  <c r="K57" i="26" s="1"/>
  <c r="Q411" i="19"/>
  <c r="Q395" i="19"/>
  <c r="Q387" i="19"/>
  <c r="Q379" i="19"/>
  <c r="Q371" i="19"/>
  <c r="Q363" i="19"/>
  <c r="Q355" i="19"/>
  <c r="W48" i="5"/>
  <c r="W40" i="5"/>
  <c r="W29" i="5"/>
  <c r="Q462" i="19"/>
  <c r="AQ11" i="27"/>
  <c r="AR11" i="27" s="1"/>
  <c r="AS11" i="27"/>
  <c r="Q361" i="19"/>
  <c r="Q341" i="19"/>
  <c r="Q336" i="19"/>
  <c r="Q357" i="19"/>
  <c r="Q373" i="19"/>
  <c r="AF4" i="18"/>
  <c r="B14" i="55" a="1"/>
  <c r="B14" i="55" s="1"/>
  <c r="B13" i="55" a="1"/>
  <c r="B13" i="55" s="1"/>
  <c r="B12" i="55" a="1"/>
  <c r="B12" i="55" s="1"/>
  <c r="D14" i="55" a="1"/>
  <c r="D14" i="55" s="1"/>
  <c r="S7" i="55" s="1"/>
  <c r="C12" i="55" a="1"/>
  <c r="C12" i="55" s="1"/>
  <c r="R5" i="55" s="1"/>
  <c r="C14" i="55" a="1"/>
  <c r="C14" i="55" s="1"/>
  <c r="R7" i="55" s="1"/>
  <c r="E13" i="55" a="1"/>
  <c r="E13" i="55" s="1"/>
  <c r="T6" i="55" s="1"/>
  <c r="D13" i="55" a="1"/>
  <c r="D13" i="55" s="1"/>
  <c r="S6" i="55" s="1"/>
  <c r="C13" i="55" a="1"/>
  <c r="C13" i="55" s="1"/>
  <c r="R6" i="55" s="1"/>
  <c r="E12" i="55" a="1"/>
  <c r="E12" i="55" s="1"/>
  <c r="T5" i="55" s="1"/>
  <c r="D12" i="55" a="1"/>
  <c r="D12" i="55" s="1"/>
  <c r="S5" i="55" s="1"/>
  <c r="E14" i="55" a="1"/>
  <c r="E14" i="55" s="1"/>
  <c r="T7" i="55" s="1"/>
  <c r="U7" i="55"/>
  <c r="AF6" i="26"/>
  <c r="V7" i="55" s="1"/>
  <c r="Q393" i="19"/>
  <c r="Q369" i="19"/>
  <c r="Q345" i="19"/>
  <c r="Q337" i="19"/>
  <c r="Q422" i="19"/>
  <c r="AA380" i="66"/>
  <c r="AA379" i="66"/>
  <c r="AA269" i="66"/>
  <c r="AA313" i="66"/>
  <c r="AA223" i="66"/>
  <c r="AA225" i="66"/>
  <c r="AA304" i="66"/>
  <c r="AA338" i="66"/>
  <c r="AA219" i="66"/>
  <c r="AA190" i="66"/>
  <c r="AA173" i="66"/>
  <c r="Q352" i="19"/>
  <c r="Q344" i="19"/>
  <c r="Z76" i="66"/>
  <c r="Z77" i="66"/>
  <c r="Z78" i="66"/>
  <c r="Z79" i="66"/>
  <c r="Z80" i="66"/>
  <c r="Z81" i="66"/>
  <c r="Z82" i="66"/>
  <c r="AA285" i="66"/>
  <c r="AA268" i="66"/>
  <c r="AA283" i="66"/>
  <c r="AA228" i="66"/>
  <c r="AA214" i="66"/>
  <c r="AA252" i="66"/>
  <c r="AA373" i="66"/>
  <c r="AA253" i="66"/>
  <c r="AA305" i="66"/>
  <c r="AA307" i="66"/>
  <c r="AA316" i="66"/>
  <c r="Q407" i="19"/>
  <c r="Q391" i="19"/>
  <c r="Q383" i="19"/>
  <c r="Q367" i="19"/>
  <c r="Q351" i="19"/>
  <c r="Q343" i="19"/>
  <c r="Z92" i="66"/>
  <c r="Z100" i="66"/>
  <c r="Z108" i="66"/>
  <c r="Z116" i="66"/>
  <c r="Z124" i="66"/>
  <c r="Z132" i="66"/>
  <c r="Z140" i="66"/>
  <c r="Z148" i="66"/>
  <c r="Z156" i="66"/>
  <c r="Z85" i="66"/>
  <c r="Z93" i="66"/>
  <c r="Z101" i="66"/>
  <c r="Z109" i="66"/>
  <c r="Z117" i="66"/>
  <c r="Z125" i="66"/>
  <c r="Z133" i="66"/>
  <c r="Z141" i="66"/>
  <c r="Z149" i="66"/>
  <c r="Z157" i="66"/>
  <c r="Z261" i="66"/>
  <c r="Z86" i="66"/>
  <c r="Z94" i="66"/>
  <c r="Z102" i="66"/>
  <c r="Z110" i="66"/>
  <c r="Z118" i="66"/>
  <c r="Z126" i="66"/>
  <c r="Z134" i="66"/>
  <c r="Z142" i="66"/>
  <c r="Z150" i="66"/>
  <c r="Z158" i="66"/>
  <c r="Z87" i="66"/>
  <c r="Z95" i="66"/>
  <c r="Z103" i="66"/>
  <c r="Z111" i="66"/>
  <c r="Z119" i="66"/>
  <c r="Z127" i="66"/>
  <c r="Z135" i="66"/>
  <c r="Z143" i="66"/>
  <c r="Z151" i="66"/>
  <c r="Z159" i="66"/>
  <c r="Z88" i="66"/>
  <c r="Z96" i="66"/>
  <c r="Z104" i="66"/>
  <c r="Z112" i="66"/>
  <c r="Z120" i="66"/>
  <c r="Z128" i="66"/>
  <c r="Z136" i="66"/>
  <c r="Z144" i="66"/>
  <c r="Z152" i="66"/>
  <c r="Z160" i="66"/>
  <c r="Z361" i="66"/>
  <c r="Z89" i="66"/>
  <c r="Z97" i="66"/>
  <c r="Z105" i="66"/>
  <c r="Z113" i="66"/>
  <c r="Z121" i="66"/>
  <c r="Z129" i="66"/>
  <c r="Z137" i="66"/>
  <c r="Z145" i="66"/>
  <c r="Z153" i="66"/>
  <c r="Z161" i="66"/>
  <c r="Z90" i="66"/>
  <c r="Z98" i="66"/>
  <c r="Z106" i="66"/>
  <c r="Z114" i="66"/>
  <c r="Z122" i="66"/>
  <c r="Z130" i="66"/>
  <c r="Z138" i="66"/>
  <c r="Z146" i="66"/>
  <c r="Z154" i="66"/>
  <c r="Z220" i="66"/>
  <c r="Z91" i="66"/>
  <c r="Z99" i="66"/>
  <c r="Z107" i="66"/>
  <c r="Z115" i="66"/>
  <c r="Z123" i="66"/>
  <c r="Z131" i="66"/>
  <c r="Z139" i="66"/>
  <c r="Z147" i="66"/>
  <c r="Z155" i="66"/>
  <c r="Z332" i="66"/>
  <c r="Z271" i="66"/>
  <c r="Z206" i="66"/>
  <c r="Z70" i="66"/>
  <c r="Z7" i="66"/>
  <c r="Z71" i="66"/>
  <c r="Z64" i="66"/>
  <c r="Z72" i="66"/>
  <c r="Z180" i="66"/>
  <c r="AA295" i="66"/>
  <c r="AA257" i="66"/>
  <c r="AA300" i="66"/>
  <c r="AA356" i="66"/>
  <c r="AA330" i="66"/>
  <c r="AA192" i="66"/>
  <c r="AA293" i="66"/>
  <c r="AA366" i="66"/>
  <c r="AA244" i="66"/>
  <c r="AA281" i="66"/>
  <c r="AA280" i="66"/>
  <c r="AA298" i="66"/>
  <c r="Z20" i="66"/>
  <c r="Z84" i="66"/>
  <c r="Z164" i="66"/>
  <c r="Z383" i="66"/>
  <c r="Z343" i="66"/>
  <c r="Z381" i="66"/>
  <c r="Z196" i="66"/>
  <c r="Z327" i="66"/>
  <c r="Z221" i="66"/>
  <c r="Z218" i="66"/>
  <c r="Z370" i="66"/>
  <c r="Z363" i="66"/>
  <c r="Z198" i="66"/>
  <c r="Z236" i="66"/>
  <c r="Z173" i="66"/>
  <c r="Z219" i="66"/>
  <c r="Z256" i="66"/>
  <c r="Z312" i="66"/>
  <c r="Z233" i="66"/>
  <c r="Z297" i="66"/>
  <c r="Z345" i="66"/>
  <c r="Z358" i="66"/>
  <c r="Z232" i="66"/>
  <c r="Z311" i="66"/>
  <c r="Z348" i="66"/>
  <c r="Z320" i="66"/>
  <c r="Z326" i="66"/>
  <c r="Z178" i="66"/>
  <c r="Z270" i="66"/>
  <c r="Z321" i="66"/>
  <c r="Z184" i="66"/>
  <c r="Z296" i="66"/>
  <c r="Z323" i="66"/>
  <c r="Z255" i="66"/>
  <c r="Z254" i="66"/>
  <c r="Z242" i="66"/>
  <c r="Z174" i="66"/>
  <c r="Z215" i="66"/>
  <c r="Z372" i="66"/>
  <c r="Z309" i="66"/>
  <c r="Z360" i="66"/>
  <c r="Z378" i="66"/>
  <c r="Z200" i="66"/>
  <c r="Z73" i="66"/>
  <c r="Z186" i="66"/>
  <c r="Z172" i="66"/>
  <c r="Z182" i="66"/>
  <c r="Z195" i="66"/>
  <c r="Z371" i="66"/>
  <c r="Z235" i="66"/>
  <c r="Z357" i="66"/>
  <c r="Z202" i="66"/>
  <c r="Z177" i="66"/>
  <c r="Z207" i="66"/>
  <c r="Z308" i="66"/>
  <c r="Z212" i="66"/>
  <c r="Z329" i="66"/>
  <c r="Z260" i="66"/>
  <c r="Z181" i="66"/>
  <c r="Z204" i="66"/>
  <c r="Z246" i="66"/>
  <c r="Z185" i="66"/>
  <c r="Z197" i="66"/>
  <c r="Z350" i="66"/>
  <c r="Z211" i="66"/>
  <c r="Z386" i="66"/>
  <c r="Z294" i="66"/>
  <c r="Z286" i="66"/>
  <c r="Z351" i="66"/>
  <c r="Z377" i="66"/>
  <c r="Z325" i="66"/>
  <c r="Z275" i="66"/>
  <c r="Z324" i="66"/>
  <c r="Z298" i="66"/>
  <c r="Z244" i="66"/>
  <c r="Z295" i="66"/>
  <c r="Z265" i="66"/>
  <c r="Z375" i="66"/>
  <c r="Z237" i="66"/>
  <c r="Z203" i="66"/>
  <c r="Z189" i="66"/>
  <c r="Z346" i="66"/>
  <c r="Z217" i="66"/>
  <c r="Z318" i="66"/>
  <c r="Z179" i="66"/>
  <c r="Z368" i="66"/>
  <c r="Z4" i="66"/>
  <c r="Z12" i="66"/>
  <c r="Z44" i="66"/>
  <c r="Z60" i="66"/>
  <c r="Z176" i="66"/>
  <c r="Z5" i="66"/>
  <c r="Z13" i="66"/>
  <c r="Z21" i="66"/>
  <c r="Z45" i="66"/>
  <c r="Z61" i="66"/>
  <c r="Z6" i="66"/>
  <c r="Z14" i="66"/>
  <c r="Z22" i="66"/>
  <c r="Z38" i="66"/>
  <c r="Z46" i="66"/>
  <c r="Z54" i="66"/>
  <c r="Z15" i="66"/>
  <c r="Z39" i="66"/>
  <c r="Z47" i="66"/>
  <c r="Z63" i="66"/>
  <c r="Z8" i="66"/>
  <c r="Z16" i="66"/>
  <c r="Z40" i="66"/>
  <c r="Z272" i="66"/>
  <c r="Z56" i="66"/>
  <c r="Z9" i="66"/>
  <c r="Z17" i="66"/>
  <c r="Z41" i="66"/>
  <c r="Z57" i="66"/>
  <c r="Z10" i="66"/>
  <c r="Z18" i="66"/>
  <c r="Z42" i="66"/>
  <c r="Z50" i="66"/>
  <c r="Z227" i="66"/>
  <c r="Z11" i="66"/>
  <c r="Z19" i="66"/>
  <c r="Z43" i="66"/>
  <c r="Z51" i="66"/>
  <c r="Z59" i="66"/>
  <c r="Z67" i="66"/>
  <c r="AA211" i="66"/>
  <c r="AA224" i="66"/>
  <c r="AA287" i="66"/>
  <c r="AA374" i="66"/>
  <c r="AA301" i="66"/>
  <c r="AA170" i="66"/>
  <c r="AA68" i="66"/>
  <c r="AA194" i="66"/>
  <c r="AA273" i="66"/>
  <c r="AA243" i="66"/>
  <c r="AA208" i="66"/>
  <c r="Z28" i="66"/>
  <c r="Z36" i="66"/>
  <c r="Z277" i="66"/>
  <c r="Z369" i="66"/>
  <c r="Z168" i="66"/>
  <c r="Z284" i="66"/>
  <c r="Z249" i="66"/>
  <c r="Z190" i="66"/>
  <c r="Z304" i="66"/>
  <c r="Z225" i="66"/>
  <c r="Z223" i="66"/>
  <c r="Z313" i="66"/>
  <c r="Z269" i="66"/>
  <c r="Z379" i="66"/>
  <c r="Z380" i="66"/>
  <c r="Z29" i="66"/>
  <c r="Z37" i="66"/>
  <c r="Z165" i="66"/>
  <c r="Z289" i="66"/>
  <c r="Z183" i="66"/>
  <c r="Z239" i="66"/>
  <c r="Z229" i="66"/>
  <c r="Z340" i="66"/>
  <c r="Z353" i="66"/>
  <c r="Z331" i="66"/>
  <c r="Z199" i="66"/>
  <c r="Z216" i="66"/>
  <c r="Z30" i="66"/>
  <c r="Z166" i="66"/>
  <c r="Z347" i="66"/>
  <c r="Z354" i="66"/>
  <c r="Z230" i="66"/>
  <c r="Z303" i="66"/>
  <c r="Z292" i="66"/>
  <c r="Z376" i="66"/>
  <c r="Z234" i="66"/>
  <c r="Z238" i="66"/>
  <c r="Z171" i="66"/>
  <c r="Z276" i="66"/>
  <c r="Z266" i="66"/>
  <c r="Z367" i="66"/>
  <c r="Z23" i="66"/>
  <c r="Z31" i="66"/>
  <c r="Z290" i="66"/>
  <c r="Z48" i="66"/>
  <c r="Z385" i="66"/>
  <c r="Z314" i="66"/>
  <c r="Z315" i="66"/>
  <c r="Z322" i="66"/>
  <c r="Z264" i="66"/>
  <c r="Z362" i="66"/>
  <c r="Z167" i="66"/>
  <c r="Z169" i="66"/>
  <c r="Z69" i="66"/>
  <c r="Z262" i="66"/>
  <c r="Z341" i="66"/>
  <c r="Z24" i="66"/>
  <c r="Z32" i="66"/>
  <c r="Z279" i="66"/>
  <c r="Z317" i="66"/>
  <c r="Z299" i="66"/>
  <c r="Z191" i="66"/>
  <c r="Z288" i="66"/>
  <c r="Z344" i="66"/>
  <c r="Z205" i="66"/>
  <c r="Z319" i="66"/>
  <c r="Z245" i="66"/>
  <c r="Z231" i="66"/>
  <c r="Z352" i="66"/>
  <c r="Z258" i="66"/>
  <c r="Z310" i="66"/>
  <c r="Z364" i="66"/>
  <c r="Z25" i="66"/>
  <c r="Z33" i="66"/>
  <c r="Z201" i="66"/>
  <c r="Z187" i="66"/>
  <c r="Z267" i="66"/>
  <c r="Z241" i="66"/>
  <c r="Z384" i="66"/>
  <c r="Z349" i="66"/>
  <c r="Z328" i="66"/>
  <c r="Z208" i="66"/>
  <c r="Z243" i="66"/>
  <c r="Z273" i="66"/>
  <c r="Z194" i="66"/>
  <c r="Z170" i="66"/>
  <c r="Z301" i="66"/>
  <c r="Z374" i="66"/>
  <c r="Z287" i="66"/>
  <c r="Z26" i="66"/>
  <c r="Z34" i="66"/>
  <c r="Z306" i="66"/>
  <c r="Z58" i="66"/>
  <c r="Z302" i="66"/>
  <c r="Z274" i="66"/>
  <c r="Z282" i="66"/>
  <c r="Z366" i="66"/>
  <c r="Z293" i="66"/>
  <c r="Z192" i="66"/>
  <c r="Z330" i="66"/>
  <c r="Z356" i="66"/>
  <c r="Z300" i="66"/>
  <c r="Z257" i="66"/>
  <c r="Z27" i="66"/>
  <c r="Z35" i="66"/>
  <c r="Z163" i="66"/>
  <c r="Z175" i="66"/>
  <c r="Z259" i="66"/>
  <c r="Z316" i="66"/>
  <c r="Z305" i="66"/>
  <c r="Z373" i="66"/>
  <c r="Z252" i="66"/>
  <c r="Z214" i="66"/>
  <c r="Z228" i="66"/>
  <c r="Z283" i="66"/>
  <c r="Z268" i="66"/>
  <c r="Z285" i="66"/>
  <c r="Z52" i="66"/>
  <c r="Z53" i="66"/>
  <c r="Z209" i="66"/>
  <c r="Z62" i="66"/>
  <c r="Z55" i="66"/>
  <c r="Z49" i="66"/>
  <c r="Z65" i="66"/>
  <c r="Z66" i="66"/>
  <c r="Z74" i="66"/>
  <c r="Z75" i="66"/>
  <c r="Z83" i="66"/>
  <c r="AA212" i="66"/>
  <c r="AA364" i="66"/>
  <c r="AA310" i="66"/>
  <c r="AA250" i="66"/>
  <c r="AA258" i="66"/>
  <c r="AA352" i="66"/>
  <c r="AA231" i="66"/>
  <c r="AA245" i="66"/>
  <c r="AA319" i="66"/>
  <c r="AA205" i="66"/>
  <c r="AA344" i="66"/>
  <c r="AA308" i="66"/>
  <c r="AA288" i="66"/>
  <c r="Q340" i="19"/>
  <c r="Z338" i="66"/>
  <c r="Z240" i="66"/>
  <c r="Z333" i="66"/>
  <c r="Z337" i="66"/>
  <c r="Z355" i="66"/>
  <c r="Z339" i="66"/>
  <c r="Z263" i="66"/>
  <c r="Z251" i="66"/>
  <c r="Z213" i="66"/>
  <c r="Z334" i="66"/>
  <c r="Z222" i="66"/>
  <c r="Z382" i="66"/>
  <c r="Z188" i="66"/>
  <c r="Z365" i="66"/>
  <c r="Z278" i="66"/>
  <c r="Z226" i="66"/>
  <c r="Z291" i="66"/>
  <c r="Z342" i="66"/>
  <c r="Z210" i="66"/>
  <c r="Z335" i="66"/>
  <c r="Z250" i="66"/>
  <c r="Z248" i="66"/>
  <c r="Z193" i="66"/>
  <c r="Z68" i="66"/>
  <c r="Z224" i="66"/>
  <c r="Z162" i="66"/>
  <c r="Z359" i="66"/>
  <c r="Z247" i="66"/>
  <c r="Z280" i="66"/>
  <c r="Z281" i="66"/>
  <c r="Z336" i="66"/>
  <c r="Z307" i="66"/>
  <c r="Z253" i="66"/>
  <c r="AA172" i="66"/>
  <c r="AA342" i="66"/>
  <c r="AA341" i="66"/>
  <c r="AA262" i="66"/>
  <c r="AA291" i="66"/>
  <c r="AA69" i="66"/>
  <c r="AA169" i="66"/>
  <c r="AA167" i="66"/>
  <c r="AA186" i="66"/>
  <c r="AA362" i="66"/>
  <c r="AA73" i="66"/>
  <c r="AA200" i="66"/>
  <c r="AA264" i="66"/>
  <c r="Q403" i="19"/>
  <c r="AA367" i="66"/>
  <c r="AA266" i="66"/>
  <c r="AA365" i="66"/>
  <c r="AA276" i="66"/>
  <c r="AA171" i="66"/>
  <c r="AA238" i="66"/>
  <c r="AA234" i="66"/>
  <c r="AA376" i="66"/>
  <c r="AA188" i="66"/>
  <c r="AA254" i="66"/>
  <c r="AA382" i="66"/>
  <c r="G56" i="23"/>
  <c r="G55" i="23"/>
  <c r="G63" i="23"/>
  <c r="G77" i="23"/>
  <c r="G58" i="23"/>
  <c r="G66" i="23"/>
  <c r="G73" i="23"/>
  <c r="G61" i="23"/>
  <c r="G82" i="23"/>
  <c r="G69" i="23"/>
  <c r="G89" i="23"/>
  <c r="G76" i="23"/>
  <c r="G60" i="23"/>
  <c r="G85" i="23"/>
  <c r="G65" i="23"/>
  <c r="G100" i="23"/>
  <c r="G91" i="23"/>
  <c r="G71" i="23"/>
  <c r="G54" i="23"/>
  <c r="G81" i="23"/>
  <c r="G68" i="23"/>
  <c r="Q410" i="19"/>
  <c r="Q394" i="19"/>
  <c r="Q386" i="19"/>
  <c r="Q378" i="19"/>
  <c r="Q370" i="19"/>
  <c r="Q362" i="19"/>
  <c r="Q354" i="19"/>
  <c r="Q346" i="19"/>
  <c r="Q338" i="19"/>
  <c r="AA251" i="66"/>
  <c r="AA263" i="66"/>
  <c r="AA216" i="66"/>
  <c r="AA199" i="66"/>
  <c r="AA331" i="66"/>
  <c r="AA353" i="66"/>
  <c r="AA340" i="66"/>
  <c r="AA339" i="66"/>
  <c r="AA355" i="66"/>
  <c r="AA320" i="66"/>
  <c r="AA337" i="66"/>
  <c r="AA348" i="66"/>
  <c r="AA229" i="66"/>
  <c r="AA311" i="66"/>
  <c r="AA239" i="66"/>
  <c r="AA232" i="66"/>
  <c r="AA358" i="66"/>
  <c r="AA183" i="66"/>
  <c r="AA345" i="66"/>
  <c r="AA297" i="66"/>
  <c r="AA289" i="66"/>
  <c r="AA261" i="66"/>
  <c r="AA333" i="66"/>
  <c r="AA240" i="66"/>
  <c r="AA233" i="66"/>
  <c r="AA312" i="66"/>
  <c r="AA256" i="66"/>
  <c r="AA165" i="66"/>
  <c r="AA157" i="66"/>
  <c r="AA149" i="66"/>
  <c r="AA141" i="66"/>
  <c r="AA133" i="66"/>
  <c r="AA125" i="66"/>
  <c r="AA117" i="66"/>
  <c r="AA109" i="66"/>
  <c r="AA101" i="66"/>
  <c r="AA93" i="66"/>
  <c r="AA85" i="66"/>
  <c r="AA77" i="66"/>
  <c r="AA209" i="66"/>
  <c r="AA61" i="66"/>
  <c r="AA53" i="66"/>
  <c r="AA45" i="66"/>
  <c r="AA37" i="66"/>
  <c r="AA29" i="66"/>
  <c r="AA21" i="66"/>
  <c r="AA13" i="66"/>
  <c r="AA5" i="66"/>
  <c r="AA249" i="66"/>
  <c r="AA284" i="66"/>
  <c r="AA236" i="66"/>
  <c r="AA168" i="66"/>
  <c r="AA198" i="66"/>
  <c r="AA363" i="66"/>
  <c r="AA369" i="66"/>
  <c r="AA370" i="66"/>
  <c r="AA218" i="66"/>
  <c r="AA277" i="66"/>
  <c r="AA221" i="66"/>
  <c r="AA327" i="66"/>
  <c r="AA196" i="66"/>
  <c r="AA381" i="66"/>
  <c r="AA343" i="66"/>
  <c r="AA383" i="66"/>
  <c r="AA164" i="66"/>
  <c r="AA156" i="66"/>
  <c r="AA148" i="66"/>
  <c r="AA140" i="66"/>
  <c r="AA132" i="66"/>
  <c r="AA124" i="66"/>
  <c r="AA116" i="66"/>
  <c r="AA108" i="66"/>
  <c r="AA100" i="66"/>
  <c r="AA92" i="66"/>
  <c r="AA84" i="66"/>
  <c r="AA76" i="66"/>
  <c r="AA176" i="66"/>
  <c r="AA60" i="66"/>
  <c r="AA52" i="66"/>
  <c r="AA44" i="66"/>
  <c r="AA36" i="66"/>
  <c r="AA28" i="66"/>
  <c r="AA20" i="66"/>
  <c r="AA12" i="66"/>
  <c r="AA4" i="66"/>
  <c r="AA259" i="66"/>
  <c r="AA368" i="66"/>
  <c r="AA179" i="66"/>
  <c r="AA175" i="66"/>
  <c r="AA318" i="66"/>
  <c r="AA217" i="66"/>
  <c r="AA346" i="66"/>
  <c r="AA336" i="66"/>
  <c r="AA206" i="66"/>
  <c r="AA189" i="66"/>
  <c r="AA271" i="66"/>
  <c r="AA203" i="66"/>
  <c r="AA332" i="66"/>
  <c r="AA237" i="66"/>
  <c r="AA375" i="66"/>
  <c r="AA265" i="66"/>
  <c r="AA163" i="66"/>
  <c r="AA155" i="66"/>
  <c r="AA147" i="66"/>
  <c r="AA139" i="66"/>
  <c r="AA131" i="66"/>
  <c r="AA123" i="66"/>
  <c r="AA115" i="66"/>
  <c r="AA107" i="66"/>
  <c r="AA99" i="66"/>
  <c r="AA91" i="66"/>
  <c r="AA83" i="66"/>
  <c r="AA75" i="66"/>
  <c r="AA67" i="66"/>
  <c r="AA59" i="66"/>
  <c r="AA51" i="66"/>
  <c r="AA43" i="66"/>
  <c r="AA35" i="66"/>
  <c r="AA27" i="66"/>
  <c r="AA19" i="66"/>
  <c r="AA11" i="66"/>
  <c r="AA324" i="66"/>
  <c r="AA282" i="66"/>
  <c r="AA274" i="66"/>
  <c r="AA275" i="66"/>
  <c r="AA325" i="66"/>
  <c r="AA302" i="66"/>
  <c r="AA377" i="66"/>
  <c r="AA58" i="66"/>
  <c r="AA247" i="66"/>
  <c r="AA359" i="66"/>
  <c r="AA306" i="66"/>
  <c r="AA220" i="66"/>
  <c r="AA351" i="66"/>
  <c r="AA286" i="66"/>
  <c r="AA294" i="66"/>
  <c r="AA386" i="66"/>
  <c r="AA162" i="66"/>
  <c r="AA154" i="66"/>
  <c r="AA146" i="66"/>
  <c r="AA138" i="66"/>
  <c r="AA130" i="66"/>
  <c r="AA122" i="66"/>
  <c r="AA114" i="66"/>
  <c r="AA106" i="66"/>
  <c r="AA98" i="66"/>
  <c r="AA90" i="66"/>
  <c r="AA82" i="66"/>
  <c r="AA74" i="66"/>
  <c r="AA66" i="66"/>
  <c r="AA227" i="66"/>
  <c r="AA50" i="66"/>
  <c r="AA42" i="66"/>
  <c r="AA34" i="66"/>
  <c r="AA26" i="66"/>
  <c r="AA18" i="66"/>
  <c r="AA10" i="66"/>
  <c r="AA193" i="66"/>
  <c r="AA328" i="66"/>
  <c r="AA350" i="66"/>
  <c r="AA197" i="66"/>
  <c r="AA349" i="66"/>
  <c r="AA185" i="66"/>
  <c r="AA248" i="66"/>
  <c r="AA246" i="66"/>
  <c r="AA384" i="66"/>
  <c r="AA241" i="66"/>
  <c r="AA267" i="66"/>
  <c r="AA187" i="66"/>
  <c r="AA201" i="66"/>
  <c r="AA204" i="66"/>
  <c r="AA181" i="66"/>
  <c r="AA260" i="66"/>
  <c r="AA329" i="66"/>
  <c r="AA161" i="66"/>
  <c r="AA153" i="66"/>
  <c r="AA145" i="66"/>
  <c r="AA137" i="66"/>
  <c r="AA129" i="66"/>
  <c r="AA121" i="66"/>
  <c r="AA113" i="66"/>
  <c r="AA105" i="66"/>
  <c r="AA97" i="66"/>
  <c r="AA89" i="66"/>
  <c r="AA81" i="66"/>
  <c r="AA180" i="66"/>
  <c r="AA65" i="66"/>
  <c r="AA57" i="66"/>
  <c r="AA49" i="66"/>
  <c r="AA41" i="66"/>
  <c r="AA33" i="66"/>
  <c r="AA25" i="66"/>
  <c r="AA17" i="66"/>
  <c r="AA9" i="66"/>
  <c r="AA207" i="66"/>
  <c r="AA191" i="66"/>
  <c r="AA299" i="66"/>
  <c r="AA177" i="66"/>
  <c r="AA317" i="66"/>
  <c r="AA202" i="66"/>
  <c r="AA357" i="66"/>
  <c r="AA235" i="66"/>
  <c r="AA335" i="66"/>
  <c r="AA279" i="66"/>
  <c r="AA210" i="66"/>
  <c r="AA371" i="66"/>
  <c r="AA361" i="66"/>
  <c r="AA195" i="66"/>
  <c r="AA182" i="66"/>
  <c r="AA160" i="66"/>
  <c r="AA152" i="66"/>
  <c r="AA144" i="66"/>
  <c r="AA136" i="66"/>
  <c r="AA128" i="66"/>
  <c r="AA120" i="66"/>
  <c r="AA112" i="66"/>
  <c r="AA104" i="66"/>
  <c r="AA96" i="66"/>
  <c r="AA88" i="66"/>
  <c r="AA80" i="66"/>
  <c r="AA72" i="66"/>
  <c r="AA64" i="66"/>
  <c r="AA56" i="66"/>
  <c r="AA272" i="66"/>
  <c r="AA40" i="66"/>
  <c r="AA32" i="66"/>
  <c r="AA24" i="66"/>
  <c r="AA16" i="66"/>
  <c r="AA8" i="66"/>
  <c r="AA378" i="66"/>
  <c r="AA226" i="66"/>
  <c r="AA322" i="66"/>
  <c r="AA360" i="66"/>
  <c r="AA309" i="66"/>
  <c r="AA315" i="66"/>
  <c r="AA314" i="66"/>
  <c r="AA385" i="66"/>
  <c r="AA48" i="66"/>
  <c r="AA290" i="66"/>
  <c r="AA278" i="66"/>
  <c r="AA372" i="66"/>
  <c r="AA215" i="66"/>
  <c r="AA174" i="66"/>
  <c r="AA242" i="66"/>
  <c r="AA159" i="66"/>
  <c r="AA151" i="66"/>
  <c r="AA143" i="66"/>
  <c r="AA135" i="66"/>
  <c r="AA127" i="66"/>
  <c r="AA119" i="66"/>
  <c r="AA111" i="66"/>
  <c r="AA103" i="66"/>
  <c r="AA95" i="66"/>
  <c r="AA87" i="66"/>
  <c r="AA79" i="66"/>
  <c r="AA71" i="66"/>
  <c r="AA63" i="66"/>
  <c r="AA55" i="66"/>
  <c r="AA47" i="66"/>
  <c r="AA39" i="66"/>
  <c r="AA31" i="66"/>
  <c r="AA23" i="66"/>
  <c r="AA15" i="66"/>
  <c r="AA7" i="66"/>
  <c r="AA255" i="66"/>
  <c r="AA292" i="66"/>
  <c r="AA323" i="66"/>
  <c r="AA296" i="66"/>
  <c r="AA303" i="66"/>
  <c r="AA184" i="66"/>
  <c r="AA230" i="66"/>
  <c r="AA222" i="66"/>
  <c r="AA321" i="66"/>
  <c r="AA354" i="66"/>
  <c r="AA347" i="66"/>
  <c r="AA334" i="66"/>
  <c r="AA213" i="66"/>
  <c r="AA270" i="66"/>
  <c r="AA178" i="66"/>
  <c r="AA326" i="66"/>
  <c r="AA166" i="66"/>
  <c r="AA158" i="66"/>
  <c r="AA150" i="66"/>
  <c r="AA142" i="66"/>
  <c r="AA134" i="66"/>
  <c r="AA126" i="66"/>
  <c r="AA118" i="66"/>
  <c r="AA110" i="66"/>
  <c r="AA102" i="66"/>
  <c r="AA94" i="66"/>
  <c r="AA86" i="66"/>
  <c r="AA78" i="66"/>
  <c r="AA70" i="66"/>
  <c r="AA62" i="66"/>
  <c r="AA54" i="66"/>
  <c r="AA46" i="66"/>
  <c r="AA38" i="66"/>
  <c r="AA30" i="66"/>
  <c r="AA22" i="66"/>
  <c r="AA14" i="66"/>
  <c r="AA6" i="66"/>
  <c r="W9" i="54"/>
  <c r="W46" i="54"/>
  <c r="W42" i="54"/>
  <c r="AR10" i="27"/>
  <c r="W36" i="54"/>
  <c r="W13" i="54"/>
  <c r="W37" i="54"/>
  <c r="W14" i="54"/>
  <c r="W27" i="54"/>
  <c r="W6" i="54"/>
  <c r="W28" i="54"/>
  <c r="AC4" i="62"/>
  <c r="AA4" i="62"/>
  <c r="W5" i="54"/>
  <c r="W35" i="54"/>
  <c r="W59" i="54"/>
  <c r="W25" i="54"/>
  <c r="W52" i="54"/>
  <c r="AR5" i="27"/>
  <c r="W21" i="54"/>
  <c r="W49" i="54"/>
  <c r="AR8" i="27"/>
  <c r="X40" i="54" s="1"/>
  <c r="W61" i="54"/>
  <c r="W53" i="54"/>
  <c r="W56" i="54"/>
  <c r="W62" i="54"/>
  <c r="W57" i="54"/>
  <c r="W39" i="54"/>
  <c r="W54" i="54"/>
  <c r="AR9" i="27"/>
  <c r="W41" i="54"/>
  <c r="W63" i="54"/>
  <c r="W58" i="54"/>
  <c r="W29" i="54"/>
  <c r="W38" i="54"/>
  <c r="W8" i="54"/>
  <c r="W55" i="54"/>
  <c r="AQ6" i="27"/>
  <c r="AR6" i="27" s="1"/>
  <c r="AG4" i="20"/>
  <c r="C45" i="56"/>
  <c r="C44" i="56"/>
  <c r="C47" i="56"/>
  <c r="C46" i="56"/>
  <c r="C50" i="56"/>
  <c r="C49" i="56"/>
  <c r="AA4" i="60"/>
  <c r="AS7" i="27"/>
  <c r="Y4" i="56"/>
  <c r="AS12" i="27"/>
  <c r="AS6" i="27"/>
  <c r="AC10" i="19" l="1"/>
  <c r="AC9" i="19"/>
  <c r="AC4" i="19"/>
  <c r="U11" i="54"/>
  <c r="U31" i="54"/>
  <c r="U51" i="54"/>
  <c r="U17" i="54"/>
  <c r="U34" i="54"/>
  <c r="U20" i="54"/>
  <c r="U45" i="54"/>
  <c r="AT12" i="27"/>
  <c r="U24" i="54"/>
  <c r="U48" i="54"/>
  <c r="U33" i="54"/>
  <c r="U23" i="54"/>
  <c r="U47" i="54"/>
  <c r="U10" i="54"/>
  <c r="U30" i="54"/>
  <c r="U50" i="54"/>
  <c r="U19" i="54"/>
  <c r="U44" i="54"/>
  <c r="U16" i="54"/>
  <c r="AC6" i="19"/>
  <c r="AE6" i="19" s="1"/>
  <c r="AF6" i="19" s="1"/>
  <c r="AC7" i="19"/>
  <c r="AE7" i="19" s="1"/>
  <c r="AF7" i="19" s="1"/>
  <c r="AC5" i="19"/>
  <c r="AE5" i="19" s="1"/>
  <c r="AF5" i="19" s="1"/>
  <c r="AC8" i="19"/>
  <c r="AE8" i="19" s="1"/>
  <c r="AF8" i="19" s="1"/>
  <c r="U6" i="52"/>
  <c r="AC11" i="19"/>
  <c r="AE11" i="19" s="1"/>
  <c r="AF11" i="19" s="1"/>
  <c r="U5" i="63"/>
  <c r="AD4" i="62"/>
  <c r="V5" i="63" s="1"/>
  <c r="U8" i="51"/>
  <c r="U6" i="51"/>
  <c r="U10" i="51"/>
  <c r="U9" i="51"/>
  <c r="U5" i="51"/>
  <c r="AG4" i="18"/>
  <c r="U7" i="51"/>
  <c r="X46" i="54"/>
  <c r="X42" i="54"/>
  <c r="X53" i="54"/>
  <c r="X12" i="54"/>
  <c r="X25" i="54"/>
  <c r="X15" i="54"/>
  <c r="X29" i="54"/>
  <c r="X9" i="54"/>
  <c r="X21" i="54"/>
  <c r="X7" i="54"/>
  <c r="X13" i="54"/>
  <c r="X36" i="54"/>
  <c r="X37" i="54"/>
  <c r="X14" i="54"/>
  <c r="X6" i="54"/>
  <c r="X27" i="54"/>
  <c r="X28" i="54"/>
  <c r="X52" i="54"/>
  <c r="X5" i="54"/>
  <c r="X35" i="54"/>
  <c r="X59" i="54"/>
  <c r="X49" i="54"/>
  <c r="X63" i="54"/>
  <c r="X38" i="54"/>
  <c r="X8" i="54"/>
  <c r="X58" i="54"/>
  <c r="X55" i="54"/>
  <c r="X41" i="54"/>
  <c r="U65" i="54"/>
  <c r="X62" i="54"/>
  <c r="X54" i="54"/>
  <c r="X56" i="54"/>
  <c r="X61" i="54"/>
  <c r="X57" i="54"/>
  <c r="X39" i="54"/>
  <c r="AT7" i="27"/>
  <c r="AT6" i="27"/>
  <c r="AT11" i="27"/>
  <c r="U64" i="54"/>
  <c r="AG10" i="19"/>
  <c r="AE10" i="19"/>
  <c r="AF10" i="19" s="1"/>
  <c r="AG7" i="19"/>
  <c r="AE9" i="19"/>
  <c r="AF9" i="19" s="1"/>
  <c r="AG9" i="19"/>
  <c r="AG4" i="19"/>
  <c r="AE4" i="19"/>
  <c r="AF4" i="19" s="1"/>
  <c r="AI4" i="20"/>
  <c r="U5" i="52"/>
  <c r="AG6" i="19" l="1"/>
  <c r="AG8" i="19"/>
  <c r="AG5" i="19"/>
  <c r="AH5" i="19" s="1"/>
  <c r="V11" i="54"/>
  <c r="V31" i="54"/>
  <c r="V51" i="54"/>
  <c r="V34" i="54"/>
  <c r="V17" i="54"/>
  <c r="V20" i="54"/>
  <c r="V45" i="54"/>
  <c r="V24" i="54"/>
  <c r="V48" i="54"/>
  <c r="V23" i="54"/>
  <c r="V47" i="54"/>
  <c r="V10" i="54"/>
  <c r="V50" i="54"/>
  <c r="V16" i="54"/>
  <c r="V33" i="54"/>
  <c r="V19" i="54"/>
  <c r="V44" i="54"/>
  <c r="V30" i="54"/>
  <c r="AG11" i="19"/>
  <c r="AH11" i="19" s="1"/>
  <c r="V8" i="53" s="1"/>
  <c r="V5" i="52"/>
  <c r="V6" i="52"/>
  <c r="V7" i="51"/>
  <c r="V5" i="51"/>
  <c r="V10" i="51"/>
  <c r="V8" i="51"/>
  <c r="V6" i="51"/>
  <c r="V9" i="51"/>
  <c r="V64" i="54"/>
  <c r="V65" i="54"/>
  <c r="AH7" i="19"/>
  <c r="V11" i="53" s="1"/>
  <c r="U11" i="53"/>
  <c r="U9" i="53"/>
  <c r="AH10" i="19"/>
  <c r="V9" i="53" s="1"/>
  <c r="AH6" i="19"/>
  <c r="V10" i="53" s="1"/>
  <c r="U10" i="53"/>
  <c r="U7" i="53"/>
  <c r="AH8" i="19"/>
  <c r="V7" i="53" s="1"/>
  <c r="U5" i="53"/>
  <c r="AH4" i="19"/>
  <c r="V5" i="53" s="1"/>
  <c r="AH9" i="19"/>
  <c r="V6" i="53" s="1"/>
  <c r="U6" i="53"/>
  <c r="G584" i="27"/>
  <c r="G585" i="27" s="1"/>
  <c r="G586" i="27" s="1"/>
  <c r="G587" i="27" s="1"/>
  <c r="G588" i="27" s="1"/>
  <c r="G589" i="27" s="1"/>
  <c r="G590" i="27" s="1"/>
  <c r="G558" i="27"/>
  <c r="G552" i="27"/>
  <c r="G563" i="27"/>
  <c r="G564" i="27" s="1"/>
  <c r="G565" i="27" s="1"/>
  <c r="G566" i="27" s="1"/>
  <c r="G567" i="27" s="1"/>
  <c r="G568" i="27" s="1"/>
  <c r="G569" i="27" s="1"/>
  <c r="G570" i="27" s="1"/>
  <c r="G549" i="27"/>
  <c r="G560" i="27"/>
  <c r="G572" i="27"/>
  <c r="G573" i="27" s="1"/>
  <c r="G574" i="27" s="1"/>
  <c r="G575" i="27" s="1"/>
  <c r="G576" i="27" s="1"/>
  <c r="G577" i="27" s="1"/>
  <c r="G578" i="27" s="1"/>
  <c r="G579" i="27" s="1"/>
  <c r="G580" i="27" s="1"/>
  <c r="G581" i="27" s="1"/>
  <c r="G582" i="27" s="1"/>
  <c r="F580" i="27"/>
  <c r="F581" i="27" s="1"/>
  <c r="F582" i="27" s="1"/>
  <c r="F584" i="27"/>
  <c r="F586" i="27"/>
  <c r="F569" i="27"/>
  <c r="F570" i="27" s="1"/>
  <c r="F558" i="27"/>
  <c r="F552" i="27"/>
  <c r="F563" i="27"/>
  <c r="F564" i="27" s="1"/>
  <c r="F565" i="27" s="1"/>
  <c r="F566" i="27" s="1"/>
  <c r="F567" i="27" s="1"/>
  <c r="F549" i="27"/>
  <c r="F560" i="27"/>
  <c r="F572" i="27"/>
  <c r="F573" i="27" s="1"/>
  <c r="F574" i="27" s="1"/>
  <c r="F576" i="27"/>
  <c r="F577" i="27" s="1"/>
  <c r="F578" i="27" s="1"/>
  <c r="U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Chestnut</author>
  </authors>
  <commentList>
    <comment ref="G529" authorId="0" shapeId="0" xr:uid="{82F87157-D108-40AD-8B41-47CBEDFB8DF0}">
      <text>
        <r>
          <rPr>
            <b/>
            <sz val="9"/>
            <color indexed="81"/>
            <rFont val="Tahoma"/>
            <family val="2"/>
          </rPr>
          <t>Josh Chestnut:</t>
        </r>
        <r>
          <rPr>
            <sz val="9"/>
            <color indexed="81"/>
            <rFont val="Tahoma"/>
            <family val="2"/>
          </rPr>
          <t xml:space="preserve">
No R-Value…
Safe assumption: 1" thickness = R-5, 2" = R-10, 3" = R-15, etc</t>
        </r>
      </text>
    </comment>
    <comment ref="G530" authorId="0" shapeId="0" xr:uid="{1B932A6E-5E23-4CCF-9CCA-7EED6A67BA65}">
      <text>
        <r>
          <rPr>
            <b/>
            <sz val="9"/>
            <color indexed="81"/>
            <rFont val="Tahoma"/>
            <family val="2"/>
          </rPr>
          <t>Josh Chestnut:</t>
        </r>
        <r>
          <rPr>
            <sz val="9"/>
            <color indexed="81"/>
            <rFont val="Tahoma"/>
            <family val="2"/>
          </rPr>
          <t xml:space="preserve">
No R-Value…
Safe assumption: 1" thickness = R-5, 2" = R-10, 3" = R-15, etc</t>
        </r>
      </text>
    </comment>
    <comment ref="G549" authorId="0" shapeId="0" xr:uid="{903461C0-82F6-4341-96B9-23D6F94A7AAE}">
      <text>
        <r>
          <rPr>
            <b/>
            <sz val="9"/>
            <color indexed="81"/>
            <rFont val="Tahoma"/>
            <family val="2"/>
          </rPr>
          <t>Josh Chestnut:</t>
        </r>
        <r>
          <rPr>
            <sz val="9"/>
            <color indexed="81"/>
            <rFont val="Tahoma"/>
            <family val="2"/>
          </rPr>
          <t xml:space="preserve">
No R-Value…
Safe assumption: 1" thickness = R-5, 2" = R-10, 3" = R-15, etc</t>
        </r>
      </text>
    </comment>
    <comment ref="G552" authorId="0" shapeId="0" xr:uid="{C0C6EAA9-8402-48AB-AE56-B9CDDC429BD3}">
      <text>
        <r>
          <rPr>
            <b/>
            <sz val="9"/>
            <color indexed="81"/>
            <rFont val="Tahoma"/>
            <family val="2"/>
          </rPr>
          <t>Josh Chestnut:</t>
        </r>
        <r>
          <rPr>
            <sz val="9"/>
            <color indexed="81"/>
            <rFont val="Tahoma"/>
            <family val="2"/>
          </rPr>
          <t xml:space="preserve">
No R-Value…
Safe assumption: 1" thickness = R-5, 2" = R-10, 3" = R-15, etc</t>
        </r>
      </text>
    </comment>
    <comment ref="G558" authorId="0" shapeId="0" xr:uid="{B2851042-23DF-49EB-A5AB-7E0A12077FFC}">
      <text>
        <r>
          <rPr>
            <b/>
            <sz val="9"/>
            <color indexed="81"/>
            <rFont val="Tahoma"/>
            <family val="2"/>
          </rPr>
          <t>Josh Chestnut:</t>
        </r>
        <r>
          <rPr>
            <sz val="9"/>
            <color indexed="81"/>
            <rFont val="Tahoma"/>
            <family val="2"/>
          </rPr>
          <t xml:space="preserve">
No R-Value…
Safe assumption: 1" thickness = R-5, 2" = R-10, 3" = R-15, etc</t>
        </r>
      </text>
    </comment>
    <comment ref="G560" authorId="0" shapeId="0" xr:uid="{45A5C8AE-D933-457F-A029-5E9F5CD293D2}">
      <text>
        <r>
          <rPr>
            <b/>
            <sz val="9"/>
            <color indexed="81"/>
            <rFont val="Tahoma"/>
            <family val="2"/>
          </rPr>
          <t>Josh Chestnut:</t>
        </r>
        <r>
          <rPr>
            <sz val="9"/>
            <color indexed="81"/>
            <rFont val="Tahoma"/>
            <family val="2"/>
          </rPr>
          <t xml:space="preserve">
No R-Value…
Safe assumption: 1" thickness = R-5, 2" = R-10, 3" = R-15, etc</t>
        </r>
      </text>
    </comment>
    <comment ref="G563" authorId="0" shapeId="0" xr:uid="{D810D4F8-4A24-410F-8916-E52DFAE7931A}">
      <text>
        <r>
          <rPr>
            <b/>
            <sz val="9"/>
            <color indexed="81"/>
            <rFont val="Tahoma"/>
            <family val="2"/>
          </rPr>
          <t>Josh Chestnut:</t>
        </r>
        <r>
          <rPr>
            <sz val="9"/>
            <color indexed="81"/>
            <rFont val="Tahoma"/>
            <family val="2"/>
          </rPr>
          <t xml:space="preserve">
No R-Value…
Safe assumption: 1" thickness = R-5, 2" = R-10, 3" = R-15, etc</t>
        </r>
      </text>
    </comment>
    <comment ref="G564" authorId="0" shapeId="0" xr:uid="{01CEB80B-B30D-442A-86A4-A9C5070EE6E9}">
      <text>
        <r>
          <rPr>
            <b/>
            <sz val="9"/>
            <color indexed="81"/>
            <rFont val="Tahoma"/>
            <family val="2"/>
          </rPr>
          <t>Josh Chestnut:</t>
        </r>
        <r>
          <rPr>
            <sz val="9"/>
            <color indexed="81"/>
            <rFont val="Tahoma"/>
            <family val="2"/>
          </rPr>
          <t xml:space="preserve">
No R-Value…
Safe assumption: 1" thickness = R-5, 2" = R-10, 3" = R-15, etc</t>
        </r>
      </text>
    </comment>
    <comment ref="G565" authorId="0" shapeId="0" xr:uid="{C4CCB4CC-A123-4F62-90FD-0543D9D7414A}">
      <text>
        <r>
          <rPr>
            <b/>
            <sz val="9"/>
            <color indexed="81"/>
            <rFont val="Tahoma"/>
            <family val="2"/>
          </rPr>
          <t>Josh Chestnut:</t>
        </r>
        <r>
          <rPr>
            <sz val="9"/>
            <color indexed="81"/>
            <rFont val="Tahoma"/>
            <family val="2"/>
          </rPr>
          <t xml:space="preserve">
No R-Value…
Safe assumption: 1" thickness = R-5, 2" = R-10, 3" = R-15, etc</t>
        </r>
      </text>
    </comment>
    <comment ref="G566" authorId="0" shapeId="0" xr:uid="{9395D643-DF6D-4018-B942-DEA6D229C2B5}">
      <text>
        <r>
          <rPr>
            <b/>
            <sz val="9"/>
            <color indexed="81"/>
            <rFont val="Tahoma"/>
            <family val="2"/>
          </rPr>
          <t>Josh Chestnut:</t>
        </r>
        <r>
          <rPr>
            <sz val="9"/>
            <color indexed="81"/>
            <rFont val="Tahoma"/>
            <family val="2"/>
          </rPr>
          <t xml:space="preserve">
No R-Value…
Safe assumption: 1" thickness = R-5, 2" = R-10, 3" = R-15, etc</t>
        </r>
      </text>
    </comment>
    <comment ref="G567" authorId="0" shapeId="0" xr:uid="{93736759-94ED-40D1-A485-AA29004DFEB6}">
      <text>
        <r>
          <rPr>
            <b/>
            <sz val="9"/>
            <color indexed="81"/>
            <rFont val="Tahoma"/>
            <family val="2"/>
          </rPr>
          <t>Josh Chestnut:</t>
        </r>
        <r>
          <rPr>
            <sz val="9"/>
            <color indexed="81"/>
            <rFont val="Tahoma"/>
            <family val="2"/>
          </rPr>
          <t xml:space="preserve">
No R-Value…
Safe assumption: 1" thickness = R-5, 2" = R-10, 3" = R-15, etc</t>
        </r>
      </text>
    </comment>
    <comment ref="G568" authorId="0" shapeId="0" xr:uid="{538EA44D-C77B-4991-BD89-72C319108751}">
      <text>
        <r>
          <rPr>
            <b/>
            <sz val="9"/>
            <color indexed="81"/>
            <rFont val="Tahoma"/>
            <family val="2"/>
          </rPr>
          <t>Josh Chestnut:</t>
        </r>
        <r>
          <rPr>
            <sz val="9"/>
            <color indexed="81"/>
            <rFont val="Tahoma"/>
            <family val="2"/>
          </rPr>
          <t xml:space="preserve">
No R-Value…
Safe assumption: 1" thickness = R-5, 2" = R-10, 3" = R-15, etc</t>
        </r>
      </text>
    </comment>
    <comment ref="G569" authorId="0" shapeId="0" xr:uid="{087AFD57-10B1-479D-BE32-175316F58DEF}">
      <text>
        <r>
          <rPr>
            <b/>
            <sz val="9"/>
            <color indexed="81"/>
            <rFont val="Tahoma"/>
            <family val="2"/>
          </rPr>
          <t>Josh Chestnut:</t>
        </r>
        <r>
          <rPr>
            <sz val="9"/>
            <color indexed="81"/>
            <rFont val="Tahoma"/>
            <family val="2"/>
          </rPr>
          <t xml:space="preserve">
No R-Value…
Safe assumption: 1" thickness = R-5, 2" = R-10, 3" = R-15, etc</t>
        </r>
      </text>
    </comment>
    <comment ref="G570" authorId="0" shapeId="0" xr:uid="{1EBCBDB9-D8D4-466E-ADAA-F433F7303186}">
      <text>
        <r>
          <rPr>
            <b/>
            <sz val="9"/>
            <color indexed="81"/>
            <rFont val="Tahoma"/>
            <family val="2"/>
          </rPr>
          <t>Josh Chestnut:</t>
        </r>
        <r>
          <rPr>
            <sz val="9"/>
            <color indexed="81"/>
            <rFont val="Tahoma"/>
            <family val="2"/>
          </rPr>
          <t xml:space="preserve">
No R-Value…
Safe assumption: 1" thickness = R-5, 2" = R-10, 3" = R-15, etc</t>
        </r>
      </text>
    </comment>
    <comment ref="G572" authorId="0" shapeId="0" xr:uid="{C791FEBD-B5FC-4B39-865F-E044CDA92770}">
      <text>
        <r>
          <rPr>
            <b/>
            <sz val="9"/>
            <color indexed="81"/>
            <rFont val="Tahoma"/>
            <family val="2"/>
          </rPr>
          <t>Josh Chestnut:</t>
        </r>
        <r>
          <rPr>
            <sz val="9"/>
            <color indexed="81"/>
            <rFont val="Tahoma"/>
            <family val="2"/>
          </rPr>
          <t xml:space="preserve">
No R-Value…
Safe assumption: 1" thickness = R-5, 2" = R-10, 3" = R-15, etc</t>
        </r>
      </text>
    </comment>
    <comment ref="G573" authorId="0" shapeId="0" xr:uid="{6EE391B3-4F3C-4819-BFEC-724BF5B0CB56}">
      <text>
        <r>
          <rPr>
            <b/>
            <sz val="9"/>
            <color indexed="81"/>
            <rFont val="Tahoma"/>
            <family val="2"/>
          </rPr>
          <t>Josh Chestnut:</t>
        </r>
        <r>
          <rPr>
            <sz val="9"/>
            <color indexed="81"/>
            <rFont val="Tahoma"/>
            <family val="2"/>
          </rPr>
          <t xml:space="preserve">
No R-Value…
Safe assumption: 1" thickness = R-5, 2" = R-10, 3" = R-15, etc</t>
        </r>
      </text>
    </comment>
    <comment ref="G574" authorId="0" shapeId="0" xr:uid="{16FE6807-2085-4520-8BF6-130C4EF0672F}">
      <text>
        <r>
          <rPr>
            <b/>
            <sz val="9"/>
            <color indexed="81"/>
            <rFont val="Tahoma"/>
            <family val="2"/>
          </rPr>
          <t>Josh Chestnut:</t>
        </r>
        <r>
          <rPr>
            <sz val="9"/>
            <color indexed="81"/>
            <rFont val="Tahoma"/>
            <family val="2"/>
          </rPr>
          <t xml:space="preserve">
No R-Value…
Safe assumption: 1" thickness = R-5, 2" = R-10, 3" = R-15, etc</t>
        </r>
      </text>
    </comment>
    <comment ref="G575" authorId="0" shapeId="0" xr:uid="{DAB2C210-054B-4C2E-A2B5-93CA048DFBFD}">
      <text>
        <r>
          <rPr>
            <b/>
            <sz val="9"/>
            <color indexed="81"/>
            <rFont val="Tahoma"/>
            <family val="2"/>
          </rPr>
          <t>Josh Chestnut:</t>
        </r>
        <r>
          <rPr>
            <sz val="9"/>
            <color indexed="81"/>
            <rFont val="Tahoma"/>
            <family val="2"/>
          </rPr>
          <t xml:space="preserve">
No R-Value…
Safe assumption: 1" thickness = R-5, 2" = R-10, 3" = R-15, etc</t>
        </r>
      </text>
    </comment>
    <comment ref="G576" authorId="0" shapeId="0" xr:uid="{4F9AA996-2D2F-4EC3-B5AD-8CC0A7392085}">
      <text>
        <r>
          <rPr>
            <b/>
            <sz val="9"/>
            <color indexed="81"/>
            <rFont val="Tahoma"/>
            <family val="2"/>
          </rPr>
          <t>Josh Chestnut:</t>
        </r>
        <r>
          <rPr>
            <sz val="9"/>
            <color indexed="81"/>
            <rFont val="Tahoma"/>
            <family val="2"/>
          </rPr>
          <t xml:space="preserve">
No R-Value…
Safe assumption: 1" thickness = R-5, 2" = R-10, 3" = R-15, etc</t>
        </r>
      </text>
    </comment>
    <comment ref="G577" authorId="0" shapeId="0" xr:uid="{235CED58-3B26-45EA-82C1-0A8B15D44CE6}">
      <text>
        <r>
          <rPr>
            <b/>
            <sz val="9"/>
            <color indexed="81"/>
            <rFont val="Tahoma"/>
            <family val="2"/>
          </rPr>
          <t>Josh Chestnut:</t>
        </r>
        <r>
          <rPr>
            <sz val="9"/>
            <color indexed="81"/>
            <rFont val="Tahoma"/>
            <family val="2"/>
          </rPr>
          <t xml:space="preserve">
No R-Value…
Safe assumption: 1" thickness = R-5, 2" = R-10, 3" = R-15, etc</t>
        </r>
      </text>
    </comment>
    <comment ref="G578" authorId="0" shapeId="0" xr:uid="{D568793A-140E-4415-8C48-E978EA141C13}">
      <text>
        <r>
          <rPr>
            <b/>
            <sz val="9"/>
            <color indexed="81"/>
            <rFont val="Tahoma"/>
            <family val="2"/>
          </rPr>
          <t>Josh Chestnut:</t>
        </r>
        <r>
          <rPr>
            <sz val="9"/>
            <color indexed="81"/>
            <rFont val="Tahoma"/>
            <family val="2"/>
          </rPr>
          <t xml:space="preserve">
No R-Value…
Safe assumption: 1" thickness = R-5, 2" = R-10, 3" = R-15, etc</t>
        </r>
      </text>
    </comment>
    <comment ref="G579" authorId="0" shapeId="0" xr:uid="{DCC6D6F0-C36A-4E50-A69D-38336B13EAFC}">
      <text>
        <r>
          <rPr>
            <b/>
            <sz val="9"/>
            <color indexed="81"/>
            <rFont val="Tahoma"/>
            <family val="2"/>
          </rPr>
          <t>Josh Chestnut:</t>
        </r>
        <r>
          <rPr>
            <sz val="9"/>
            <color indexed="81"/>
            <rFont val="Tahoma"/>
            <family val="2"/>
          </rPr>
          <t xml:space="preserve">
No R-Value…
Safe assumption: 1" thickness = R-5, 2" = R-10, 3" = R-15, etc</t>
        </r>
      </text>
    </comment>
    <comment ref="G580" authorId="0" shapeId="0" xr:uid="{5F6CE402-0E0E-4E8D-8D1D-3C4479A3530B}">
      <text>
        <r>
          <rPr>
            <b/>
            <sz val="9"/>
            <color indexed="81"/>
            <rFont val="Tahoma"/>
            <family val="2"/>
          </rPr>
          <t>Josh Chestnut:</t>
        </r>
        <r>
          <rPr>
            <sz val="9"/>
            <color indexed="81"/>
            <rFont val="Tahoma"/>
            <family val="2"/>
          </rPr>
          <t xml:space="preserve">
No R-Value…
Safe assumption: 1" thickness = R-5, 2" = R-10, 3" = R-15, etc</t>
        </r>
      </text>
    </comment>
    <comment ref="G581" authorId="0" shapeId="0" xr:uid="{93E9C8E3-95A9-41F2-96B3-F30C3EF760A5}">
      <text>
        <r>
          <rPr>
            <b/>
            <sz val="9"/>
            <color indexed="81"/>
            <rFont val="Tahoma"/>
            <family val="2"/>
          </rPr>
          <t>Josh Chestnut:</t>
        </r>
        <r>
          <rPr>
            <sz val="9"/>
            <color indexed="81"/>
            <rFont val="Tahoma"/>
            <family val="2"/>
          </rPr>
          <t xml:space="preserve">
No R-Value…
Safe assumption: 1" thickness = R-5, 2" = R-10, 3" = R-15, etc</t>
        </r>
      </text>
    </comment>
    <comment ref="G582" authorId="0" shapeId="0" xr:uid="{C34B5880-7D37-4B96-B9B1-5DAFF6FA18B1}">
      <text>
        <r>
          <rPr>
            <b/>
            <sz val="9"/>
            <color indexed="81"/>
            <rFont val="Tahoma"/>
            <family val="2"/>
          </rPr>
          <t>Josh Chestnut:</t>
        </r>
        <r>
          <rPr>
            <sz val="9"/>
            <color indexed="81"/>
            <rFont val="Tahoma"/>
            <family val="2"/>
          </rPr>
          <t xml:space="preserve">
No R-Value…
Safe assumption: 1" thickness = R-5, 2" = R-10, 3" = R-15, etc</t>
        </r>
      </text>
    </comment>
    <comment ref="G584" authorId="0" shapeId="0" xr:uid="{EE27F43C-7C07-4C3D-AC58-AD2D47E5A04E}">
      <text>
        <r>
          <rPr>
            <b/>
            <sz val="9"/>
            <color indexed="81"/>
            <rFont val="Tahoma"/>
            <family val="2"/>
          </rPr>
          <t>Josh Chestnut:</t>
        </r>
        <r>
          <rPr>
            <sz val="9"/>
            <color indexed="81"/>
            <rFont val="Tahoma"/>
            <family val="2"/>
          </rPr>
          <t xml:space="preserve">
No R-Value…
Safe assumption: 1" thickness = R-5, 2" = R-10, 3" = R-15, etc</t>
        </r>
      </text>
    </comment>
    <comment ref="G585" authorId="0" shapeId="0" xr:uid="{8E2EEEFC-5B23-4937-AFE7-BCC4CA3E23E0}">
      <text>
        <r>
          <rPr>
            <b/>
            <sz val="9"/>
            <color indexed="81"/>
            <rFont val="Tahoma"/>
            <family val="2"/>
          </rPr>
          <t>Josh Chestnut:</t>
        </r>
        <r>
          <rPr>
            <sz val="9"/>
            <color indexed="81"/>
            <rFont val="Tahoma"/>
            <family val="2"/>
          </rPr>
          <t xml:space="preserve">
No R-Value…
Safe assumption: 1" thickness = R-5, 2" = R-10, 3" = R-15, etc</t>
        </r>
      </text>
    </comment>
    <comment ref="G586" authorId="0" shapeId="0" xr:uid="{B1A1427D-C807-4BBE-A0E2-7BF9673645BD}">
      <text>
        <r>
          <rPr>
            <b/>
            <sz val="9"/>
            <color indexed="81"/>
            <rFont val="Tahoma"/>
            <family val="2"/>
          </rPr>
          <t>Josh Chestnut:</t>
        </r>
        <r>
          <rPr>
            <sz val="9"/>
            <color indexed="81"/>
            <rFont val="Tahoma"/>
            <family val="2"/>
          </rPr>
          <t xml:space="preserve">
No R-Value…
Safe assumption: 1" thickness = R-5, 2" = R-10, 3" = R-15, etc</t>
        </r>
      </text>
    </comment>
    <comment ref="G587" authorId="0" shapeId="0" xr:uid="{12978FFA-01DE-48D6-9159-6DEDF5F2241D}">
      <text>
        <r>
          <rPr>
            <b/>
            <sz val="9"/>
            <color indexed="81"/>
            <rFont val="Tahoma"/>
            <family val="2"/>
          </rPr>
          <t>Josh Chestnut:</t>
        </r>
        <r>
          <rPr>
            <sz val="9"/>
            <color indexed="81"/>
            <rFont val="Tahoma"/>
            <family val="2"/>
          </rPr>
          <t xml:space="preserve">
No R-Value…
Safe assumption: 1" thickness = R-5, 2" = R-10, 3" = R-15, etc</t>
        </r>
      </text>
    </comment>
    <comment ref="G588" authorId="0" shapeId="0" xr:uid="{F66D0949-C15F-470B-956F-FBC22C1F284C}">
      <text>
        <r>
          <rPr>
            <b/>
            <sz val="9"/>
            <color indexed="81"/>
            <rFont val="Tahoma"/>
            <family val="2"/>
          </rPr>
          <t>Josh Chestnut:</t>
        </r>
        <r>
          <rPr>
            <sz val="9"/>
            <color indexed="81"/>
            <rFont val="Tahoma"/>
            <family val="2"/>
          </rPr>
          <t xml:space="preserve">
No R-Value…
Safe assumption: 1" thickness = R-5, 2" = R-10, 3" = R-15, etc</t>
        </r>
      </text>
    </comment>
    <comment ref="G589" authorId="0" shapeId="0" xr:uid="{C290CD4F-08D1-4B0D-B157-C69F53FF2066}">
      <text>
        <r>
          <rPr>
            <b/>
            <sz val="9"/>
            <color indexed="81"/>
            <rFont val="Tahoma"/>
            <family val="2"/>
          </rPr>
          <t>Josh Chestnut:</t>
        </r>
        <r>
          <rPr>
            <sz val="9"/>
            <color indexed="81"/>
            <rFont val="Tahoma"/>
            <family val="2"/>
          </rPr>
          <t xml:space="preserve">
No R-Value…
Safe assumption: 1" thickness = R-5, 2" = R-10, 3" = R-15, etc</t>
        </r>
      </text>
    </comment>
    <comment ref="G590" authorId="0" shapeId="0" xr:uid="{9693B233-91A3-4222-826C-0E1CB34A005A}">
      <text>
        <r>
          <rPr>
            <b/>
            <sz val="9"/>
            <color indexed="81"/>
            <rFont val="Tahoma"/>
            <family val="2"/>
          </rPr>
          <t>Josh Chestnut:</t>
        </r>
        <r>
          <rPr>
            <sz val="9"/>
            <color indexed="81"/>
            <rFont val="Tahoma"/>
            <family val="2"/>
          </rPr>
          <t xml:space="preserve">
No R-Value…
Safe assumption: 1" thickness = R-5, 2" = R-10, 3" = R-15,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Chestnut</author>
  </authors>
  <commentList>
    <comment ref="M507" authorId="0" shapeId="0" xr:uid="{7F122EEC-D528-4C9E-A60C-67704457647F}">
      <text>
        <r>
          <rPr>
            <b/>
            <sz val="9"/>
            <color indexed="81"/>
            <rFont val="Tahoma"/>
            <family val="2"/>
          </rPr>
          <t>Josh Chestnut:</t>
        </r>
        <r>
          <rPr>
            <sz val="9"/>
            <color indexed="81"/>
            <rFont val="Tahoma"/>
            <family val="2"/>
          </rPr>
          <t xml:space="preserve">
@ 3/4"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tc={7F2A2AD9-80E2-4E3E-AC38-9B2B2D2BEE69}</author>
    <author>Josh Chestnut</author>
  </authors>
  <commentList>
    <comment ref="G3" authorId="0" shapeId="0" xr:uid="{7F2A2AD9-80E2-4E3E-AC38-9B2B2D2BEE69}">
      <text>
        <t xml:space="preserve">[Threaded comment]
Your version of Excel allows you to read this threaded comment; however, any edits to it will get removed if the file is opened in a newer version of Excel. Learn more: https://go.microsoft.com/fwlink/?linkid=870924
Comment:
    Assumed R-23 </t>
      </text>
    </comment>
    <comment ref="AO9" authorId="1" shapeId="0" xr:uid="{03910D88-EFF8-4C5C-99FF-FACF759E9539}">
      <text>
        <r>
          <rPr>
            <b/>
            <sz val="9"/>
            <color indexed="81"/>
            <rFont val="Tahoma"/>
            <family val="2"/>
          </rPr>
          <t>Josh Chestnut:</t>
        </r>
        <r>
          <rPr>
            <sz val="9"/>
            <color indexed="81"/>
            <rFont val="Tahoma"/>
            <family val="2"/>
          </rPr>
          <t xml:space="preserve">
Each block covers 5.33 sqft</t>
        </r>
      </text>
    </comment>
    <comment ref="AO10" authorId="1" shapeId="0" xr:uid="{95D62ADD-FFC8-4C40-AFFE-2AF74BE610E8}">
      <text>
        <r>
          <rPr>
            <b/>
            <sz val="9"/>
            <color indexed="81"/>
            <rFont val="Tahoma"/>
            <family val="2"/>
          </rPr>
          <t>Josh Chestnut:</t>
        </r>
        <r>
          <rPr>
            <sz val="9"/>
            <color indexed="81"/>
            <rFont val="Tahoma"/>
            <family val="2"/>
          </rPr>
          <t xml:space="preserve">
Each block covers 5.33 sqft</t>
        </r>
      </text>
    </comment>
    <comment ref="AO11" authorId="1" shapeId="0" xr:uid="{ADA9D00F-92D6-4FAB-8F50-A325B6C45E0D}">
      <text>
        <r>
          <rPr>
            <b/>
            <sz val="9"/>
            <color indexed="81"/>
            <rFont val="Tahoma"/>
            <family val="2"/>
          </rPr>
          <t>Josh Chestnut:</t>
        </r>
        <r>
          <rPr>
            <sz val="9"/>
            <color indexed="81"/>
            <rFont val="Tahoma"/>
            <family val="2"/>
          </rPr>
          <t xml:space="preserve">
Each block covers 5.33 sqft</t>
        </r>
      </text>
    </comment>
    <comment ref="AO12" authorId="1" shapeId="0" xr:uid="{352005A1-3C6F-4435-9245-8C5DBBBBD334}">
      <text>
        <r>
          <rPr>
            <b/>
            <sz val="9"/>
            <color indexed="81"/>
            <rFont val="Tahoma"/>
            <family val="2"/>
          </rPr>
          <t>Josh Chestnut:</t>
        </r>
        <r>
          <rPr>
            <sz val="9"/>
            <color indexed="81"/>
            <rFont val="Tahoma"/>
            <family val="2"/>
          </rPr>
          <t xml:space="preserve">
Each block covers 5.33 sqft</t>
        </r>
      </text>
    </comment>
    <comment ref="AO13" authorId="1" shapeId="0" xr:uid="{1A7C8F6F-D5C9-49AA-88BB-9ADD3449FF07}">
      <text>
        <r>
          <rPr>
            <b/>
            <sz val="9"/>
            <color indexed="81"/>
            <rFont val="Tahoma"/>
            <family val="2"/>
          </rPr>
          <t>Josh Chestnut:</t>
        </r>
        <r>
          <rPr>
            <sz val="9"/>
            <color indexed="81"/>
            <rFont val="Tahoma"/>
            <family val="2"/>
          </rPr>
          <t xml:space="preserve">
Each block covers 5.33 sqft</t>
        </r>
      </text>
    </comment>
    <comment ref="AO14" authorId="1" shapeId="0" xr:uid="{EF698EB4-C7EC-4FBA-BFEF-876E27BF6D6B}">
      <text>
        <r>
          <rPr>
            <b/>
            <sz val="9"/>
            <color indexed="81"/>
            <rFont val="Tahoma"/>
            <family val="2"/>
          </rPr>
          <t>Josh Chestnut:</t>
        </r>
        <r>
          <rPr>
            <sz val="9"/>
            <color indexed="81"/>
            <rFont val="Tahoma"/>
            <family val="2"/>
          </rPr>
          <t xml:space="preserve">
Each block covers 5.33 sqft</t>
        </r>
      </text>
    </comment>
    <comment ref="AO15" authorId="1" shapeId="0" xr:uid="{361E0B6D-D3D9-40F7-9042-D48B1FE92C1F}">
      <text>
        <r>
          <rPr>
            <b/>
            <sz val="9"/>
            <color indexed="81"/>
            <rFont val="Tahoma"/>
            <family val="2"/>
          </rPr>
          <t>Josh Chestnut:</t>
        </r>
        <r>
          <rPr>
            <sz val="9"/>
            <color indexed="81"/>
            <rFont val="Tahoma"/>
            <family val="2"/>
          </rPr>
          <t xml:space="preserve">
Each block covers 5.33 sqft</t>
        </r>
      </text>
    </comment>
    <comment ref="AQ21" authorId="1" shapeId="0" xr:uid="{17586EB4-23B9-4F0B-A8F5-37BFB3C84A18}">
      <text>
        <r>
          <rPr>
            <b/>
            <sz val="9"/>
            <color indexed="81"/>
            <rFont val="Tahoma"/>
            <family val="2"/>
          </rPr>
          <t>Josh Chestnut:</t>
        </r>
        <r>
          <rPr>
            <sz val="9"/>
            <color indexed="81"/>
            <rFont val="Tahoma"/>
            <family val="2"/>
          </rPr>
          <t xml:space="preserve">
Indicator for charging speed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Chestnut</author>
  </authors>
  <commentList>
    <comment ref="B3" authorId="0" shapeId="0" xr:uid="{805D4535-C80C-4ED8-82E8-3D7CC43FEDAD}">
      <text>
        <r>
          <rPr>
            <b/>
            <sz val="9"/>
            <color indexed="81"/>
            <rFont val="Tahoma"/>
            <family val="2"/>
          </rPr>
          <t>Josh Chestnut:</t>
        </r>
        <r>
          <rPr>
            <sz val="9"/>
            <color indexed="81"/>
            <rFont val="Tahoma"/>
            <family val="2"/>
          </rPr>
          <t xml:space="preserve">
Indicator for charging speed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Chestnut</author>
  </authors>
  <commentList>
    <comment ref="C2" authorId="0" shapeId="0" xr:uid="{CE4A6DC2-9FF1-4A05-B0FC-19A0BD97B94F}">
      <text>
        <r>
          <rPr>
            <b/>
            <sz val="9"/>
            <color indexed="81"/>
            <rFont val="Tahoma"/>
            <family val="2"/>
          </rPr>
          <t>Josh Chestnut:</t>
        </r>
        <r>
          <rPr>
            <sz val="9"/>
            <color indexed="81"/>
            <rFont val="Tahoma"/>
            <family val="2"/>
          </rPr>
          <t xml:space="preserve">
A typical set of open cell spray foam yields approximately 16,000 bf (board feet) which is equal to spraying 1,600 square feet of area at a thickness of 10" inches</t>
        </r>
      </text>
    </comment>
    <comment ref="H2" authorId="0" shapeId="0" xr:uid="{5880F655-DCB2-4FF5-AB32-02B4B762EFF8}">
      <text>
        <r>
          <rPr>
            <b/>
            <sz val="9"/>
            <color indexed="81"/>
            <rFont val="Tahoma"/>
            <family val="2"/>
          </rPr>
          <t>Josh Chestnut:</t>
        </r>
        <r>
          <rPr>
            <sz val="9"/>
            <color indexed="81"/>
            <rFont val="Tahoma"/>
            <family val="2"/>
          </rPr>
          <t xml:space="preserve">
Cost per square foot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Carly Torrado</author>
  </authors>
  <commentList>
    <comment ref="D11" authorId="0" shapeId="0" xr:uid="{A99ABFEB-0707-4A1F-9FCE-785402162526}">
      <text>
        <r>
          <rPr>
            <b/>
            <sz val="9"/>
            <color indexed="81"/>
            <rFont val="Tahoma"/>
            <family val="2"/>
          </rPr>
          <t>Carly Torrado:</t>
        </r>
        <r>
          <rPr>
            <sz val="9"/>
            <color indexed="81"/>
            <rFont val="Tahoma"/>
            <family val="2"/>
          </rPr>
          <t xml:space="preserve">
Based on calc of vinyl being 15% lower than fiberglass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<sst xmlns="http://schemas.openxmlformats.org/spreadsheetml/2006/main" count="58213" uniqueCount="5520">
  <si>
    <t>Component</t>
  </si>
  <si>
    <t>Link to Data</t>
  </si>
  <si>
    <t>Link to Analysis</t>
  </si>
  <si>
    <t>Data</t>
  </si>
  <si>
    <t>Analysis</t>
  </si>
  <si>
    <t>Doors</t>
  </si>
  <si>
    <t>Windows</t>
  </si>
  <si>
    <t>Exterior Finish</t>
  </si>
  <si>
    <t>All Insulation Analysis</t>
  </si>
  <si>
    <t>Wood Stud</t>
  </si>
  <si>
    <t>Steel Stud</t>
  </si>
  <si>
    <t>Double Wood Stud</t>
  </si>
  <si>
    <t>Unfinished Basement</t>
  </si>
  <si>
    <t>Finished Basement</t>
  </si>
  <si>
    <t>Unfinished Attic</t>
  </si>
  <si>
    <t>Finished Roof</t>
  </si>
  <si>
    <t>Crawlspace</t>
  </si>
  <si>
    <t>Slab</t>
  </si>
  <si>
    <t>Rim Joist</t>
  </si>
  <si>
    <t>Concrete Masonry Unit</t>
  </si>
  <si>
    <t>Wall Sheathing</t>
  </si>
  <si>
    <t>Table of Contents</t>
  </si>
  <si>
    <t>Raw Data</t>
  </si>
  <si>
    <t>Labor Calculations</t>
  </si>
  <si>
    <t>Labor % multiplier (of Materials &amp; Equipment)</t>
  </si>
  <si>
    <t>Product Class</t>
  </si>
  <si>
    <t>Space Type</t>
  </si>
  <si>
    <t>Material</t>
  </si>
  <si>
    <t>Face</t>
  </si>
  <si>
    <t>Face Detail</t>
  </si>
  <si>
    <t>Thickness (in)</t>
  </si>
  <si>
    <t>R-value</t>
  </si>
  <si>
    <t>R-Value per Inch</t>
  </si>
  <si>
    <t>Materials ($/SF)</t>
  </si>
  <si>
    <t>Install Labor Hours</t>
  </si>
  <si>
    <t>Labor ($/SF)</t>
  </si>
  <si>
    <t>Total Installed Cost ($/SF)</t>
  </si>
  <si>
    <t>Removal Labor Hours</t>
  </si>
  <si>
    <t>Removal Labor ($/SF)</t>
  </si>
  <si>
    <t>Lifetime</t>
  </si>
  <si>
    <t>Year</t>
  </si>
  <si>
    <t>Notes</t>
  </si>
  <si>
    <t>Source Notes</t>
  </si>
  <si>
    <t>Source</t>
  </si>
  <si>
    <t>Source Link</t>
  </si>
  <si>
    <t>Wall (Wood Stud)</t>
  </si>
  <si>
    <t>Wall (Steel Stud)</t>
  </si>
  <si>
    <t>Wall (Double Wood Stud)</t>
  </si>
  <si>
    <t>Unfinished Basement (Wall)</t>
  </si>
  <si>
    <t>Unfinished Basement (Ceiling)</t>
  </si>
  <si>
    <t>Finished Basement (Wall)</t>
  </si>
  <si>
    <t>Finished Basement (Ceiling)</t>
  </si>
  <si>
    <t>Unfinished Attic (Roof)</t>
  </si>
  <si>
    <t>Unfinished Attic (Ceiling)</t>
  </si>
  <si>
    <t>Crawlspace (Wall)</t>
  </si>
  <si>
    <t>Crawlspace (Ceiling)</t>
  </si>
  <si>
    <t>CMU</t>
  </si>
  <si>
    <t>Regression</t>
  </si>
  <si>
    <t>Install</t>
  </si>
  <si>
    <t>Removal</t>
  </si>
  <si>
    <t>Total New Construction</t>
  </si>
  <si>
    <t>Total Retrofit</t>
  </si>
  <si>
    <t>New Construction (%)</t>
  </si>
  <si>
    <t>Retrofit (%)</t>
  </si>
  <si>
    <t>Date of Data</t>
  </si>
  <si>
    <t>Rigid Foam</t>
  </si>
  <si>
    <t>Both</t>
  </si>
  <si>
    <t>Fiberglass</t>
  </si>
  <si>
    <t>Unfaced</t>
  </si>
  <si>
    <t>Wall</t>
  </si>
  <si>
    <t>RSMeans</t>
  </si>
  <si>
    <t>Yes</t>
  </si>
  <si>
    <t>No</t>
  </si>
  <si>
    <t>Batt</t>
  </si>
  <si>
    <t>Homewyse, RSMeans</t>
  </si>
  <si>
    <t>Ceiling</t>
  </si>
  <si>
    <t>Loose Fill</t>
  </si>
  <si>
    <t>Rigid Foam (ISO)</t>
  </si>
  <si>
    <t>Rigid Foam (XPS)</t>
  </si>
  <si>
    <t>Rigid Foam (EPS)</t>
  </si>
  <si>
    <t>Closed Cell Spray Foam</t>
  </si>
  <si>
    <t>Faced</t>
  </si>
  <si>
    <t>Foil Faced (both sides)</t>
  </si>
  <si>
    <t>Open Cell Spray Foam</t>
  </si>
  <si>
    <t>ISO</t>
  </si>
  <si>
    <t>EPS</t>
  </si>
  <si>
    <t>XPS</t>
  </si>
  <si>
    <t>Floor/Ceiling</t>
  </si>
  <si>
    <t>Paper/foil</t>
  </si>
  <si>
    <t>Kraft</t>
  </si>
  <si>
    <t>Foil</t>
  </si>
  <si>
    <t>Mineral Wool</t>
  </si>
  <si>
    <t>Wall or Floor/Ceiling</t>
  </si>
  <si>
    <t>Cellulose</t>
  </si>
  <si>
    <t>None</t>
  </si>
  <si>
    <t>Polystyrene</t>
  </si>
  <si>
    <t>Perlite</t>
  </si>
  <si>
    <t>Spray Foam</t>
  </si>
  <si>
    <t>Closed Cell Polyurethane</t>
  </si>
  <si>
    <t>Home Depot</t>
  </si>
  <si>
    <t>https://www.homedepot.com/p/Owens-Corning-R-15-Kraft-Faced-Fiberglass-Insulation-Batt-15-in-x-93-in-ME21/100320346</t>
  </si>
  <si>
    <t>https://www.homedepot.com/p/Owens-Corning-R-21-Kraft-Faced-Fiberglass-Insulation-Batt-15-in-x-93-in-ME23/303690481</t>
  </si>
  <si>
    <t>https://www.homedepot.com/p/Owens-Corning-R13-Thermafiber-Fire-and-Sound-Guard-Plus-Mineral-Wool-Insulation-Batt-15-in-x-47-in-1196588/319880476</t>
  </si>
  <si>
    <t>https://www.homedepot.com/p/Owens-Corning-R-30-Kraft-Faced-Fiberglass-Insulation-Batt-16-in-x-48-in-ME24/100320328</t>
  </si>
  <si>
    <t>https://www.homedepot.com/p/Owens-Corning-R-38-Kraft-Faced-Fiberglass-Insulation-Batt-24-in-x-48-in-E57/100320292</t>
  </si>
  <si>
    <t>https://www.homedepot.com/p/Owens-Corning-R-19-Kraft-Faced-Fiberglass-Insulation-Batt-15-in-x-93-in-E61/100320353</t>
  </si>
  <si>
    <t>https://www.homedepot.com/p/Owens-Corning-15-in-x-47-in-R15-Thermafiber-Fire-and-Sound-Guard-Plus-Mineral-Wool-Insulation-Batt-1196590/319880538</t>
  </si>
  <si>
    <t>https://www.homedepot.com/p/Owens-Corning-R-13-Kraft-Faced-Fiberglass-Insulation-Batt-15-in-x-93-in-BF10/202676829</t>
  </si>
  <si>
    <t>https://www.homedepot.com/p/Owens-Corning-R-13-Kraft-Faced-Fiberglass-Insulation-Batt-23-in-x-93-in-E52/100320326</t>
  </si>
  <si>
    <t>https://www.homedepot.com/p/Owens-Corning-R-13-Kraft-Faced-Fiberglass-Insulation-Batt-23-in-x-93-in-BF11/202585859</t>
  </si>
  <si>
    <t>https://www.homedepot.com/p/ROCKWOOL-R-15-Comfortbatt-3-1-2-in-x-15-in-x-47-in-Fire-Resistant-Stone-Wool-Insulation-Batt-59-7-sq-ft-RXCB351525/202090820</t>
  </si>
  <si>
    <t>https://www.homedepot.com/p/Owens-Corning-R-13-Unfaced-Fiberglass-Insulation-Batt-15-in-x-93-in-E51/100320320</t>
  </si>
  <si>
    <t>https://www.homedepot.com/p/Owens-Corning-R-19-Kraft-Faced-Fiberglass-Insulation-Batt-23-in-x-93-in-E54/303690817</t>
  </si>
  <si>
    <t>https://www.homedepot.com/p/Owens-Corning-R-19-Unfaced-Fiberglass-Insulation-Batt-15-in-x-93-in-E55/303691099</t>
  </si>
  <si>
    <t>https://www.homedepot.com/p/Owens-Corning-R-19-Unfaced-Fiberglass-Insulation-Batt-24-in-x-96-in-10-Bags-M50A/301446163</t>
  </si>
  <si>
    <t>https://www.homedepot.com/p/Knauf-Insulation-R-49-EcoBatt-Kraft-faced-Fiberglass-Insulation-Batt-13-3-4-in-x-24-in-x-48-in-8-Bags-690991/313646758</t>
  </si>
  <si>
    <t>https://www.homedepot.com/p/Knauf-Insulation-R-30-EcoBatt-Kraft-Faced-Fiberglass-Insulation-Batt-10-in-x-24-in-x-48-in-8-Bags-690987/313646736</t>
  </si>
  <si>
    <t>https://www.homedepot.com/p/Owens-Corning-R-30-Thermafiber-Fire-and-Sound-Guard-Plus-Mineral-Wool-Insulation-Batt-15-in-x-47-in-24-Bags-1307047/308299511</t>
  </si>
  <si>
    <t>https://www.homedepot.com/p/ROCKWOOL-R-23-Comfortbatt-5-1-2-in-x-15-in-x-47-in-Fire-Resistant-Stone-Wool-Insulation-Batt-39-8-sqft-12-Bags-RXCB551525/205972546</t>
  </si>
  <si>
    <t>https://www.homedepot.com/p/Owens-Corning-15-in-x-47-in-R21-Thermafiber-Fire-and-Sound-Guard-Plus-Mineral-Wool-Insulation-Batt-24-Bags-1196589/319897102</t>
  </si>
  <si>
    <t>https://www.homedepot.com/p/Knauf-Insulation-R-38-EcoBatt-Kraft-Faced-Fiberglass-Insulation-Batt-12-in-x-24-in-x-48-in-8-Bags-690989/313646738</t>
  </si>
  <si>
    <t>https://www.homedepot.com/p/Knauf-Insulation-R-38-EcoBatt-Kraft-Faced-High-Density-Fiberglass-Insulation-Batt-10-1-4-in-x-15-in-x-48-in-15-Bags-691020/313646747</t>
  </si>
  <si>
    <t>https://www.homedepot.com/p/Knauf-Insulation-R-21-EcoBatt-Kraft-Faced-Fiberglass-Insulation-Batt-High-Density-5-1-2-in-x-23-in-x-93-in-8-Bags-690985/313646742</t>
  </si>
  <si>
    <t>https://www.homedepot.com/p/Owens-Corning-23-in-x-47-in-R-30-Thermafiber-Fire-and-Sound-Guard-Plus-Mineral-Wool-Insulation-Batt-16-Bags-1307069/312017973</t>
  </si>
  <si>
    <t>https://www.homedepot.com/p/R-19-EcoBatt-Kraft-Faced-Fiberglass-Insulation-Batt-6-1-4-in-x-24-in-x-48-in-8-Bags-690984/313646741</t>
  </si>
  <si>
    <t>https://www.homedepot.com/p/Knauf-Insulation-R-38-EcoBatt-Kraft-Faced-Fiberglass-Insulation-Batt-12-in-x-16-in-x-48-in-12-Bags-690988/313646737</t>
  </si>
  <si>
    <t>https://www.homedepot.com/p/Owens-Corning-R-30-Kraft-Faced-Fiberglass-Insulation-Batt-24-in-x-48-in-8-Bags-E56/202744531</t>
  </si>
  <si>
    <t>https://www.homedepot.com/p/Owens-Corning-R-21-Kraft-Faced-Fiberglass-Insulation-Batt-23-in-x-93-in-10-Bags-K55A/202746285</t>
  </si>
  <si>
    <t>https://www.homedepot.com/p/Knauf-Insulation-R-21-EcoBatt-Kraft-Faced-Fiberglass-Insulation-Batt-High-Density-5-1-2-in-x-15-in-x-93-in-15-Bags-691017/313646735</t>
  </si>
  <si>
    <t>https://www.homedepot.com/p/Owens-Corning-R-13-Unfaced-Fiberglass-Insulation-Batt-23-in-x-93-in-8-Bags-U73/205469751</t>
  </si>
  <si>
    <t>https://www.homedepot.com/p/Knauf-Insulation-R-49-EcoBatt-Kraft-Faced-Insulation-Batt-13-3-4-in-x-16-in-x-48-in-12-Bags-690990/313646739</t>
  </si>
  <si>
    <t>https://www.homedepot.com/p/Owens-Corning-R-15-Kraft-Faced-Fiberglass-Insulation-Batt-23-in-x-93-in-8-Bags-K76/205469657</t>
  </si>
  <si>
    <t>https://www.homedepot.com/p/Owens-Corning-R-19-Unfaced-Fiberglass-Insulation-Batt-19-25-in-x-48-in-10-Bags-K23Q/205469792</t>
  </si>
  <si>
    <t>https://www.homedepot.com/p/Knauf-Insulation-R-15-EcoBatt-Kraft-Faced-Fiberglass-Insulation-Batt-High-Density-3-1-2-in-x-15-in-x-93-in-15-Bags-690981/313646746</t>
  </si>
  <si>
    <t>https://www.homedepot.com/p/Knauf-Insulation-R-49-EcoBatt-Unfaced-Fiberglass-Insulation-Batt-13-3-4-in-x-24-in-x-48-in-8-Bags-691004/313646777</t>
  </si>
  <si>
    <t>https://www.homedepot.com/p/Knauf-Insulation-R-30-EcoBatt-Kraft-Faced-High-Density-Fiberglass-Insulation-Batt-8-1-4-in-x-23-in-x-48-in-8-Bags-691002/313646773</t>
  </si>
  <si>
    <t>https://www.homedepot.com/p/Knauf-Insulation-R13-EcoBatt-Unfaced-Fiberglass-Insulation-Batt-3-1-2-in-x-16-in-x-96-in-15-Bags-691011/313646784</t>
  </si>
  <si>
    <t>https://www.homedepot.com/p/Knauf-Insulation-R-19-EcoBatt-Unfaced-Fiberglass-Insulation-Batt-6-1-4-in-x-16-in-x-96-in-12-Bags-691016/313646734</t>
  </si>
  <si>
    <t>https://www.homedepot.com/p/Owens-Corning-R-19-Unfaced-Fiberglass-Insulation-Batt-16-in-x-96-in-10-Bags-M47Q/205469769</t>
  </si>
  <si>
    <t>https://www.homedepot.com/p/Owens-Corning-23-in-x-47-in-R-21-Thermafiber-Fire-and-Sound-Guard-Plus-Mineral-Wool-Insulation-Batt-16-Bags-1305240/323590950</t>
  </si>
  <si>
    <t>https://www.homedepot.com/p/R-30-EcoBatt-Unfaced-Fiberglass-Insulation-Batt-10-in-x-24-in-x-48-in-8-Bags-691001/313646751</t>
  </si>
  <si>
    <t>https://www.homedepot.com/p/Knauf-Insulation-R-13-EcoBatt-Kraft-Faced-Fiberglass-Insulation-Batt-3-1-2-in-x-15-in-x-93-in-15-Bags-690979/313646769</t>
  </si>
  <si>
    <t>https://www.homedepot.com/p/Owens-Corning-R-13-Unfaced-Fiberglass-Insulation-Batt-24-in-x-96-in-8-Bags-M65/202568740</t>
  </si>
  <si>
    <t>https://www.homedepot.com/p/Knauf-Insulation-R-19-EcoBatt-Kraft-Faced-Fiberglass-Insulation-Batt-6-1-4-in-x-16-in-x-96-in-12-Bags-691015/313646783</t>
  </si>
  <si>
    <t>https://www.homedepot.com/p/Knauf-Insulation-R-19-EcoBatt-Kraft-Faced-Fiberglass-Insulation-Batt-6-1-4-in-x-15-in-x-94-in-12-Bags-690982/313646748</t>
  </si>
  <si>
    <t>https://www.homedepot.com/p/Knauf-Insulation-R-30-EcoBatt-Kraft-Faced-Fiberglass-Insulation-Batt-10-in-x-16-in-x-48-in-12-Bags-690986/313646743</t>
  </si>
  <si>
    <t>https://www.homedepot.com/p/Owens-Corning-23-in-x-47-in-R13-Thermafiber-Fire-and-Sound-Guard-Plus-Mineral-Wool-Insulation-Batt-16-Bags-1307039/323591294</t>
  </si>
  <si>
    <t>https://www.homedepot.com/p/Knauf-Insulation-R-19-EcoBatt-Kraft-Faced-Fiberglass-Insulation-Batt-6-1-4-in-x-23-in-x-94-in-8-Bags-690983/313646740</t>
  </si>
  <si>
    <t>https://www.homedepot.com/p/Knauf-Insulation-R-15-EcoBatt-Unfaced-Fiberglass-Insulation-Batt-High-Density-3-1-2-in-x-15-in-x-93-in-15-Bags-691012/313646785</t>
  </si>
  <si>
    <t>https://www.homedepot.com/p/Knauf-Insulation-R-13-EcoBatt-Kraft-Faced-Fiberglass-Insulation-Batt-3-1-2-in-x-16-in-x-96-in-15-Bags-691010/313646791</t>
  </si>
  <si>
    <t>https://www.homedepot.com/p/Owens-Corning-R-30-Cathedral-Ceiling-Unfaced-Fiberglass-Insulation-Batt-15-1-2-in-x-48-in-10-Bags-U83/202947006</t>
  </si>
  <si>
    <t>https://www.homedepot.com/p/R-19-Denim-Insulation-Batts-15-in-x-93-in-12-Bags-10003-01915/204622703</t>
  </si>
  <si>
    <t>https://www.homedepot.com/p/Owens-Corning-R-13-Kraft-Faced-Fiberglass-Insulation-Continuous-Roll-15-in-x-32-ft-RF10/202585857</t>
  </si>
  <si>
    <t>https://www.homedepot.com/p/Owens-Corning-R-19-Kraft-Faced-Fiberglass-Insulation-Continuous-Roll-15-in-x-39-2-ft-RF40/202585898</t>
  </si>
  <si>
    <t>https://www.homedepot.com/p/Owens-Corning-R-30-Unfaced-Fiberglass-Insulation-Roll-15-in-x-25-ft-RU70/202585906</t>
  </si>
  <si>
    <t>https://www.homedepot.com/p/Owens-Corning-R-15-Kraft-Faced-Fiberglass-Insulation-Roll-15-in-x-24-ft-RF32/205687672</t>
  </si>
  <si>
    <t>https://www.homedepot.com/p/Knauf-Insulation-R-30-EcoRoll-Unfaced-Fiberglass-Insulation-Roll-10-in-x-23-in-x-22-ft-12-Rolls-689972/313646774</t>
  </si>
  <si>
    <t>https://www.homedepot.com/p/Knauf-Insulation-R-19-EcoRoll-Kraft-Faced-Fiberglass-Insulation-Roll-6-1-4-in-x-15-in-x-39-16-ft-18-Rolls-690977/313646776</t>
  </si>
  <si>
    <t>https://www.homedepot.com/p/Knauf-Insulation-R-19-EcoRoll-Kraft-Faced-Fiberglass-Insulation-Roll-6-1-4-in-x-23-in-x-39-2-ft-12-Rolls-690976/313646778</t>
  </si>
  <si>
    <t>https://www.homedepot.com/p/Knauf-Insulation-R-13-EcoRoll-Kraft-Faced-Fiberglass-Insulation-Roll-3-1-2-in-x-15-in-x-32-ft-36-Rolls-690975/313646780</t>
  </si>
  <si>
    <t>https://www.homedepot.com/p/Owens-Corning-R-6-7-EcoTouch-PINK-Multi-Purpose-Small-Project-Unfaced-Fiberglasss-Insulation-Roll-16-in-x-48-in-A85P/100320315</t>
  </si>
  <si>
    <t>https://www.homedepot.com/p/Knauf-Insulation-R-30-EcoRoll-Unfaced-Fiberglass-Insulation-Roll-10-in-x-15-in-x-22-ft-18-Rolls-689971/313646772</t>
  </si>
  <si>
    <t>https://www.homedepot.com/p/Owens-Corning-R-30-Unfaced-Fiberglass-Insulation-Roll-23-in-x-25-ft-12-Rolls-RU71/202691435</t>
  </si>
  <si>
    <t>https://www.homedepot.com/p/Johns-Manville-R-13-Kraft-Faced-Fiberglass-Insulation-Roll-15-in-x-32-ft-B1284/100317834</t>
  </si>
  <si>
    <t>https://www.homedepot.com/p/Johns-Manville-R-30-Kraft-Faced-Fiberglass-Insulation-Batt-24-in-x-48-in-K1243/100317838</t>
  </si>
  <si>
    <t>https://www.homedepot.com/p/Johns-Manville-R-13-Kraft-Faced-Fiberglass-Insulation-Batt-15-in-x-93-in-K1241/100317842</t>
  </si>
  <si>
    <t>https://www.homedepot.com/p/Johns-Manville-R-19-Kraft-Faced-Fiberglass-Insulation-Batt-15-in-x-93-in-K1250/100317839</t>
  </si>
  <si>
    <t>https://www.homedepot.com/p/Johns-Manville-R-19-Kraft-Faced-Fiberglass-Insulation-Batt-23-in-x-93-in-K1251/100317840</t>
  </si>
  <si>
    <t>https://www.homedepot.com/p/Johns-Manville-R-30-Unfaced-Fiberglass-Insulation-Roll-15-in-x-25-ft-B390/206116323</t>
  </si>
  <si>
    <t>https://www.homedepot.com/p/Johns-Manville-R-19-Kraft-Faced-Fiberglass-Insulation-Roll-15-in-x-39-16-ft-B240/100317851</t>
  </si>
  <si>
    <t>https://www.homedepot.com/p/Owens-Corning-R-13-Kraft-Faced-Fiberglass-Insulation-Fiberglass-Insulation-Batt-15-in-x-93-in-10-Bags-BF10/205470785</t>
  </si>
  <si>
    <t>https://www.homedepot.com/p/Owens-Corning-R-19-Kraft-Faced-Fiberglass-Insulation-Batt-15-in-x-93-in-10-Bags-E61/315132875</t>
  </si>
  <si>
    <t>https://www.homedepot.com/p/Johns-Manville-R-13-Unfaced-Fiberglass-Insulation-Batt-15-in-x-93-in-U1330/100317868</t>
  </si>
  <si>
    <t>https://www.homedepot.com/p/Johns-Manville-Small-Project-Unfaced-Fiberglass-Insulation-Roll-16-in-x-4-ft-B777CT40/206116325</t>
  </si>
  <si>
    <t>https://www.homedepot.com/p/Owens-Corning-R-6-7-PINK-Multi-Purpose-Small-Project-Unfaced-Fiberglasss-Insulation-Roll-16-in-x-48-in-40-Bags-A85P-PLT/204208833</t>
  </si>
  <si>
    <t>https://www.homedepot.com/p/Owens-Corning-R-13-Kraft-Faced-Fiberglass-Insulation-Roll-15-in-x-384-in-24-Rolls-RF10/314607544</t>
  </si>
  <si>
    <t>Exterior Sheathing</t>
  </si>
  <si>
    <t>FOAMULAR 1/2 in. x 4 ft. x 8 ft. R-3 Square Edge Rigid Foam Board Insulation Sheathing</t>
  </si>
  <si>
    <t>https://www.homedepot.com/p/Owens-Corning-FOAMULAR-1-2-in-x-4-ft-x-8-ft-R-3-Square-Edge-Rigid-Foam-Board-Insulation-Sheathing-36L/100320356</t>
  </si>
  <si>
    <t>2x4 Wall, 2x6 Wall, Attic, Basement, Ceiling Insulation, Crawlspace, Exterior Sheathing, Garage, Re-Siding</t>
  </si>
  <si>
    <t>Pro Select R-Matte Plus-3, 0.5 in. x 48 in. x 8 ft. R-3.2 ISO Rigid Foam Board Insulation</t>
  </si>
  <si>
    <t>https://www.homedepot.com/p/RMAX-Pro-Select-R-Matte-Plus-3-0-5-in-x-48-in-x-8-ft-R-3-2-ISO-Rigid-Foam-Board-Insulation-637902/313501506</t>
  </si>
  <si>
    <t>2x4 Wall, 2x6 Wall, 2x8 Wall, Attic, Basement, Ceiling Insulation, Crawlspace, Exterior Sheathing, Garage, Metal Building, Re-Siding</t>
  </si>
  <si>
    <t>0.625 in. x 48 in. x 24 in. 72 sq. ft. R-3 Graphite Radiant Barrier Wall Insulation Kit (9-Sheets/Kit)</t>
  </si>
  <si>
    <t>https://www.homedepot.com/p/SilveRboard-0-625-in-x-48-in-x-24-in-72-sq-ft-R-3-Graphite-Radiant-Barrier-Wall-Insulation-Kit-9-Sheets-Kit-SBGXS062502PKIT/306858613</t>
  </si>
  <si>
    <t>2x4 Wall, 2x6 Wall, Attic, Basement, Ceiling Insulation, Crawlspace, Exterior Sheathing, Floor, Garage, Re-Siding</t>
  </si>
  <si>
    <t>3/4 in. x 1.25 ft. x 4 ft. R-2.65 Polystyrene Panel Insulation Sheathing (6-Pack)</t>
  </si>
  <si>
    <t>https://www.homedepot.com/p/3-4-in-x-1-25-ft-x-4-ft-R-2-65-Polystyrene-Panel-Insulation-Sheathing-6-Pack-150705/202090272</t>
  </si>
  <si>
    <t>Exterior Wall</t>
  </si>
  <si>
    <t>FOAMULAR 150 1 in. x 4 ft. x 8 ft. R-5 Scored Square Edge Rigid Foam Board Insulation Sheathing</t>
  </si>
  <si>
    <t>https://www.homedepot.com/p/Owens-Corning-FOAMULAR-150-1-in-x-4-ft-x-8-ft-R-5-Scored-Square-Edge-Rigid-Foam-Board-Insulation-Sheathing-20WE/207179253</t>
  </si>
  <si>
    <t>2x4 Wall, 2x6 Wall, Attic, Basement, Crawlspace, Exterior Sheathing, Exterior Wall Foundation, Garage, Under Slab</t>
  </si>
  <si>
    <t>1 in. x 48 in. x 8 ft. R-3.85 Insulating Sheathing</t>
  </si>
  <si>
    <t>https://www.homedepot.com/p/R-Tech-1-in-x-48-in-x-8-ft-R-3-85-Insulating-Sheathing-320821/202532854</t>
  </si>
  <si>
    <t>2x4 Wall, 2x6 Wall, 2x8 Wall, Attic, Basement, Ceiling Insulation, Exterior Sheathing, Garage, Interior Wall, Metal Building, Re-Siding</t>
  </si>
  <si>
    <t>1 in. x 2 ft. x 48 in. R5 Radiant Acoustic Insulation Kit - STC 19 (12 sheets) - 96 sq. ft.</t>
  </si>
  <si>
    <t>https://www.homedepot.com/p/SilveRboard-1-in-x-2-ft-x-48-in-R5-Radiant-Acoustic-Insulation-Kit-STC-19-12-sheets-96-sq-ft-SB12AKIT/205975329</t>
  </si>
  <si>
    <t>Formular 1 in. x 2 ft. x 2 ft. Rigid Foam Board Insulation Sheathing</t>
  </si>
  <si>
    <t>https://www.homedepot.com/p/Project-Panels-Formular-1-in-x-2-ft-x-2-ft-Rigid-Foam-Board-Insulation-Sheathing-PP1/203553730</t>
  </si>
  <si>
    <t>Exterior Wall Foundation</t>
  </si>
  <si>
    <t>FP Ultra Lite 1 in. x 2 ft. x 4 ft. Stucco Grey Foundation Panel</t>
  </si>
  <si>
    <t>https://www.homedepot.com/p/STYRO-Industries-FP-Ultra-Lite-1-in-x-2-ft-x-4-ft-Stucco-Grey-Foundation-Panel-SFL-200-0103/203928664</t>
  </si>
  <si>
    <t>FP Ultra Lite 1 in. x 2 ft. x 4 ft. Natural Tan Foundation Panel</t>
  </si>
  <si>
    <t>https://www.homedepot.com/p/STYRO-Industries-FP-Ultra-Lite-1-in-x-2-ft-x-4-ft-Natural-Tan-Foundation-Panel-SFL-200-0102/203928360</t>
  </si>
  <si>
    <t>FP Ultra Lite 1 in. x 2 ft. x 4 ft. Earthtone Brown Foundation Panel</t>
  </si>
  <si>
    <t>https://www.homedepot.com/p/STYRO-Industries-FP-Ultra-Lite-1-in-x-2-ft-x-4-ft-Earthtone-Brown-Foundation-Panel-SFL-200-0101/203928162</t>
  </si>
  <si>
    <t>FOAMULAR 150 1-1/2 in. x 4 ft. x 8 ft. R-7.5 Scored Squared Edge Rigid Foam Board Insulation Sheathing</t>
  </si>
  <si>
    <t>https://www.homedepot.com/p/Owens-Corning-FOAMULAR-150-1-1-2-in-x-4-ft-x-8-ft-R-7-5-Scored-Squared-Edge-Rigid-Foam-Board-Insulation-Sheathing-88WD/202085958</t>
  </si>
  <si>
    <t>1 1/2 in x 48 in. x 8 ft. R-5.78 EPS Rigid Foam Board Insulation</t>
  </si>
  <si>
    <t>https://www.homedepot.com/p/R-Tech-1-1-2-in-x-48-in-x-8-ft-R-5-78-EPS-Rigid-Foam-Board-Insulation-320817/202532855</t>
  </si>
  <si>
    <t>Exterior Sheathing, Exterior Wall Foundation, Under Slab</t>
  </si>
  <si>
    <t>FOAMULAR 250 2 in. x 48 in. x 8 ft. R-10 Scored Squared Edge Foam Board Insulation Sheathing</t>
  </si>
  <si>
    <t>https://www.homedepot.com/p/Owens-Corning-FOAMULAR-250-2-in-x-48-in-x-8-ft-R-10-Scored-Squared-Edge-Foam-Board-Insulation-Sheathing-52DD/202085962</t>
  </si>
  <si>
    <t>2 in. x 48 in. x 8 ft. R-7.7 EPS Rigid Foam Board Insulation</t>
  </si>
  <si>
    <t>https://www.homedepot.com/p/R-Tech-2-in-x-48-in-x-8-ft-R-7-7-EPS-Rigid-Foam-Board-Insulation-310891/202532856</t>
  </si>
  <si>
    <t>FOAMULAR 150 2 in. x 4 ft. x 8 ft. R-10 Scored Squared Edge Rigid Foam Board Insulation Sheathing</t>
  </si>
  <si>
    <t>https://www.homedepot.com/p/Owens-Corning-FOAMULAR-150-2-in-x-4-ft-x-8-ft-R-10-Scored-Squared-Edge-Rigid-Foam-Board-Insulation-Sheathing-45W/100320352</t>
  </si>
  <si>
    <t>Basement</t>
  </si>
  <si>
    <t>FOAMULAR 150 2 in. x 4 ft. x 8 ft. R-10 Unfaced Squared Edge Insulation Sheathing</t>
  </si>
  <si>
    <t>https://www.homedepot.com/p/Owens-Corning-FOAMULAR-150-2-in-x-4-ft-x-8-ft-R-10-Unfaced-Squared-Edge-Insulation-Sheathing-6W/306142686</t>
  </si>
  <si>
    <t>R10 High Density 35 PSI Under Slab Insulation Kit - (10 Sheets) 2 in. x 2 ft. x 4 ft. - 80 sq. ft.</t>
  </si>
  <si>
    <t>https://www.homedepot.com/p/SilveRboard-R10-High-Density-35-PSI-Under-Slab-Insulation-Kit-10-Sheets-2-in-x-2-ft-x-4-ft-80-sq-ft-SB35S200424KIT/319467897</t>
  </si>
  <si>
    <t>STYRO Industries FP Ultra Lite 2 in. x 2 ft. x 4 ft. Stucco Grey Foundation Panel SFL-200-2103 - The Home Depot</t>
  </si>
  <si>
    <t>https://www.homedepot.com/p/STYRO-Industries-FP-Ultra-Lite-2-in-x-2-ft-x-4-ft-Stucco-Grey-Foundation-Panel-SFL-200-2103/203929090</t>
  </si>
  <si>
    <t>FP Ultra Lite 2 in. x 2 ft. x 4 ft. Earth Tone Brown Foundation Panel</t>
  </si>
  <si>
    <t>https://www.homedepot.com/p/STYRO-Industries-FP-Ultra-Lite-2-in-x-2-ft-x-4-ft-Earth-Tone-Brown-Foundation-Panel-SFL-200-2101/203929085</t>
  </si>
  <si>
    <t>FP Ultra Lite 2 in. x 2 ft. x 4 ft. Natural Tan Foundation Panel</t>
  </si>
  <si>
    <t>https://www.homedepot.com/p/STYRO-Industries-FP-Ultra-Lite-2-in-x-2-ft-x-4-ft-Natural-Tan-Foundation-Panel-SFL-200-2102/203929088</t>
  </si>
  <si>
    <t>Basement, Exterior Wall Foundation, Floor, Garage, Under Slab</t>
  </si>
  <si>
    <t>Envirosheet H.D Insulation with drainage-2-3/8in. x 2ft. x 4ft.(8 Panels)-64 sq ft. - R10 - Ext/Int-Below/Above Grade</t>
  </si>
  <si>
    <t>https://www.homedepot.com/p/Amvic-Envirosheet-H-D-Insulation-with-drainage-2-3-8in-x-2ft-x-4ft-8-Panels-64-sq-ft-R10-Ext-Int-Below-Above-Grade-AMDKIT001/301619814</t>
  </si>
  <si>
    <t>Sticky Mesh Heavy Duty</t>
  </si>
  <si>
    <t>Basement, Ceiling Insulation, Exterior Sheathing, Exterior Wall, Exterior Wall Foundation, Interior Ceiling, Interior Wall, Wood Siding</t>
  </si>
  <si>
    <t>19 in. x 150 ft. Sticky Mesh Heavy Duty</t>
  </si>
  <si>
    <t>https://www.homedepot.com/p/STYRO-Industries-19-in-x-150-ft-Sticky-Mesh-Heavy-Duty-SM19/203009646</t>
  </si>
  <si>
    <t>38 in x 150 ft Sticky Mesh Heavy Duty</t>
  </si>
  <si>
    <t>https://www.homedepot.com/p/STYRO-Industries-38-in-x-150-ft-Sticky-Mesh-Heavy-Duty-SM38/203009647</t>
  </si>
  <si>
    <t>9-1/2 in. x 150 ft. Sticky Mesh Heavy Duty</t>
  </si>
  <si>
    <t>https://www.homedepot.com/p/STYRO-Industries-9-1-2-in-x-150-ft-Sticky-Mesh-Heavy-Duty-SM9/203009645</t>
  </si>
  <si>
    <t>Spray Can</t>
  </si>
  <si>
    <t>12 oz. Gaps and Cracks Insulating Spray Foam Sealant</t>
  </si>
  <si>
    <t>https://www.homedepot.com/p/GREAT-STUFF-12-oz-Gaps-and-Cracks-Insulating-Spray-Foam-Sealant-227112/202893728</t>
  </si>
  <si>
    <t>656 oz. 200 ft. Insulation Kit Spray Foam Sealant</t>
  </si>
  <si>
    <t>https://www.homedepot.com/p/656-oz-200-ft-Insulation-Kit-Spray-Foam-Sealant-P12055/321211061</t>
  </si>
  <si>
    <t>12 oz. Big Gap Filler Insulating Spray Foam Sealant</t>
  </si>
  <si>
    <t>https://www.homedepot.com/p/GREAT-STUFF-12-oz-Big-Gap-Filler-Insulating-Spray-Foam-Sealant-363103/202893739</t>
  </si>
  <si>
    <t>Loctite TITE FOAM Gaps and Cracks Spray Foam, Bright White, 12 fl oz Can, Insulating Spray Foam Sealant</t>
  </si>
  <si>
    <t>https://www.homedepot.com/p/Loctite-Loctite-TITE-FOAM-Gaps-and-Cracks-Spray-Foam-Bright-White-12-fl-oz-Can-Insulating-Spray-Foam-Sealant-2045981/206310510?ITC=AUC-227039-23-12070</t>
  </si>
  <si>
    <t>200 Spray Foam Sealant Kit 656 oz.</t>
  </si>
  <si>
    <t>https://www.homedepot.com/p/FROTH-PAK-200-Spray-Foam-Sealant-Kit-656-oz-12031949/316253042</t>
  </si>
  <si>
    <t>Loctite TITE FOAM Windows and Doors Spray Foam, Bright White, 12 fl oz Can, Insulating Spray Foam Sealant</t>
  </si>
  <si>
    <t>https://www.homedepot.com/p/Loctite-Loctite-TITE-FOAM-Windows-and-Doors-Spray-Foam-Bright-White-12-fl-oz-Can-Insulating-Spray-Foam-Sealant-2260115/302135916</t>
  </si>
  <si>
    <t>Spray Foam Insulation</t>
  </si>
  <si>
    <t>1851.2 oz. 600 ft. Insulation Kit Spray Foam Sealant</t>
  </si>
  <si>
    <t>https://www.homedepot.com/p/1851-2-oz-600-ft-Insulation-Kit-Spray-Foam-Sealant-P12056/322339268</t>
  </si>
  <si>
    <t>Loctite TITE FOAM Big Gaps Spray Foam, Bright White, 12 fl oz Can, Insulating Spray Foam Sealant</t>
  </si>
  <si>
    <t>https://www.homedepot.com/p/Loctite-Loctite-TITE-FOAM-Big-Gaps-Spray-Foam-Bright-White-12-fl-oz-Can-Insulating-Spray-Foam-Sealant-2839291/305120190</t>
  </si>
  <si>
    <t>24 oz. Gaps and Cracks Insulating Spray Foam Sealant</t>
  </si>
  <si>
    <t>https://www.homedepot.com/p/GREAT-STUFF-PRO-24-oz-Gaps-and-Cracks-Insulating-Spray-Foam-Sealant-341557/202892471</t>
  </si>
  <si>
    <t>Smart Dispenser 12 oz. Window and Door Insulating Spray Foam Sealant</t>
  </si>
  <si>
    <t>https://www.homedepot.com/p/GREAT-STUFF-Smart-Dispenser-12-oz-Window-and-Door-Insulating-Spray-Foam-Sealant-99108862/312450331</t>
  </si>
  <si>
    <t>20 oz. Window and Door Insulating Spray Foam Sealant</t>
  </si>
  <si>
    <t>https://www.homedepot.com/p/GREAT-STUFF-PRO-20-oz-Window-and-Door-Insulating-Spray-Foam-Sealant-187273/202892495</t>
  </si>
  <si>
    <t>Fireblock 12 oz. Spray Foam Sealant</t>
  </si>
  <si>
    <t>https://www.homedepot.com/p/Loctite-Fireblock-12-oz-Spray-Foam-Sealant-2866858/323830711?ITC=AUC-227039-23-12070</t>
  </si>
  <si>
    <t>12 oz. Window and Door Insulating Spray Foam Sealant</t>
  </si>
  <si>
    <t>https://www.homedepot.com/p/GREAT-STUFF-12-oz-Window-and-Door-Insulating-Spray-Foam-Sealant-230612/202893747</t>
  </si>
  <si>
    <t>Low GWP 650 Spray Foam Sealant Insulation Kit</t>
  </si>
  <si>
    <t>https://www.homedepot.com/p/FROTH-PAK-Low-GWP-650-Spray-Foam-Sealant-Insulation-Kit-12031907/323690577</t>
  </si>
  <si>
    <t>Pro Window and Door 21 oz. Spray Foam Sealant</t>
  </si>
  <si>
    <t>https://www.homedepot.com/p/Loctite-Pro-Window-and-Door-21-oz-Spray-Foam-Sealant-2865807/323836061</t>
  </si>
  <si>
    <t>Pro Gaps and Cracks 21 oz. Spray Foam Sealant</t>
  </si>
  <si>
    <t>https://www.homedepot.com/p/Loctite-Pro-Gaps-and-Cracks-21-oz-Spray-Foam-Sealant-2866859/323836044?ITC=AUC-227039-23-12070</t>
  </si>
  <si>
    <t>Low GWP 620 Spray Foam Sealant Kit</t>
  </si>
  <si>
    <t>https://www.homedepot.com/p/FROTH-PAK-Low-GWP-620-Spray-Foam-Sealant-Kit-12031908/323885038</t>
  </si>
  <si>
    <t>210 Spray Foam Sealant Insulation Kit</t>
  </si>
  <si>
    <t>https://www.homedepot.com/p/FROTH-PAK-210-Spray-Foam-Sealant-Insulation-Kit-12031897/320450849</t>
  </si>
  <si>
    <t>48 oz. Gaps and Cracks Insulating Spray Foam Sealant Kit</t>
  </si>
  <si>
    <t>https://www.homedepot.com/p/GREAT-STUFF-48-oz-Gaps-and-Cracks-Insulating-Spray-Foam-Sealant-Kit-KTGS-1557/319676322</t>
  </si>
  <si>
    <t>Pro 26.5 oz Construction Adhesive</t>
  </si>
  <si>
    <t>https://www.homedepot.com/p/GREAT-STUFF-PRO-Pro-26-5-oz-Construction-Adhesive-343087/202892488</t>
  </si>
  <si>
    <t>40 oz. Pestblock Spray Foam Sealant Kit</t>
  </si>
  <si>
    <t>https://www.homedepot.com/p/GREAT-STUFF-40-oz-Pestblock-Spray-Foam-Sealant-Kit-KTGS-3754/319676339</t>
  </si>
  <si>
    <t>40 oz. Window and Door Insulating Spray Foam Sealant Kit</t>
  </si>
  <si>
    <t>https://www.homedepot.com/p/GREAT-STUFF-40-oz-Window-and-Door-Insulating-Spray-Foam-Sealant-Kit-KTGS-7273/324683918</t>
  </si>
  <si>
    <t>Thermafiber RainBarrier CI HC 2 in. x 24 in. x 48 in. Mineral Wool Insulation (96-Pieces)</t>
  </si>
  <si>
    <t>https://www.homedepot.com/p/Owens-Corning-Thermafiber-RainBarrier-CI-HC-2-in-x-24-in-x-48-in-Mineral-Wool-Insulation-96-Pieces-1096865/319282702</t>
  </si>
  <si>
    <t>Stone Wool Roll</t>
  </si>
  <si>
    <t>2x4 Wall, Basement, Ceiling Insulation, Floor</t>
  </si>
  <si>
    <t>Safe 'n' Sound 3 in. x 15-1/4 in. x 47 in. Soundproofing and Fire Resistant Stone Wool Insulation Batt (59.7 sq. ft.)</t>
  </si>
  <si>
    <t>https://www.homedepot.com/p/ROCKWOOL-Safe-n-Sound-3-in-x-15-1-4-in-x-47-in-Soundproofing-and-Fire-Resistant-Stone-Wool-Insulation-Batt-59-7-sq-ft-RXSS31525/202531875</t>
  </si>
  <si>
    <t>Mineral Wool Batt</t>
  </si>
  <si>
    <t>2x4 Wall, Between Walls, Ceiling Insulation, Crawlspace, Exterior Wall, Interior Wall</t>
  </si>
  <si>
    <t>R13 Thermafiber Fire and Sound Guard Plus Mineral Wool Insulation Batt 15 in. x 47 in.</t>
  </si>
  <si>
    <t>15 in. x 47 in. R15 Thermafiber Fire and Sound Guard Plus Mineral Wool Insulation Batt</t>
  </si>
  <si>
    <t>Stone Wool Batt</t>
  </si>
  <si>
    <t>2x4 Wall, Attic, Basement, Ceiling Insulation, Crawlspace, Floor</t>
  </si>
  <si>
    <t>R-15 Comfortbatt 3-1/2 in. x 15 in. x 47 in. Fire Resistant Stone Wool Insulation Batt (59.7 sq. ft.)</t>
  </si>
  <si>
    <t>Ceiling Insulation, Floor</t>
  </si>
  <si>
    <t>R-30 Thermafiber Fire and Sound Guard Plus Mineral Wool Insulation Batt 15 in. x 47 in. (24-Bags)</t>
  </si>
  <si>
    <t>2x6 Wall</t>
  </si>
  <si>
    <t>23 in. x 47 in. R-23 Thermafiber Fire and Sound Guard Plus Mineral Wool Insulation Batt(16-Bags)</t>
  </si>
  <si>
    <t>https://www.homedepot.com/p/Owens-Corning-23-in-x-47-in-R-23-Thermafiber-Fire-and-Sound-Guard-Plus-Mineral-Wool-Insulation-Batt-16-Bags-1307042/308298846</t>
  </si>
  <si>
    <t>23 in. x 47 in. R-30 Thermafiber Fire and Sound Guard Plus Mineral Wool Insulation Batt (16-Bags)</t>
  </si>
  <si>
    <t>2x6 Wall, Between Walls, Ceiling Insulation, Crawlspace, Exterior Wall, Interior Wall</t>
  </si>
  <si>
    <t>15 in. x 47 in. R21 Thermafiber Fire and Sound Guard Plus Mineral Wool Insulation Batt (24-Bags)</t>
  </si>
  <si>
    <t>23 in. x 47 in. R-21 Thermafiber Fire and Sound Guard Plus Mineral Wool Insulation Batt(16-Bags)</t>
  </si>
  <si>
    <t>23 in. x 47 in. R13 Thermafiber Fire and Sound Guard Plus Mineral Wool Insulation Batt (16-Bags)</t>
  </si>
  <si>
    <t>2x4 Wall, 2x6 Wall, 2x8 Wall, Basement, Between Walls, Ceiling Insulation, Floor, Garage, Interior Ceiling, Interior Wall, Joists, Roof</t>
  </si>
  <si>
    <t>25 lbs. Cellulose Blown-In Insulation or Spray Applied Insulation</t>
  </si>
  <si>
    <t>https://www.homedepot.com/p/Greenfiber-25-lbs-Cellulose-Blown-In-Insulation-or-Spray-Applied-Insulation-INSSANC/311574454</t>
  </si>
  <si>
    <t>Attic</t>
  </si>
  <si>
    <t>AttiCat Pink Expanding Fiberglass Blown-In Insulation System 27.5 lbs.</t>
  </si>
  <si>
    <t>https://www.homedepot.com/p/Owens-Corning-AttiCat-Pink-Expanding-Fiberglass-Blown-In-Insulation-System-27-5-lbs-L38A/100541755</t>
  </si>
  <si>
    <t>2x4 Wall, 2x6 Wall, Attic, Ceiling Insulation</t>
  </si>
  <si>
    <t>TAP EPA Registered Pest Control Cellulose Blown-In Insulation 30 lbs. (36-Bags)</t>
  </si>
  <si>
    <t>https://www.homedepot.com/p/TAP-Pest-Control-Insulation-TAP-EPA-Registered-Pest-Control-Cellulose-Blown-In-Insulation-30-lbs-36-Bags-INSTAPLD/305501160</t>
  </si>
  <si>
    <t>25 lbs. Cellulose Blown-In Insulation or Spray Applied Insulation (42-Bags)</t>
  </si>
  <si>
    <t>https://www.homedepot.com/p/Greenfiber-25-lbs-Cellulose-Blown-In-Insulation-or-Spray-Applied-Insulation-42-Bags-INSSANC42/324699891</t>
  </si>
  <si>
    <t>2x4 Wall, 2x6 Wall, Attics, Basement, Between Walls, Ceilings, Floor, Walls, Crawlspace</t>
  </si>
  <si>
    <t>US Greenfiber SANCTUARY by Greenfiber R-60 Cellulose Blown-In Insulation Sound Barrier 48.7-sq ft per bag (25 lbs.)</t>
  </si>
  <si>
    <t>Lowes</t>
  </si>
  <si>
    <t>https://www.lowes.com/pd/US-Greenfiber-SANCTUARY-by-Greenfiber-R-60-Blown-In-Insulation-Sound-Barrier/5001939515</t>
  </si>
  <si>
    <t>Owens Corning R-19 Fiberglass Blown-In Insulation Sound Barrier 110.7-sq ft per bag (28.5 lbs.)</t>
  </si>
  <si>
    <t>https://www.lowes.com/pd/Owens-Corning-AttiCat-R-19-Blown-In-Insulation-Sound-Barrier/50370322</t>
  </si>
  <si>
    <t>Owens Corning AttiCat</t>
  </si>
  <si>
    <t>https://www.lowes.com/collections/Owens-Corning-AttiCat/GR_1942</t>
  </si>
  <si>
    <t>Open Cell Polyurethane</t>
  </si>
  <si>
    <t>Handi-Foam™ Low Density Spray Foam</t>
  </si>
  <si>
    <t>Touch n Seal Spray Foam Insulation Kit 1000 Open Cell LOW GWP</t>
  </si>
  <si>
    <t>Versi-Foam System 100 Spray Foam Kit, 1200 Board ft, Open Cell .75 PCF</t>
  </si>
  <si>
    <t>Versi-Foam System 31 Spray Foam Kit, 380 Board ft., Open Cell .75 PCF</t>
  </si>
  <si>
    <t>Touch 'n Seal® Low GWP Foam Kit 1.0 PCF FR</t>
  </si>
  <si>
    <t>Low GWP Touch N' Seal Low Density (1.0 PCF) Spray Foam </t>
  </si>
  <si>
    <t>Low GWP Touch N' Seal Low Density (1.0 PCF) Spray Foam</t>
  </si>
  <si>
    <t>Handi-Foam 1350 Open Cell Low Density Spray Foam Kit</t>
  </si>
  <si>
    <t>Handi-Foam Expanding Spray Foam Kit 1350</t>
  </si>
  <si>
    <t>Batt Ceiling Insulation</t>
  </si>
  <si>
    <t>Homewyse</t>
  </si>
  <si>
    <t>Batt Wall Insulation</t>
  </si>
  <si>
    <t>Blown-In Wall Insulation</t>
  </si>
  <si>
    <t>Crawl Space Insulation</t>
  </si>
  <si>
    <t>Machine Readable Results</t>
  </si>
  <si>
    <t>Component &amp; Class</t>
  </si>
  <si>
    <t>Retail Price Regression, Performance metric 1</t>
  </si>
  <si>
    <t>Retail Price Regression, Performance metric 2</t>
  </si>
  <si>
    <t>Retail Price Regression, Intercepts</t>
  </si>
  <si>
    <t>Additional Data</t>
  </si>
  <si>
    <t>Class</t>
  </si>
  <si>
    <t>Output Units</t>
  </si>
  <si>
    <t>Coefficient-Low</t>
  </si>
  <si>
    <t>Coefficient-Mid</t>
  </si>
  <si>
    <t>Coefficient-High</t>
  </si>
  <si>
    <t>Metric</t>
  </si>
  <si>
    <t>Unit</t>
  </si>
  <si>
    <t>Lower Bound</t>
  </si>
  <si>
    <t>Upper Bound</t>
  </si>
  <si>
    <t>Int-Low</t>
  </si>
  <si>
    <t>Int-Mid</t>
  </si>
  <si>
    <t>Int-High</t>
  </si>
  <si>
    <t>New Construction</t>
  </si>
  <si>
    <t>Retrofit</t>
  </si>
  <si>
    <t>Data Sources</t>
  </si>
  <si>
    <t>Wood/Steel Stud</t>
  </si>
  <si>
    <t>2023$/sqft</t>
  </si>
  <si>
    <t>ft2·°F·h/BTU</t>
  </si>
  <si>
    <t>N/A</t>
  </si>
  <si>
    <t>High</t>
  </si>
  <si>
    <t>Spray Foam (Open Cell)</t>
  </si>
  <si>
    <t>Spray Foam (Closed Cell)</t>
  </si>
  <si>
    <t>1, 4, 10</t>
  </si>
  <si>
    <t>OSB</t>
  </si>
  <si>
    <t>Quantile Regression Results</t>
  </si>
  <si>
    <t>Batt - Wall</t>
  </si>
  <si>
    <t>Bounds Metric 1 (R-value):</t>
  </si>
  <si>
    <t>Sample Size:</t>
  </si>
  <si>
    <r>
      <t>Median R</t>
    </r>
    <r>
      <rPr>
        <b/>
        <vertAlign val="superscript"/>
        <sz val="11"/>
        <color theme="1"/>
        <rFont val="Calibri"/>
        <family val="2"/>
        <scheme val="minor"/>
      </rPr>
      <t>2</t>
    </r>
    <r>
      <rPr>
        <b/>
        <sz val="11"/>
        <color theme="1"/>
        <rFont val="Calibri"/>
        <family val="2"/>
        <scheme val="minor"/>
      </rPr>
      <t>:</t>
    </r>
  </si>
  <si>
    <t>Batt - Floor/Ceiling</t>
  </si>
  <si>
    <t>Loose Fill - Floor/Ceiling</t>
  </si>
  <si>
    <t>Loose Fill - Wall</t>
  </si>
  <si>
    <t>Rigid Foam ISO</t>
  </si>
  <si>
    <t>Rigid Foam XPS</t>
  </si>
  <si>
    <t>Rigid Foam EPS</t>
  </si>
  <si>
    <t>Spray Foam - Open Cell</t>
  </si>
  <si>
    <t>Spray Foam - Closed Cell</t>
  </si>
  <si>
    <t>Labor Cost</t>
  </si>
  <si>
    <t>Link</t>
  </si>
  <si>
    <t>Low</t>
  </si>
  <si>
    <t>Description</t>
  </si>
  <si>
    <t>Brand</t>
  </si>
  <si>
    <t>Model Number</t>
  </si>
  <si>
    <t>thickness_in</t>
  </si>
  <si>
    <t>Height (in)</t>
  </si>
  <si>
    <t>Width (in)</t>
  </si>
  <si>
    <t>Glass Layout</t>
  </si>
  <si>
    <t>Price</t>
  </si>
  <si>
    <t xml:space="preserve"> Install Labor Hours</t>
  </si>
  <si>
    <t>Labor ($/door)</t>
  </si>
  <si>
    <t>Total Installed Cost ($/door)</t>
  </si>
  <si>
    <t>Removal Labor ($/door)</t>
  </si>
  <si>
    <t>Door</t>
  </si>
  <si>
    <t>Aluminum</t>
  </si>
  <si>
    <t>Exterior Prehung</t>
  </si>
  <si>
    <t>Steves &amp; Sons</t>
  </si>
  <si>
    <t>SIP0000018857</t>
  </si>
  <si>
    <t>Composite</t>
  </si>
  <si>
    <t>1/4 Lite</t>
  </si>
  <si>
    <t>https://www.homedepot.com/p/Steves-Sons-Regency-36-in-x-80-in-4-Lite-1-4-Toplite-RHIS-Clear-Glass-Onyx-Stained-Fir-Grain-Fiberglass-Prehung-Front-Door-SIP0000018857/324429306</t>
  </si>
  <si>
    <t>SIP0000018861</t>
  </si>
  <si>
    <t>https://www.homedepot.com/p/Steves-Sons-Regency-36-in-x-80-in-4-Lite-1-4-Toplite-RHIS-Clear-Glass-Onyx-Stained-Fir-Grain-Fiberglass-Prehung-Front-Door-SIP0000018861/324429301</t>
  </si>
  <si>
    <t>SIP0000009500</t>
  </si>
  <si>
    <t>https://www.homedepot.com/p/Steves-Sons-36-in-x-80-in-Legacy-3-Lite-Toplite-Clear-Glass-Right-Hand-Outswing-White-Primed-Fiberglass-Prehung-Front-Door-SIP0000009500/314882287</t>
  </si>
  <si>
    <t>SIP0000009489</t>
  </si>
  <si>
    <t>1/2 Lite</t>
  </si>
  <si>
    <t>https://www.homedepot.com/p/Steves-Sons-36-in-x-80-in-Legacy-4-Lite-Half-Lite-Clear-Glass-Left-Hand-Inswing-White-Primed-Fiberglass-Prehung-Front-Door-SIP0000009489/314882280</t>
  </si>
  <si>
    <t>SIP0000009505</t>
  </si>
  <si>
    <t>3/4 Lite</t>
  </si>
  <si>
    <t>https://www.homedepot.com/p/Steves-Sons-36-in-x-80-in-Legacy-6-Lite-3-4-Lite-Clear-Glass-Left-Hand-Inswing-White-Primed-Fiberglass-Prehung-Front-Door-SIP0000009505/314882362</t>
  </si>
  <si>
    <t>SIP0000009537</t>
  </si>
  <si>
    <t>Full Lite</t>
  </si>
  <si>
    <t>https://www.homedepot.com/p/Steves-Sons-Legacy-36-in-x-80-in-Left-Hand-Inswing-Full-Lite-Clear-Glass-Mini-Blind-White-Primed-Fiberglass-Prehung-Front-Door-SIP0000009537/314883687</t>
  </si>
  <si>
    <t>SIP0000009523</t>
  </si>
  <si>
    <t>https://www.homedepot.com/p/Steves-Sons-36-in-x-80-in-Legacy-Series-Full-Lite-Clear-Glass-Left-Hand-Outswing-White-Primed-Fiberglass-Prehung-Front-Door-SIP0000009523/314883451</t>
  </si>
  <si>
    <t>SIP0000009510</t>
  </si>
  <si>
    <t>https://www.homedepot.com/p/Steves-Sons-32-in-x-80-in-Legacy-8-Lite-Full-Lite-Clear-Glass-Right-Hand-Inswing-White-Primed-Fiberglass-Prehung-Front-Door-SIP0000009510/314882373</t>
  </si>
  <si>
    <t>THERMA-TRU</t>
  </si>
  <si>
    <t>https://custom.homedepot.com/p/custom-blinds/THERMA-TRU-Smooth-Star-Flush-Glazed-Fiberglass-Door-577715/317194289</t>
  </si>
  <si>
    <t>Sliding Patio Door</t>
  </si>
  <si>
    <t>G6068L3N2WLE50</t>
  </si>
  <si>
    <t>https://www.homedepot.com/p/MP-Doors-72-in-x-80-in-Woodgrain-Interior-Smooth-White-Exterior-Left-Composite-PG50-Sliding-Patio-Door-Low-E-Built-in-Blinds-G6068L3N2WLE50/205890216</t>
  </si>
  <si>
    <t>G6068L3N2WL50</t>
  </si>
  <si>
    <t>https://www.homedepot.com/p/MP-Doors-72-in-x-80-in-Woodgrain-Interior-Composite-Prehung-Left-Hand-DP50-Sliding-Patio-Door-with-Blinds-Between-Glass-G6068L3N2WL50/205706321</t>
  </si>
  <si>
    <t>G60R3NDP50</t>
  </si>
  <si>
    <t>https://www.homedepot.com/p/MP-Doors-72-in-x-80-in-Woodgrain-Interior-and-Smooth-White-Right-Hand-Composite-PG50-Sliding-Patio-Door-G60R3NDP50/205992400</t>
  </si>
  <si>
    <t>G6068R01</t>
  </si>
  <si>
    <t>https://www.homedepot.com/p/MP-Doors-72-in-x-80-in-Woodgrain-Interior-and-Smooth-White-Exterior-Right-Hand-Composite-Sliding-Patio-Door-G6068R01/202087630</t>
  </si>
  <si>
    <t>G6068R002WLE</t>
  </si>
  <si>
    <t>https://www.homedepot.com/p/MP-Doors-72-in-x-80-in-Smooth-White-Right-Hand-Composite-Sliding-Patio-Door-with-Low-E-Built-in-Blinds-G6068R002WLE/205890132</t>
  </si>
  <si>
    <t>G6068R002WL</t>
  </si>
  <si>
    <t>https://www.homedepot.com/p/MP-Doors-72-in-x-80-in-Smooth-White-Right-Hand-Composite-Sliding-Patio-Door-with-Built-in-Blinds-G6068R002WL/203188759</t>
  </si>
  <si>
    <t>G6068R002W2</t>
  </si>
  <si>
    <t>https://www.homedepot.com/p/MP-Doors-72-in-x-80-in-Smooth-White-Right-Hand-Composite-Sliding-Patio-Door-with-10-Lite-GBG-G6068R002W2/203188726</t>
  </si>
  <si>
    <t>G6068R002WLE50</t>
  </si>
  <si>
    <t>https://www.homedepot.com/p/MP-Doors-72-in-x-80-in-Smooth-White-Right-Hand-Composite-PG50-Sliding-Patio-Door-with-Low-E-Built-in-Blinds-G6068R002WLE50/205890208</t>
  </si>
  <si>
    <t>G6068R002W250</t>
  </si>
  <si>
    <t>https://www.homedepot.com/p/MP-Doors-72-in-x-80-in-Smooth-White-Right-Hand-Composite-PG50-Sliding-Patio-Door-with-10-Lite-GBG-G6068R002W250/203188922</t>
  </si>
  <si>
    <t>G6068L002WLE</t>
  </si>
  <si>
    <t>https://www.homedepot.com/p/MP-Doors-72-in-x-80-in-Smooth-White-Left-Hand-Composite-Sliding-Patio-Door-with-Low-E-Built-in-Blinds-G6068L002WLE/205890124</t>
  </si>
  <si>
    <t>G6068L002WL50</t>
  </si>
  <si>
    <t>https://www.homedepot.com/p/MP-Doors-72-in-x-80-in-Smooth-White-Left-Hand-Composite-PG50-Sliding-Patio-Door-with-Built-in-Blinds-G6068L002WL50/203188953</t>
  </si>
  <si>
    <t>G60LDP50</t>
  </si>
  <si>
    <t>https://www.homedepot.com/p/MP-Doors-72-in-x-80-in-Smooth-White-Left-Hand-Composite-PG50-Sliding-Patio-Door-G60LDP50/202689717</t>
  </si>
  <si>
    <t>0N60LRHM20124</t>
  </si>
  <si>
    <t>https://www.homedepot.com/p/MP-Doors-72-in-x-80-in-Right-Hand-Inswing-2-3-Lite-Low-E-Glass-White-Finished-Fiberglass-Double-Prehung-Patio-Door-0N60LRHM20124/314168451</t>
  </si>
  <si>
    <t>G60LLCG20122NN</t>
  </si>
  <si>
    <t>https://www.homedepot.com/p/MP-Doors-72-in-x-80-in-Left-Hand-Low-E-White-Finished-Composite-Shaker-Gliding-Double-Prehung-Patio-Door-with-Nickel-Handle-G60LLCG20122NN/313608179</t>
  </si>
  <si>
    <t>G6068L00201</t>
  </si>
  <si>
    <t>https://www.homedepot.com/p/MasterPiece-72-in-x-80-in-Smooth-White-Left-Hand-Composite-Sliding-Patio-Door-G6068L00201/202339612</t>
  </si>
  <si>
    <t>G6068R00201</t>
  </si>
  <si>
    <t>https://www.homedepot.com/p/MasterPiece-72-in-x-80-in-Smooth-White-Exterior-and-Interior-Right-Hand-Composite-Sliding-Patio-Door-G6068R00201/202339614</t>
  </si>
  <si>
    <t>MMI Door</t>
  </si>
  <si>
    <t>Z0368651R</t>
  </si>
  <si>
    <t>https://www.homedepot.com/p/MMI-Door-64-in-x-80-in-Right-Hand-Inswing-Rain-Glass-Black-Fiberglass-Prehung-Front-Door-on-4-9-16-in-Frame-Z0368651R/319386459</t>
  </si>
  <si>
    <t>36FG-3LT-ISRH</t>
  </si>
  <si>
    <t>https://www.homedepot.com/p/Steves-Sons-36-in-x-80-in-Legacy-Series-3-Lite-Clear-Glass-Right-Hand-Inswing-Primed-Fiberglass-Prehung-Front-Door-36FG-3LT-ISRH/310218528</t>
  </si>
  <si>
    <t>JELD-WEN</t>
  </si>
  <si>
    <t>THDJW227800147</t>
  </si>
  <si>
    <t>https://www.homedepot.com/p/JELD-WEN-60-in-x-80-in-Left-Hand-Fan-Lite-Decorative-Glass-Caldwell-Black-Fiberglass-Prehung-Front-Door-W-Sidelites-THDJW227800147/315976893</t>
  </si>
  <si>
    <t>THDJW232700364</t>
  </si>
  <si>
    <t>https://www.homedepot.com/p/JELD-WEN-36-in-x-80-in-Right-Hand-1-4-Lite-Craftsman-Carillon-Decorative-Glass-Black-Fiberglass-Prehung-Front-Door-THDJW232700364/315975769</t>
  </si>
  <si>
    <t>THDJW232700441</t>
  </si>
  <si>
    <t>https://www.homedepot.com/p/JELD-WEN-36-in-x-80-in-Left-Hand-1-4-Lite-Craftsman-Dilworth-Decorative-Glass-Black-Fiberglass-Prehung-Front-Door-THDJW232700441/315976179</t>
  </si>
  <si>
    <t>MP Doors</t>
  </si>
  <si>
    <t>N3068L4HCL224</t>
  </si>
  <si>
    <t>https://www.homedepot.com/p/MP-Doors-36-in-x-80-in-Smooth-White-Left-Hand-Inswing-LowE-Classic-Craftsman-Finished-Fiberglass-Prehung-Front-Door-N3068L4HCL224/304966864</t>
  </si>
  <si>
    <t>MF2PPSE-36-CT-4ILH</t>
  </si>
  <si>
    <t>https://www.homedepot.com/p/Steves-Sons-36-in-x-80-in-Oxford-Speak-Easy-Left-Hand-Inswing-Chestnut-Mahogany-Fiberglass-Prehung-Front-Door-4-9-16-Frame-MF2PPSE-36-CT-4ILH/306742003</t>
  </si>
  <si>
    <t>Masonite</t>
  </si>
  <si>
    <t>https://www.homedepot.com/p/Masonite-36-in-x-80-in-Providence-Center-Arch-Merlot-Left-Hand-Inswing-Stained-Textured-Fiberglass-Prehung-Front-Exterior-Door-26601/203114614</t>
  </si>
  <si>
    <t>https://www.homedepot.com/p/Masonite-36-in-x-80-in-Left-Hand-Inswing-Providence-Fan-Lite-Primed-Fiberglass-Prehung-Front-Exterior-Door-with-No-Brickmold-26120/203024054</t>
  </si>
  <si>
    <t>https://www.homedepot.com/p/Masonite-36-in-x-80-in-Everland-Cianne-Cherry-Left-Hand-Inswing-3-4-Oval-Finished-Smooth-Fiberglass-Prehung-Front-Exterior-Door-39915/205045495</t>
  </si>
  <si>
    <t>https://www.homedepot.com/p/Masonite-36-in-x-80-in-Everland-Chestnut-Grain-Left-Hand-Inswing-Avenue-1-4-Lite-Finished-Fiberglass-Prehung-Front-Door-96451/303647948</t>
  </si>
  <si>
    <t>https://www.homedepot.com/p/Masonite-36-in-x-80-in-Croxley-Camber-Fan-Lite-Right-Hand-Oak-Grain-Finished-Fiberglass-Prehung-Front-Door-No-Brickmold-26779/203114631</t>
  </si>
  <si>
    <t>https://www.homedepot.com/p/Masonite-36-in-x-80-in-Craftsman-6-Lite-Left-Hand-Inswing-Primed-Smooth-Fiberglass-Prehung-Front-Door-with-No-Brickmold-27165/203114642</t>
  </si>
  <si>
    <t>DFC-866FG6-HAZ-RH</t>
  </si>
  <si>
    <t>https://www.homedepot.com/p/JELD-WEN-36-in-x-80-in-Right-Hand-Craftsman-6-Lite-Hazelnut-Stain-Fiberglass-Prehung-Front-Door-with-Brickmould-DFC-866FG6-HAZ-RH/315097419</t>
  </si>
  <si>
    <t>THDJW222600022</t>
  </si>
  <si>
    <t>https://www.homedepot.com/p/JELD-WEN-36-in-x-80-in-Right-Hand-1-Lite-Craftsman-Wendover-Black-Cherry-Stained-Fiberglass-Prehung-Front-Door-with-Brickmould-THDJW222600022/308062014</t>
  </si>
  <si>
    <t>THDJW222600019</t>
  </si>
  <si>
    <t>https://www.homedepot.com/p/JELD-WEN-36-in-x-80-in-Left-Hand-1-Lite-Craftsman-Wendover-Denim-Stained-Fiberglass-Prehung-Front-Door-with-Brickmould-THDJW222600019/308062015</t>
  </si>
  <si>
    <t>Feather River Doors</t>
  </si>
  <si>
    <t>A82191-1A4</t>
  </si>
  <si>
    <t>https://www.homedepot.com/p/Feather-River-Doors-50-5-in-x81-625in-Mission-Pointe-Zinc-Craftsman-Lt-Unfinished-Smooth-Right-Hd-Fiberglass-Prehung-Front-Door-w-Sidelite-A82191-1A4/205202379</t>
  </si>
  <si>
    <t>https://custom.homedepot.com/p/custom-blinds/Steves-Sons-Regency-Modern-Customizable-Fiberglass-Door-Collection-561562/314599913</t>
  </si>
  <si>
    <t>FF3795-3A6</t>
  </si>
  <si>
    <t>https://www.homedepot.com/p/Feather-River-Doors-63-5-in-x81-625-in-6-Lt-Clear-Craftsman-Stained-Chestnut-Mahogany-Right-Hand-Fiberglass-Prehung-Front-Door-w-Sidelites-FF3795-3A6/205207377</t>
  </si>
  <si>
    <t>432101-3A1</t>
  </si>
  <si>
    <t>https://www.homedepot.com/p/Feather-River-Doors-63-5-in-x-81-625-in-Medina-Zinc-Fan-Lite-Unfinished-Smooth-Left-Hand-Fiberglass-Prehung-Front-Door-with-Sidelites-432101-3A1/202959942</t>
  </si>
  <si>
    <t>A82171-400</t>
  </si>
  <si>
    <t>https://www.homedepot.com/p/Feather-River-Doors-66-in-x-81-625-in-Mission-Pointe-Zinc-Craftsman-Unfinished-Smooth-Right-Hand-Fiberglass-Double-Prehung-Front-Door-A82171-400/203126105</t>
  </si>
  <si>
    <t>A73191-3A4</t>
  </si>
  <si>
    <t>https://www.homedepot.com/p/Feather-River-Doors-63-5-in-x-81-625-in-Rochester-Patina-Craftsman-Unfinished-Smooth-Right-Hand-Fiberglass-Prehung-Front-Door-w-Sidelites-A73191-3A4/203126126</t>
  </si>
  <si>
    <t>A73170-400</t>
  </si>
  <si>
    <t>https://www.homedepot.com/p/Feather-River-Doors-66-in-x-81-625-in-Rochester-Patina-Craftsman-Unfinished-Smooth-Left-Hand-Inswing-Fiberglass-Double-Prehung-Front-Door-A73170-400/203126041</t>
  </si>
  <si>
    <t>432105-400</t>
  </si>
  <si>
    <t>https://www.homedepot.com/p/Feather-River-Doors-74-in-x-81-625-in-Medina-Zinc-Fan-Lite-Unfinished-Smooth-Right-Hand-Inswing-Fiberglass-Double-Prehung-Front-Door-432105-400/202959945</t>
  </si>
  <si>
    <t>A82190-3B4</t>
  </si>
  <si>
    <t>https://www.homedepot.com/p/Feather-River-Doors-67-5-in-x81-625-in-Mission-Pointe-Zinc-Craftsman-Unfinished-Smooth-Left-Hand-Fiberglass-Prehung-Front-Door-w-Sidelites-A82190-3B4/203126067</t>
  </si>
  <si>
    <t>FF3791-3B6</t>
  </si>
  <si>
    <t>https://www.homedepot.com/p/Feather-River-Doors-67-5-in-x81-625-in-6-Lt-Clear-Craftsman-Stained-Chestnut-Mahogany-Right-Hand-Fiberglass-Prehung-Front-Door-w-Sidelites-FF3791-3B6/205207361</t>
  </si>
  <si>
    <t>A73190-2A4</t>
  </si>
  <si>
    <t>https://www.homedepot.com/p/Feather-River-Doors-50-5-in-x81-625-in-Rochester-Patina-Craftsman-Lt-Unfinished-Smooth-Left-Hand-Fiberglass-Prehung-Front-Door-w-Sidelite-A73190-2A4/205202428</t>
  </si>
  <si>
    <t>873171-400</t>
  </si>
  <si>
    <t>https://www.homedepot.com/p/Feather-River-Doors-66-in-x-81-625-in-Rochester-Patina-1-2-Lite-Unfinished-Smooth-Right-Hand-Inswing-Fiberglass-Double-Prehung-Front-Door-873171-400/203126109</t>
  </si>
  <si>
    <t>873191-3A4</t>
  </si>
  <si>
    <t>https://www.homedepot.com/p/Feather-River-Doors-63-5-in-x-81-625-in-Rochester-Patina-1-2-Lite-Unfinished-Smooth-Right-Hand-Fiberglass-Prehung-Front-Door-w-Sidelites-873191-3A4/203126132</t>
  </si>
  <si>
    <t>873191-1A4</t>
  </si>
  <si>
    <t>https://www.homedepot.com/p/Feather-River-Doors-50-5-in-x-81-625-in-Rochester-Patina-1-2-Lite-Unfinished-Smooth-Right-Hand-Fiberglass-Prehung-Front-Door-with-Sidelite-873191-1A4/205202400</t>
  </si>
  <si>
    <t>8H3191-1A4</t>
  </si>
  <si>
    <t>https://www.homedepot.com/p/Feather-River-Doors-50-5-in-x-81-625-in-Sapphire-Patina-1-2-Lite-Unfinished-Smooth-Right-Hand-Fiberglass-Prehung-Front-Door-with-Sidelite-8H3191-1A4/205202394</t>
  </si>
  <si>
    <t>8H3191-400</t>
  </si>
  <si>
    <t>https://www.homedepot.com/p/Feather-River-Doors-74-in-x-81-625-in-Sapphire-Patina-1-2-Lite-Unfinished-Smooth-Right-Hand-Inswing-Fiberglass-Double-Prehung-Front-Door-8H3191-400/203126120</t>
  </si>
  <si>
    <t>882191-400</t>
  </si>
  <si>
    <t>https://www.homedepot.com/p/Feather-River-Doors-74-in-x-81-625-in-Mission-Pointe-Zinc-1-2-Lite-Unfinished-Smooth-Right-Hand-Fiberglass-Double-Prehung-Front-Door-882191-400/203126104</t>
  </si>
  <si>
    <t>https://www.homedepot.com/p/Masonite-32-in-x-80-in-9-Lite-Jet-Black-Left-Hand-Inswing-Painted-Smooth-Fiberglass-Prehung-Front-Door-with-No-Brickmold-21221/202896248</t>
  </si>
  <si>
    <t>https://www.homedepot.com/p/Masonite-32-in-x-80-in-9-Lite-Internal-Grille-Left-Hand-Inswing-Primed-White-Smooth-Fiberglass-Prehung-Front-Exterior-Door-86554/204759993</t>
  </si>
  <si>
    <t>https://www.homedepot.com/p/Masonite-32-in-x-80-in-Right-Hand-Inswing-Clear-9-Lite-Internal-Grille-Primed-Fiberglass-Prehung-Front-Door-with-No-Brickmold-27338/100060429</t>
  </si>
  <si>
    <t>https://www.homedepot.com/p/Masonite-36-in-x-80-in-Chatham-Camber-Top-Half-Lite-Left-Hand-Inswing-Painted-Smooth-Fiberglass-Prehung-Front-Door-w-Brickmold-22181/202874081</t>
  </si>
  <si>
    <t>N3068R1NTCB24</t>
  </si>
  <si>
    <t>https://www.homedepot.com/p/MP-Doors-36-in-x-80-in-Right-Hand-Inswing-Narrow-Lite-Frosted-Glass-Black-Painted-Fiberglass-Prehung-Front-Door-N3068R1NTCB24/313698228</t>
  </si>
  <si>
    <t>N3068R23BE224</t>
  </si>
  <si>
    <t>https://www.homedepot.com/p/MP-Doors-36-in-x-80-in-Low-E-Blinds-Between-Glass-White-Right-Hand-Inswing-1-2-Lite-Clear-Fiberglass-Prehung-Front-Door-N3068R23BE224/301625336</t>
  </si>
  <si>
    <t>N3068L1NWWB24</t>
  </si>
  <si>
    <t>https://www.homedepot.com/p/MP-Doors-36-in-x-80-in-Left-Hand-Inswing-Narrow-Lite-Water-Wave-Glass-Black-Painted-Fiberglass-Prehung-Front-Door-N3068L1NWWB24/313697950</t>
  </si>
  <si>
    <t>N3068L1NRDB24</t>
  </si>
  <si>
    <t>https://www.homedepot.com/p/MP-Doors-36-in-x-80-in-Left-Hand-Inswing-Narrow-Lite-Radiant-Decorative-Glass-Black-Painted-Fiberglass-Prehung-Front-Door-N3068L1NRDB24/313698070</t>
  </si>
  <si>
    <t>Z0368362R</t>
  </si>
  <si>
    <t>https://www.homedepot.com/p/MMI-Door-Rain-Glass-72-in-x-80-in-Right-Hand-Inswing-Black-Fiberglass-Prehung-Front-Door-on-4-9-16-in-Frame-Z0368362R/319406806</t>
  </si>
  <si>
    <t>Z03752373R</t>
  </si>
  <si>
    <t>https://www.homedepot.com/p/MMI-Door-Davina-64-in-x-80-in-Right-Hand-Inswing-3-Lite-Frosted-Glass-Primed-Fiberglass-Prehung-Front-Door-on-6-9-16-in-Frame-Z03752373R/322491140</t>
  </si>
  <si>
    <t>Z0370106L</t>
  </si>
  <si>
    <t>https://www.homedepot.com/p/MMI-Door-64-in-x-80-in-Left-Hand-Inswing-Rain-Glass-Black-Fiberglass-Prehung-Front-Door-on-4-9-16-in-Frame-Z0370106L/319503563</t>
  </si>
  <si>
    <t>Z000554L</t>
  </si>
  <si>
    <t>https://www.homedepot.com/p/MMI-Door-36-in-x-80-in-Vented-Left-Hand-Inswing-1-2-Lite-Clear-Glass-2-Panel-Primed-Fiberglass-Smooth-Prehung-Front-Door-Z000554L/206408759</t>
  </si>
  <si>
    <t>Z000511R</t>
  </si>
  <si>
    <t>https://www.homedepot.com/p/MMI-Door-30-in-x-80-in-Right-Hand-Inswing-9-Lite-Clear-Classic-External-Grilles-Primed-Fiberglass-Smooth-Prehung-Front-Door-Z000511R/205891319</t>
  </si>
  <si>
    <t>Z0364842L</t>
  </si>
  <si>
    <t>https://www.homedepot.com/p/MMI-Door-30-in-x-80-in-Internal-Blinds-Left-Hand-Outswing-1-2-Lite-Clear-Primed-Fiberglass-Smooth-Prehung-Front-Door-Z0364842L/306907348</t>
  </si>
  <si>
    <t>EFS684BLFS26L</t>
  </si>
  <si>
    <t>https://www.homedepot.com/p/MMI-Door-30-in-x-80-in-Internal-Blinds-Left-Hand-1-2-Lite-Clear-2-Panel-Classic-Primed-Fiberglass-Smooth-Prehung-Front-Door-EFS684BLFS26L/205788147</t>
  </si>
  <si>
    <t>FWTH_36SLP_4IRH</t>
  </si>
  <si>
    <t>https://www.homedepot.com/p/Steves-Sons-36-in-x-80-in-Reliant-Series-Clear-Half-Lite-RHIS-White-Primed-Fiberglass-Prehung-Back-Door-with-XL-Pet-Door-FWTH-36SLP-4IRH/302350555</t>
  </si>
  <si>
    <t>FWTH_32XLP_4IRH</t>
  </si>
  <si>
    <t>https://www.homedepot.com/p/Steves-Sons-32-in-x-80-in-Reliant-Series-Clear-Half-Lite-RHIS-White-Primed-Fiberglass-Prehung-Front-Door-with-LRG-Pet-Door-FWTH-32XLP-4IRH/302350528</t>
  </si>
  <si>
    <t>FWTN_32SLP_4IRH</t>
  </si>
  <si>
    <t>https://www.homedepot.com/p/Steves-Sons-32-in-x-80-in-Reliant-Series-Clear-9-Lite-RHIS-White-Primed-Fiberglass-Prehung-Front-Door-with-XL-Pet-Door-FWTN-32SLP-4IRH/302351204</t>
  </si>
  <si>
    <t>FWTN_32XLP_4IRH</t>
  </si>
  <si>
    <t>https://www.homedepot.com/p/Steves-Sons-32-in-x-80-in-Reliant-Series-Clear-9-Lite-RHIS-White-Primed-Fiberglass-Prehung-Front-Door-with-LRG-Pet-Door-FWTN-32XLP-4IRH/302351181</t>
  </si>
  <si>
    <t>SIP0000005966</t>
  </si>
  <si>
    <t>https://www.homedepot.com/p/Steves-Sons-32-in-x-80-in-Reliant-Clear-1-2-Lite-LHIS-White-Micro-Blind-White-Primed-Fiberglass-Prehung-Front-Door-Nickel-Hinges-SIP0000005966/311700454</t>
  </si>
  <si>
    <t>Z029331R</t>
  </si>
  <si>
    <t>https://www.homedepot.com/p/MMI-Door-53-in-x-81-75-in-6-panel-Right-Hand-Inswing-Classic-Primed-Fiberglass-Smooth-Prehung-Front-Door-with-One-Sidelite-Z029331R/302155187</t>
  </si>
  <si>
    <t>Z029332L</t>
  </si>
  <si>
    <t>https://www.homedepot.com/p/MMI-Door-53-in-x-81-75-in-6-Panel-Left-Hand-Inswing-Classic-Primed-Fiberglass-Smooth-Prehung-Front-Door-with-One-Sidelite-Z029332L/302155183</t>
  </si>
  <si>
    <t>FWMB_32SLP_4IRH</t>
  </si>
  <si>
    <t>https://www.homedepot.com/p/Steves-Sons-32-in-x-80-in-Reliant-Series-Clear-Mini-Blind-RHIS-White-Primed-Fiberglass-Prehung-Front-Door-with-XL-Pet-Door-FWMB-32SLP-4IRH/302351446</t>
  </si>
  <si>
    <t>FWMB_32XLP_4IRH</t>
  </si>
  <si>
    <t>https://www.homedepot.com/p/Steves-Sons-32-in-x-80-in-Reliant-Series-Clear-Mini-Blind-RHIS-White-Primed-Fiberglass-Prehung-Front-Door-with-LRG-Pet-Door-FWMB-32XLP-4IRH/302351421</t>
  </si>
  <si>
    <t>8H3190-3B4</t>
  </si>
  <si>
    <t>https://www.homedepot.com/p/Feather-River-Doors-67-5-in-x-81-625-in-Sapphire-Patina-1-2-Lite-Unfinished-Smooth-Left-Hand-Fiberglass-Prehung-Front-Door-with-Sidelites-8H3190-3B4/203126072</t>
  </si>
  <si>
    <t>Z029452R</t>
  </si>
  <si>
    <t>https://www.homedepot.com/p/MMI-Door-72-in-x-80-in-1-Panel-Right-Hand-Inswing-3-4-Lite-Clear-Glass-Primed-Fiberglass-Smooth-Prehung-Front-Door-Z029452R/319853981</t>
  </si>
  <si>
    <t>THDJW230900242</t>
  </si>
  <si>
    <t>https://www.homedepot.com/p/JELD-WEN-60-in-x-80-in-Right-Hand-3-4-Lite-Decorative-Glass-Wendover-Primed-Fiberglass-Prehung-Front-Door-with-Sidelites-THDJW230900242/315976900</t>
  </si>
  <si>
    <t>THDJW230900191</t>
  </si>
  <si>
    <t>https://www.homedepot.com/p/JELD-WEN-36-in-x-80-in-Left-Hand-3-4-Lite-Decorative-Glass-Wendover-Black-Fiberglass-Prehung-Front-Door-THDJW230900191/315976389</t>
  </si>
  <si>
    <t>N3068R27SCK24</t>
  </si>
  <si>
    <t>https://www.homedepot.com/p/MP-Doors-36-in-x-80-in-Scotia-Medium-Oak-Right-Hand-Inswing-3-4-Lite-Decorative-Fiberglass-Prehung-Front-Door-N3068R27SCK24/301619916</t>
  </si>
  <si>
    <t>N3068R27SVK24</t>
  </si>
  <si>
    <t>https://www.homedepot.com/p/MP-Doors-36-in-x-80-in-Savana-Medium-Oak-Right-Hand-Inswing-3-4-Lite-Decorative-Fiberglass-Prehung-Front-Door-N3068R27SVK24/301757784</t>
  </si>
  <si>
    <t>N3068RB401224</t>
  </si>
  <si>
    <t>https://www.homedepot.com/p/MP-Doors-36-in-x-80-in-Right-Hand-Inswing-3-4-Lite-Low-E-Glass-Finished-WhiteFiberglass-Prehung-Front-Door-N3068RB401224/321857930</t>
  </si>
  <si>
    <t>N3068R3HABK24</t>
  </si>
  <si>
    <t>https://www.homedepot.com/p/MP-Doors-36-in-x-80-in-Medium-Oak-Right-Hand-Inswing-3-4-Oval-Lite-Andaman-with-Brass-Stained-Fiberglass-Prehung-Front-Door-N3068R3HABK24/308088423</t>
  </si>
  <si>
    <t>N3068L3HADK24</t>
  </si>
  <si>
    <t>https://www.homedepot.com/p/MP-Doors-36-in-x-80-in-Andaman-Medium-Oak-Left-Hand-Inswing-3-4-Oval-Lite-Decorative-Fiberglass-Prehung-Front-Door-N3068L3HADK24/301426825</t>
  </si>
  <si>
    <t>SP-607DG-SD4-LE-1P-RBL-RH</t>
  </si>
  <si>
    <t>https://www.homedepot.com/p/JELD-WEN-36-in-x-80-in-Right-Hand-4-Lite-Clear-Glass-Revival-Blue-Painted-Fiberglass-Prehung-Front-Door-with-Brickmould-SP-607DG-SD4-LE-1P-RBL-RH/315097420</t>
  </si>
  <si>
    <t>DF-607DG-SD4-RN-1P-MOC-RH</t>
  </si>
  <si>
    <t>https://www.homedepot.com/p/JELD-WEN-36-in-x-80-in-Right-Hand-3-4-Lite-Rain-Decorative-Glass-Mocha-Stain-Fiberglass-Prehung-Front-Door-w-Brickmould-DF-607DG-SD4-RN-1P-MOC-RH/315097413</t>
  </si>
  <si>
    <t>332191-400</t>
  </si>
  <si>
    <t>https://www.homedepot.com/p/Feather-River-Doors-74-in-x-81-625-in-Medina-Zinc-Center-Arch-Lite-Unfinished-Smooth-Right-Hand-Fiberglass-Double-Prehung-Front-Door-332191-400/205211163</t>
  </si>
  <si>
    <t>332991-400</t>
  </si>
  <si>
    <t>https://www.homedepot.com/p/Feather-River-Doors-74-in-x-81-625-in-Medina-Zinc-Center-Arch-Lite-Stained-Walnut-Oak-Right-Hand-Fiberglass-Double-Prehung-Front-Door-332991-400/205211090</t>
  </si>
  <si>
    <t>1H3191-3B4</t>
  </si>
  <si>
    <t>https://www.homedepot.com/p/Feather-River-Doors-67-5-in-x81-625-in-Sapphire-Patina-3-4-Oval-Lt-Unfinished-Smooth-Right-Hand-Fiberglass-Prehung-Front-Door-w-Sidelites-1H3191-3B4/203126148</t>
  </si>
  <si>
    <t>332491-3B5</t>
  </si>
  <si>
    <t>https://www.homedepot.com/p/Feather-River-Doors-67-5-in-x81-625-in-Medina-Zinc-Center-Arch-Lt-Stained-Medium-Oak-Right-Hand-Fiberglass-Prehung-Front-Door-w-Sidelites-332491-3B5/205211092</t>
  </si>
  <si>
    <t>332990-3B5</t>
  </si>
  <si>
    <t>https://www.homedepot.com/p/Feather-River-Doors-67-5-in-x81-625-in-Medina-Zinc-Center-Arch-Lite-Stained-Walnut-Oak-Left-Hand-Fiberglass-Prehung-Front-Door-w-Sidelites-332990-3B5/205211119</t>
  </si>
  <si>
    <t>173171-400</t>
  </si>
  <si>
    <t>https://www.homedepot.com/p/Feather-River-Doors-66-in-x-81-625-in-Rochester-Patina-3-4-Oval-Lite-Unfinished-Smooth-Right-Hand-Fiberglass-Double-Prehung-Front-Door-173171-400/203126113</t>
  </si>
  <si>
    <t>173191-3A4</t>
  </si>
  <si>
    <t>https://www.homedepot.com/p/Feather-River-Doors-63-5-in-x81-625-in-Rochester-Patina-3-4-Oval-Lt-Unfinished-Smooth-Right-Hand-Fiberglass-Prehung-Front-Door-w-Sidelites-173191-3A4/203126134</t>
  </si>
  <si>
    <t>182190-3A4</t>
  </si>
  <si>
    <t>https://www.homedepot.com/p/Feather-River-Doors-63-5-in-x81-625in-Mission-Pointe-Zinc-3-4-Oval-Lt-Unfinished-Smooth-Left-Hand-Fiberglass-Prehung-Front-Door-w-Sidelites-182190-3A4/203126057</t>
  </si>
  <si>
    <t>722301-3A3</t>
  </si>
  <si>
    <t>https://www.homedepot.com/p/Feather-River-Doors-63-5-in-x-81-625-in-Lakewood-Zinc-3-4-Oval-Lite-Stained-Light-Oak-Left-Hand-Fiberglass-Prehung-Front-Door-w-Sidelites-722301-3A3/202959934</t>
  </si>
  <si>
    <t>1H3191-1A4</t>
  </si>
  <si>
    <t>https://www.homedepot.com/p/Feather-River-Doors-50-5-in-x-81-625-in-Sapphire-Patina-3-4-Oval-Unfinished-Smooth-Right-Hand-Fiberglass-Prehung-Front-Door-w-Sidelite-1H3191-1A4/205202381</t>
  </si>
  <si>
    <t>1H3190-2A4</t>
  </si>
  <si>
    <t>https://www.homedepot.com/p/Feather-River-Doors-50-5-in-x81-625-in-Sapphire-Patina-3-4-Oval-Lite-Unfinished-Smooth-Left-Hand-Fiberglass-Prehung-Front-Door-w-Sidelite-1H3190-2A4/205202414</t>
  </si>
  <si>
    <t>Z03752162R</t>
  </si>
  <si>
    <t>https://www.homedepot.com/p/MMI-Door-Viola-72-in-x-80-in-Right-Hand-Inswing-1-Lite-Clear-Low-E-Primed-Fiberglass-Prehung-Front-Door-on-4-9-16-in-Frame-Z03752162R/322491245</t>
  </si>
  <si>
    <t>Z03752335L</t>
  </si>
  <si>
    <t>https://www.homedepot.com/p/MMI-Door-Celeste-72-in-x-80-in-Left-Hand-Inswing-4-Lite-Frosted-Glass-Primed-Fiberglass-Prehung-Front-Door-on-6-9-16-in-Frame-Z03752335L/322491444</t>
  </si>
  <si>
    <t>Z03752332R</t>
  </si>
  <si>
    <t>https://www.homedepot.com/p/MMI-Door-Celeste-64-in-x-80-in-Right-Hand-Inswing-4-Lite-Frosted-Glass-Primed-Fiberglass-Prehung-Front-Door-on-4-9-16-in-Frame-Z03752332R/322491094</t>
  </si>
  <si>
    <t>Z03752192L</t>
  </si>
  <si>
    <t>https://www.homedepot.com/p/MMI-Door-Celeste-60-in-x-80-in-Left-Hand-Inswing-4-Lite-Frosted-Glass-Primed-Fiberglass-Prehung-Front-Door-on-4-9-16-in-Frame-Z03752192L/322488716</t>
  </si>
  <si>
    <t>Z029472L</t>
  </si>
  <si>
    <t>https://www.homedepot.com/p/MMI-Door-68-5-in-x-81-75-in-Classic-Left-Hand-Inswing-Full-Lite-Clear-Primed-Fiberglass-Smooth-Prehung-Front-Door-w-Sidelites-Z029472L/302163371</t>
  </si>
  <si>
    <t>Z029457R</t>
  </si>
  <si>
    <t>https://www.homedepot.com/p/MMI-Door-53-in-x-81-75-in-Right-Hand-Inswing-Clear-Glass-Full-Lite-Primed-Fiberglass-Prehung-Front-Door-with-One-Sidelite-Z029457R/319857761</t>
  </si>
  <si>
    <t>Z029458L</t>
  </si>
  <si>
    <t>https://www.homedepot.com/p/MMI-Door-53-in-x-81-75-in-Left-Hand-Inswing-Clear-Glass-Full-Lite-Primed-Fiberglass-Prehung-Front-Door-with-One-Sidelite-Z029458L/319854154</t>
  </si>
  <si>
    <t>Z009422R</t>
  </si>
  <si>
    <t>https://www.homedepot.com/p/MMI-Door-36-in-x-96-in-Classic-Right-Hand-Inswing-Full-Lite-Clear-Painted-Fiberglass-Smooth-Prehung-Front-Door-Z009422R/206843405</t>
  </si>
  <si>
    <t>Z000571R</t>
  </si>
  <si>
    <t>https://www.homedepot.com/p/MMI-Door-36-in-x-80-in-Right-Hand-Inswing-Full-Lite-Clear-Classic-Primed-Fiberglass-Smooth-Prehung-Front-Door-Z000571R/206453312</t>
  </si>
  <si>
    <t>Z000576L</t>
  </si>
  <si>
    <t>https://www.homedepot.com/p/MMI-Door-36-in-x-80-in-Left-Hand-Inswing-15-Lite-Clear-Classic-External-Grilles-Primed-Fiberglass-Smooth-Prehung-Front-Door-Z000576L/205891388</t>
  </si>
  <si>
    <t>Z0365497R</t>
  </si>
  <si>
    <t>https://www.homedepot.com/p/MMI-Door-36-in-x-80-in-Internal-Blinds-Right-Hand-Inswing-Full-Lite-Clear-Low-E-Primed-Fiberglass-Smooth-Prehung-Front-Door-Z0365497R/309506649</t>
  </si>
  <si>
    <t>Z002381L</t>
  </si>
  <si>
    <t>https://www.homedepot.com/p/MMI-Door-36-in-x-80-in-Internal-Blinds-Left-Hand-Outswing-Full-Lite-Clear-Primed-Fiberglass-Smooth-Prehung-Front-Door-Z002381L/306908160</t>
  </si>
  <si>
    <t>EFS686BLFS28R</t>
  </si>
  <si>
    <t>https://www.homedepot.com/p/MMI-Door-32-in-x-80-in-Internal-Blinds-Right-Hand-Inswing-Full-Lite-Clear-Classic-Primed-Fiberglass-Smooth-Prehung-Front-Door-EFS686BLFS28R/205788158</t>
  </si>
  <si>
    <t>Z0365453L</t>
  </si>
  <si>
    <t>https://www.homedepot.com/p/MMI-Door-32-in-x-80-in-Internal-Blinds-Grilles-Left-Hand-Inswing-Full-Lite-Clear-Primed-Fiberglass-Smooth-Prehung-Front-Door-Z0365453L/309506720</t>
  </si>
  <si>
    <t>Z0365438R</t>
  </si>
  <si>
    <t>https://www.homedepot.com/p/MMI-Door-30-in-x-80-in-Internal-Mini-Blinds-Right-Hand-Inswing-Full-Lite-Clear-Primed-Fiberglass-Smooth-Prehung-Front-Door-Z0365438R/309504223</t>
  </si>
  <si>
    <t>Z0365446L</t>
  </si>
  <si>
    <t>https://www.homedepot.com/p/MMI-Door-30-in-x-80-in-Internal-Mini-Blinds-Left-Hand-Inswing-Full-Lite-Clear-Low-E-Primed-Fiberglass-Smooth-Prehung-Front-Door-Z0365446L/309506021</t>
  </si>
  <si>
    <t>FGFL-PR-32-4LI</t>
  </si>
  <si>
    <t>https://www.homedepot.com/p/Steves-Sons-32-in-x-80-in-Premium-Full-Lite-Primed-White-Fiberglass-Prehung-Front-Door-FGFL-PR-32-4LI/205540028</t>
  </si>
  <si>
    <t>FGFL-PR-28-6RO</t>
  </si>
  <si>
    <t>https://www.homedepot.com/p/Steves-Sons-28-in-x-80-in-Reliant-Series-Full-Lite-White-Primed-Fiberglass-Prehung-Front-Door-FGFL-PR-28-6RO/205543149</t>
  </si>
  <si>
    <t>https://www.homedepot.com/p/Masonite-32-in-x-80-in-Vista-Grande-Right-Hand-Inswing-Full-Lite-Mini-Blind-Primed-Smooth-Fiberglass-Prehung-Front-Door-96604/303647975</t>
  </si>
  <si>
    <t>SIP0000005998</t>
  </si>
  <si>
    <t>https://www.homedepot.com/p/Steves-Sons-32-in-x-80-in-Reliant-Clear-Full-Lite-LHIS-White-Micro-Blind-White-Primed-Fiberglass-Prehung-Front-Door-Nickel-Hinges-SIP0000005998/311700493</t>
  </si>
  <si>
    <t>Z019217R</t>
  </si>
  <si>
    <t>https://www.homedepot.com/p/MMI-Door-68-5-in-x-81-75-in-Right-Hand-Inswing-2-Panel-Arch-Painted-Fiberglass-Smooth-Prehung-Front-Door-with-Sidelites-Z019217R/207163333</t>
  </si>
  <si>
    <t>Z0349810L</t>
  </si>
  <si>
    <t>https://www.homedepot.com/p/MMI-Door-36-in-x-80-in-Viola-Left-Hand-Inswing-1-Lite-Frosted-Glass-Painted-Fiberglass-Prehung-Front-Door-on-6-9-16-in-Frame-Z0349810L/309684627</t>
  </si>
  <si>
    <t>Z020358R</t>
  </si>
  <si>
    <t>https://www.homedepot.com/p/MMI-Door-36-in-x-80-in-Severe-Weather-Right-Hand-Low-E-Impact-Glass-Full-Lite-Clear-Primed-Fiberglass-Prehung-Front-Door-Z020358R/206977146</t>
  </si>
  <si>
    <t>Z0345610R</t>
  </si>
  <si>
    <t>https://www.homedepot.com/p/MMI-Door-36-in-x-80-in-Celeste-Right-Hand-Inswing-4-Lite-Clear-Painted-Fiberglass-Smooth-Prehung-Front-Door-4-9-16-in-Frame-Z0345610R/309096938</t>
  </si>
  <si>
    <t>Z0346954L</t>
  </si>
  <si>
    <t>https://www.homedepot.com/p/MMI-Door-36-in-x-80-in-Celeste-Left-Hand-Inswing-4-Lite-Frosted-Painted-Fiberglass-Smooth-Prehung-Front-Door-4-9-16-in-Frame-Z0346954L/309096267</t>
  </si>
  <si>
    <t>6H3191</t>
  </si>
  <si>
    <t>https://www.homedepot.com/p/Feather-River-Doors-37-5-in-x-81-625-in-Sapphire-Patina-Full-Lite-Unfinished-Smooth-Right-Hand-Inswing-Fiberglass-Prehung-Front-Door-6H3191/203126092</t>
  </si>
  <si>
    <t>https://www.homedepot.com/p/Feather-River-Doors-37-5-in-x-81-625-in-Preston-Patina-Full-Lite-Unfinished-Smooth-Left-Hand-Inswing-Fiberglass-Prehung-Front-Door-643101/100077755</t>
  </si>
  <si>
    <t>https://www.homedepot.com/p/Feather-River-Doors-37-5-in-x-81-625-in-Mission-Pointe-Zinc-Full-Lite-Unfinished-Smooth-Right-Hand-Inswing-Fiberglass-Prehung-Front-Door-682191/203126076</t>
  </si>
  <si>
    <t>N3068L1RSC224</t>
  </si>
  <si>
    <t>https://www.homedepot.com/p/MP-Doors-36-in-x-80-in-Scotia-Smooth-White-Left-Hand-Inswing-Full-1-Lite-Decorative-Fiberglass-Prehung-Front-Door-N3068L1RSC224/301665653</t>
  </si>
  <si>
    <t>N3068RA4TC224</t>
  </si>
  <si>
    <t>https://www.homedepot.com/p/MP-Doors-36-in-x-80-in-Smooth-White-Right-Hand-Inswing-Full-Lite-Frosted-Finished-Fiberglass-Prehung-Front-Door-N3068RA4TC224/308132373</t>
  </si>
  <si>
    <t>N3068RA4BE224</t>
  </si>
  <si>
    <t>https://www.homedepot.com/p/MP-Doors-36-in-x-80-in-Smooth-White-Right-Hand-Inswing-Full-Lite-Blinds-Glass-Finished-Fiberglass-Prehung-Front-Door-N3068RA4BE224/308104366</t>
  </si>
  <si>
    <t>N3068RA4BEB24</t>
  </si>
  <si>
    <t>https://www.homedepot.com/p/MP-Doors-36-in-x-80-in-Right-Hand-Inswing-Full-Lite-Blinds-Glass-Black-Finished-Fiberglass-Prehung-Front-Door-N3068RA4BEB24/321859905</t>
  </si>
  <si>
    <t>682191-3B4</t>
  </si>
  <si>
    <t>https://www.homedepot.com/p/Feather-River-Doors-67-5-in-x81-625in-Mission-Pointe-Zinc-Full-Lt-Prime-Smooth-Unfinished-Rt-Hd-Fiberglass-Prehung-Front-Door-w-Sidelites-682191-3B4/203126128</t>
  </si>
  <si>
    <t>6H3171-400</t>
  </si>
  <si>
    <t>https://www.homedepot.com/p/Feather-River-Doors-66-in-x-81-625-in-Sapphire-Patina-Full-Lite-Unfinished-Smooth-Right-Hand-Inswing-Fiberglass-Double-Prehung-Front-Door-6H3171-400/203126117</t>
  </si>
  <si>
    <t>SP-686DG-WSD5-LE-RBL-LH</t>
  </si>
  <si>
    <t>https://www.homedepot.com/p/JELD-WEN-36-in-x-80-in-Left-Hand-5-Lite-Clear-Glass-Revival-Blue-Painted-Fiberglass-Prehung-Front-Door-with-Brickmould-SP-686DG-WSD5-LE-RBL-LH/315097543</t>
  </si>
  <si>
    <t>https://www.homedepot.com/p/Masonite-32-in-x-80-in-Full-Lite-Right-Hand-Inswing-Painted-Smooth-Fiberglass-Prehung-Front-Door-w-Brickmold-Vinyl-Frame-20699/202896413</t>
  </si>
  <si>
    <t>682191-400</t>
  </si>
  <si>
    <t>https://www.homedepot.com/p/Feather-River-Doors-74-in-x-81-625-in-Mission-Pointe-Zinc-Full-Lite-Unfinished-Smooth-Right-Hand-Fiberglass-Double-Prehung-Front-Door-682191-400/203126102</t>
  </si>
  <si>
    <t>6H3190-3B4</t>
  </si>
  <si>
    <t>https://www.homedepot.com/p/Feather-River-Doors-67-5-in-x-81-625-in-Sapphire-Patina-Full-Lite-Unfinished-Smooth-Left-Hand-Fiberglass-Prehung-Front-Door-with-Sidelites-6H3190-3B4/203126062</t>
  </si>
  <si>
    <t>N3068R3GCL224</t>
  </si>
  <si>
    <t>3 Lite</t>
  </si>
  <si>
    <t>https://www.homedepot.com/p/MP-Doors-36-in-x-80-in-Smooth-White-Right-Hand-Inswing-3-Lite-Low-E-Finished-Fiberglass-Prehung-Front-Door-N3068R3GCL224/304953709</t>
  </si>
  <si>
    <t>N3068R3GTC224</t>
  </si>
  <si>
    <t>https://www.homedepot.com/p/MP-Doors-36-in-x-80-in-Smooth-White-Right-Hand-Inswing-3-Lite-Frosted-Finished-Fiberglass-Prehung-Front-Door-N3068R3GTC224/304953720</t>
  </si>
  <si>
    <t>N3068R4HT3224</t>
  </si>
  <si>
    <t>https://www.homedepot.com/p/MP-Doors-36-in-x-80-in-Smooth-White-Right-Hand-Inswing-3-Lite-Frosted-Craftsman-Finished-Fiberglass-Prehung-Front-Door-N3068R4HT3224/311199653</t>
  </si>
  <si>
    <t>N3068R3GTCB24</t>
  </si>
  <si>
    <t>https://www.homedepot.com/p/MP-Doors-36-in-x-80-in-Right-Hand-Inswing-3-Lite-Frosted-Glass-Black-Finished-Fiberglass-Prehung-Front-Door-N3068R3GTCB24/322040176</t>
  </si>
  <si>
    <t>N3068R4HW3K24</t>
  </si>
  <si>
    <t>https://www.homedepot.com/p/MP-Doors-36-in-x-80-in-Medium-Oak-Right-Hand-Inswing-3-Lite-Water-Wave-Craftsman-Stained-Fiberglass-Prehung-Front-Door-N3068R4HW3K24/311205208</t>
  </si>
  <si>
    <t>N3068L4HW3K24</t>
  </si>
  <si>
    <t>https://www.homedepot.com/p/MP-Doors-36-in-x-80-in-Medium-Oak-Left-Hand-Inswing-3-Lite-Water-Wave-Craftsman-Stained-Fiberglass-Prehung-Front-Door-N3068L4HW3K24/311204835</t>
  </si>
  <si>
    <t>N3068L4HC3K24</t>
  </si>
  <si>
    <t>https://www.homedepot.com/p/MP-Doors-36-in-x-80-in-Medium-Oak-Left-Hand-Inswing-3-Lite-LoE-Classic-Craftsman-Stained-Fiberglass-Prehung-Front-Door-N3068L4HC3K24/311199643</t>
  </si>
  <si>
    <t>N3068L4LWWB24</t>
  </si>
  <si>
    <t>4 Lite</t>
  </si>
  <si>
    <t>https://www.homedepot.com/p/MP-Doors-36-in-x-80-in-Left-Hand-Inswing-4-Lite-Water-Wave-Glass-Black-Finished-Fiberglass-Prehung-Front-Door-N3068L4LWWB24/313697753</t>
  </si>
  <si>
    <t>N3068L4LTCB24</t>
  </si>
  <si>
    <t>https://www.homedepot.com/p/MP-Doors-36-in-x-80-in-Left-Hand-Inswing-4-Lite-Frosted-Glass-Black-Painted-Fiberglass-Prehung-Front-Door-N3068L4LTCB24/313697917</t>
  </si>
  <si>
    <t>N3068LA43D224</t>
  </si>
  <si>
    <t>https://www.homedepot.com/p/MP-Doors-36-in-x-80-in-Smooth-White-Left-Hand-Inswing-Full-Lite-4-Lite-SDL-Low-E-Finished-Fiberglass-Prehung-Front-Door-N3068LA43D224/308101925</t>
  </si>
  <si>
    <t>N3068LA44T224</t>
  </si>
  <si>
    <t>https://www.homedepot.com/p/MP-Doors-36-in-x-80-in-Smooth-White-Left-Hand-Inswing-Full-Lite-4-Lite-SDL-Frosted-Finished-Fiberglass-Prehung-Front-Door-N3068LA44T224/308102580</t>
  </si>
  <si>
    <t>Z020362L</t>
  </si>
  <si>
    <t>https://www.homedepot.com/p/MMI-Door-36-in-x-80-in-Severe-Weather-Left-Hand-Outswing-6-Panel-Primed-Fiberglass-Smooth-Prehung-Front-Door-Z020362L/206983713</t>
  </si>
  <si>
    <t>https://www.homedepot.com/p/Masonite-30-in-x-80-in-6-Panel-Right-Hand-Inswing-Primed-White-Smooth-Fiberglass-Prehung-Front-Exterior-Door-24034/202664934</t>
  </si>
  <si>
    <t>N3068R7100Y24</t>
  </si>
  <si>
    <t>https://www.homedepot.com/p/MP-Doors-36-in-x-80-in-Contemporary-Teak-Modern-Light-Oak-Right-Hand-Inswing-Stained-Fiberglass-Prehung-Front-Door-N3068R7100Y24/301668623</t>
  </si>
  <si>
    <t>https://www.homedepot.com/p/Masonite-36-in-x-80-in-Cheyenne-2-Panel-Right-Hand-Inswing-Primed-White-Smooth-Fiberglass-Prehung-Front-Exterior-Door-06245/202336722</t>
  </si>
  <si>
    <t>https://www.homedepot.com/p/Masonite-36-in-x-80-in-Cheyenne-2-Panel-Right-Hand-Inswing-Painted-Smooth-Fiberglass-Prehung-Front-Exterior-Door-No-Brickmold-20415/202896326</t>
  </si>
  <si>
    <t>https://www.homedepot.com/p/Masonite-36-in-x-80-in-Cheyenne-2-Panel-Left-Hand-Inswing-Primed-White-Smooth-Fiberglass-Prehung-Front-Exterior-Door-06238/202336724</t>
  </si>
  <si>
    <t>https://www.homedepot.com/p/Masonite-36-in-x-80-in-6-Panel-Right-Hand-Inswing-Primed-White-Smooth-Fiberglass-Prehung-Front-Exterior-Door-87168/202336730</t>
  </si>
  <si>
    <t>https://www.homedepot.com/p/Masonite-36-in-x-80-in-6-Panel-Left-Hand-Inswing-Primed-White-Smooth-Fiberglass-Prehung-Front-Exterior-Door-84796/202336732</t>
  </si>
  <si>
    <t>SFFG-42-PRCP-4IRH</t>
  </si>
  <si>
    <t>https://www.homedepot.com/p/Steves-Sons-42-in-x-80-in-Reliant-Series-Flush-RHIS-White-Primed-Smooth-Fiberglass-Prehung-Front-Door-with-Composite-4-9-16-Frame-SFFG-42-PRCP-4IRH/307838510</t>
  </si>
  <si>
    <t>SIP0000018944</t>
  </si>
  <si>
    <t>https://www.homedepot.com/p/Steves-Sons-Reliant-42-in-x-80-in-6-Panel-Left-Hand-Inswing-White-Primed-Fiberglass-Prehung-Front-Door-SIP0000018944/325751137</t>
  </si>
  <si>
    <t>Galvanized Steel</t>
  </si>
  <si>
    <t>ALEKO</t>
  </si>
  <si>
    <t>IDQ7296BK04-HD</t>
  </si>
  <si>
    <t>Iron</t>
  </si>
  <si>
    <t>https://www.homedepot.com/p/ALEKO-72-in-x-96-in-Matte-Black-Right-Hand-Inswing-with-3-4-Lite-Clear-Double-Glazed-Glass-Iron-Prehung-Front-Door-IDQ7296BK04-HD/306176639</t>
  </si>
  <si>
    <t>IDQ6281BK06-HD</t>
  </si>
  <si>
    <t>https://www.homedepot.com/p/ALEKO-62-in-x-81-in-Matte-Black-Right-Hand-Inswing-with-Mini-Lite-Clear-Double-Glazed-Glass-Iron-Prehung-Front-Door-IDQ6281BK06-HD/306176640</t>
  </si>
  <si>
    <t>IDQD38-HD</t>
  </si>
  <si>
    <t>https://www.homedepot.com/p/ALEKO-62-in-x-81-in-Matte-Black-Right-Hand-Inswing-Clear-Iron-Double-Prehung-Front-Door-IDQD38-HD/310861495</t>
  </si>
  <si>
    <t>Metal</t>
  </si>
  <si>
    <t>Pine</t>
  </si>
  <si>
    <t>JW2201-01337</t>
  </si>
  <si>
    <t>https://www.homedepot.com/p/JELD-WEN-60-in-x-80-in-W-2500-Contemporary-Brown-Clad-Wood-Right-Hand-Full-Lite-Sliding-Patio-Door-w-Stained-Interior-JW2201-01337/206541881</t>
  </si>
  <si>
    <t>https://www.homedepot.com/p/Andersen-70-1-2-in-x-79-1-2-in-200-Series-White-Right-Hand-Perma-Shield-Gliding-Patio-Door-w-White-Int-Satin-Nickel-Hardware-9174175/313655716</t>
  </si>
  <si>
    <t>PSBBGRSN</t>
  </si>
  <si>
    <t>https://www.homedepot.com/p/Andersen-70-1-2-in-x-79-1-2-in-200-Series-White-Right-Hand-Perma-Shield-Gliding-Patio-Door-w-White-Int-Blinds-and-Nickel-Hdw-PSBBGRSN/207111452</t>
  </si>
  <si>
    <t>https://www.homedepot.com/p/Andersen-70-1-2-in-x-79-1-2-in-200-Series-White-Right-Hand-Perma-Shield-Gliding-Patio-Door-with-White-Interior-and-ORB-Hardware-9174177/313655737</t>
  </si>
  <si>
    <t>PSBBGLORB</t>
  </si>
  <si>
    <t>https://www.homedepot.com/p/Andersen-70-1-2-in-x-79-1-2-in-200-Series-White-Left-Hand-Perma-Shield-Gliding-Patio-Door-w-White-Int-Blinds-and-ORB-Hardware-PSBBGLORB/207111454</t>
  </si>
  <si>
    <t>https://www.homedepot.com/p/Andersen-70-1-2-in-x-79-1-2-in-200-Series-White-Left-Hand-Perma-Shield-Gliding-Patio-Door-with-White-Interior-White-Hardware-9174178/313627665</t>
  </si>
  <si>
    <t>PSBBGLWH</t>
  </si>
  <si>
    <t>https://www.homedepot.com/p/Andersen-70-1-2-in-x-79-1-2-in-200-Series-White-Left-Hand-Perma-Shield-Gliding-Patio-Door-with-White-Int-Blinds-and-White-Hdw-PSBBGLWH/207111349</t>
  </si>
  <si>
    <t>https://www.homedepot.com/p/Andersen-70-1-2-in-x-79-1-2-in-200-Series-Black-Left-Hand-Perma-Shield-Gliding-Patio-Door-with-Black-Interior-Frame-Kit-9186382/316466424</t>
  </si>
  <si>
    <t>Plastic</t>
  </si>
  <si>
    <t>ST30-3L-28-4OLH</t>
  </si>
  <si>
    <t>Steel</t>
  </si>
  <si>
    <t>https://www.homedepot.com/p/Steves-Sons-32-in-x-80-in-Element-Series-3-Lite-Left-Hand-Outswing-White-Primed-Steel-Prehung-Front-Door-with-4-9-16-in-Frame-ST30-3L-28-4OLH/206273413</t>
  </si>
  <si>
    <t>https://www.homedepot.com/p/Masonite-36-in-x-80-in-Providence-Center-Arch-Left-Hand-Outswing-Primed-Steel-Prehung-Front-Exterior-Door-14629/202634440</t>
  </si>
  <si>
    <t>https://www.homedepot.com/p/Masonite-36-in-x-80-in-Providence-Center-Arch-Jet-Black-Left-Hand-Inswing-Painted-Steel-Prehung-Front-Door-with-Brickmold-22235/202874125</t>
  </si>
  <si>
    <t>https://www.homedepot.com/p/Masonite-36-in-x-80-in-Pergola-Center-Arch-Right-Hand-Inswing-Primed-Steel-Prehung-Front-Exterior-Door-No-Brickmold-39434/204739805</t>
  </si>
  <si>
    <t>https://www.homedepot.com/p/Masonite-36-in-x-80-in-Halifax-Camber-Fan-Lite-Right-Hand-Inswing-Primed-Steel-Prehung-Front-Exterior-Door-with-No-Brickmold-97215/202527977</t>
  </si>
  <si>
    <t>https://www.homedepot.com/p/Masonite-32-in-x-80-in-Premium-Fan-Lite-Right-Hand-Inswing-Primed-Steel-Prehung-Front-Exterior-Door-45377/204776078</t>
  </si>
  <si>
    <t>https://www.homedepot.com/p/Masonite-32-in-x-80-in-Premium-Fan-Lite-Left-Hand-Inswing-Primed-Steel-Prehung-Front-Exterior-Door-No-Brickmold-27976/100079915</t>
  </si>
  <si>
    <t>https://www.homedepot.com/p/Masonite-36-in-x-80-in-Premium-Fan-Lite-Right-Hand-Inswing-Primed-Steel-Prehung-Front-Door-with-No-Brickmold-27983/100050100</t>
  </si>
  <si>
    <t>https://www.homedepot.com/p/Masonite-36-in-x-80-in-Premium-Fan-Lite-Left-Hand-Inswing-Primed-Steel-Prehung-Front-Door-with-No-Brickmold-45667/204776073</t>
  </si>
  <si>
    <t>VDOMDOORS</t>
  </si>
  <si>
    <t>DEUX1105ED-GRE-36-RH</t>
  </si>
  <si>
    <t>https://www.homedepot.com/p/VDOMDOORS-36-in-x-80-in-Single-Panel-Right-Hand-Inswing-4-Lites-Tinted-Glass-Gray-Finished-Steel-Prehung-Front-Door-with-Handle-DEUX1105ED-GRE-36-RH/320546906</t>
  </si>
  <si>
    <t>DEUX1717ED-GRE-36-LH</t>
  </si>
  <si>
    <t>https://www.homedepot.com/p/VDOMDOORS-36-in-x-80-in-Single-Panel-Left-Hand-Inswing-4-Lites-Frosted-Glass-Gray-Finished-Steel-Prehung-Front-Door-with-Handle-DEUX1717ED-GRE-36-LH/320546922</t>
  </si>
  <si>
    <t>DEUX1755ED-BLK-36-RH</t>
  </si>
  <si>
    <t>https://www.homedepot.com/p/VDOMDOORS-36-in-x-80-in-Right-Hand-Inswing-2-Lites-Tinted-Glass-Black-Finished-Steel-Prehung-Front-Door-with-Handle-DEUX1755ED-BLK-36-RH/320546929</t>
  </si>
  <si>
    <t>DEUX1713ED-OAK-36-LH</t>
  </si>
  <si>
    <t>https://www.homedepot.com/p/VDOMDOORS-36-in-x-80-in-1-Panel-Left-Hand-Inswing-4-Lites-Frosted-Glass-Brown-Finished-Steel-Prehung-Front-Door-with-Hardware-DEUX1713ED-OAK-36-LH/320546916</t>
  </si>
  <si>
    <t>ST41-PR-D14TL-R4RH</t>
  </si>
  <si>
    <t>https://www.homedepot.com/p/Steves-Sons-68-in-x-80-in-Element-Series-Camber-Top-White-Primed-RH-14-in-3-Lite-Sidelites-Steel-Prehung-Front-Door-w-ST41-PR-D14TL-R4RH/309663484</t>
  </si>
  <si>
    <t>ST41-PR-D12TL-R4LH</t>
  </si>
  <si>
    <t>https://www.homedepot.com/p/Steves-Sons-64-in-x-80-in-Element-Series-Camber-Top-White-Primed-Left-Hand-12-in-3-Lite-Sidelites-Steel-Prehung-Front-Door-w-ST41-PR-D12TL-R4LH/309667201</t>
  </si>
  <si>
    <t>ST30-6L-30-4OLH</t>
  </si>
  <si>
    <t>https://www.homedepot.com/p/Steves-Sons-36-in-x-80-in-Element-6-Lite-Left-Hand-Outswing-White-Primed-Steel-Prehung-Front-Door-with-4-9-16-in-Frame-ST30-6L-30-4OLH/206243854</t>
  </si>
  <si>
    <t>O03481</t>
  </si>
  <si>
    <t>https://www.homedepot.com/p/JELD-WEN-30-in-x-80-in-6-Lite-Craftsman-Primed-Steel-Prehung-Right-Hand-Inswing-Front-Door-w-Brickmould-O03481/203282179</t>
  </si>
  <si>
    <t>O03489</t>
  </si>
  <si>
    <t>https://www.homedepot.com/p/JELD-WEN-30-in-x-80-in-6-Lite-Craftsman-Primed-Steel-Prehung-Left-Hand-Inswing-Front-Door-O03489/203282181</t>
  </si>
  <si>
    <t>THDJW166700576</t>
  </si>
  <si>
    <t>https://www.homedepot.com/p/JELD-WEN-36-in-x-80-in-Camber-Top-Mission-Prairie-Primed-Steel-Prehung-Left-Hand-Inswing-Front-Door-w-Brickmould-THDJW166700576/202036118</t>
  </si>
  <si>
    <t>N11445</t>
  </si>
  <si>
    <t>https://www.homedepot.com/p/JELD-WEN-36-in-x-80-in-6-Lite-Craftsman-Primed-Steel-Prehung-Left-Hand-Inswing-Front-Door-w-Brickmould-and-Shelf-N11445/203188828</t>
  </si>
  <si>
    <t>https://www.homedepot.com/p/JELD-WEN-52-in-x-80-in-1-2-Lite-Blakely-Primed-Steel-Prehung-Right-Hand-Inswing-Front-Door-with-Left-Hand-Sidelite-831861/202576074</t>
  </si>
  <si>
    <t>https://www.homedepot.com/p/Masonite-36-in-x-80-in-Premium-Clear-1-2-Lite-Mini-Blind-Right-Hand-Inswing-Primed-Steel-Prehung-Front-Exterior-Door-84567/203911814</t>
  </si>
  <si>
    <t>https://www.homedepot.com/p/Masonite-36-in-x-80-in-Premium-9-Lite-Right-Hand-Inswing-Primed-Steel-Prehung-Front-Exterior-Door-No-Brickmold-28362/100086680</t>
  </si>
  <si>
    <t>https://www.homedepot.com/p/Masonite-36-in-x-80-in-Premium-9-Lite-Left-Hand-Inswing-Primed-Steel-Prehung-Front-Exterior-Door-with-No-Brickmold-85526/205395108</t>
  </si>
  <si>
    <t>Z029742R</t>
  </si>
  <si>
    <t>https://www.homedepot.com/p/MMI-Door-72-in-x-80-in-White-Internal-Grilles-Right-Hand-Inswing-1-2-Lite-Clear-Glass-2-Panel-Primed-Steel-Prehung-Front-Door-Z029742R/302694187</t>
  </si>
  <si>
    <t>Z029359L</t>
  </si>
  <si>
    <t>https://www.homedepot.com/p/MMI-Door-53-in-x-81-75-in-6-Panel-Left-Hand-6-Panel-Primed-Steel-Prehung-Front-Door-with-One-Sidelite-on-6-9-16-in-Frame-Z029359L/302972466</t>
  </si>
  <si>
    <t>https://www.homedepot.com/p/Masonite-36-in-x-80-in-Premium-Half-Lite-Mini-Blind-Primed-Steel-Prehung-Front-Door-with-No-Brickmold-64824/100080514</t>
  </si>
  <si>
    <t>S21H-4LP-32-6LI</t>
  </si>
  <si>
    <t>https://www.homedepot.com/p/Steves-Sons-32-in-x-80-in-Element-Series-4-Lite-1-Panel-White-Primed-Steel-Prehung-Front-Door-S21H-4LP-32-6LI/205581494</t>
  </si>
  <si>
    <t>SPD-H1CLPR-28-4ILH</t>
  </si>
  <si>
    <t>https://www.homedepot.com/p/Steves-Sons-Premium-Half-Lite-Primed-White-Steel-Back-Door-32-in-Left-Hand-Inswing-with-Extra-Large-Pet-Door-SPD-H1CLPR-28-4ILH/205074792</t>
  </si>
  <si>
    <t>Z0365263R</t>
  </si>
  <si>
    <t>https://www.homedepot.com/p/MMI-Door-32-in-x-80-in-Classic-Right-Hand-Inswing-1-2-Lite-Clear-2-Panel-Primed-Steel-Prehung-Front-Door-on-4-9-16-in-Frame-Z0365263R/309446360</t>
  </si>
  <si>
    <t>Z0364692L</t>
  </si>
  <si>
    <t>https://www.homedepot.com/p/MMI-Door-32-in-x-80-in-Vented-Left-Hand-Outswing-1-2-Lite-Clear-Primed-Steel-Prehung-Front-Door-with-Brickmould-Z0364692L/306859389</t>
  </si>
  <si>
    <t>Z0364677L</t>
  </si>
  <si>
    <t>https://www.homedepot.com/p/MMI-Door-36-in-x-80-in-Classic-Left-Hand-Outswing-1-2-Lite-Clear-Primed-Steel-Prehung-Front-Door-with-Brickmould-Z0364677L/306859301</t>
  </si>
  <si>
    <t>Stanley Doors</t>
  </si>
  <si>
    <t>9210S-32-R</t>
  </si>
  <si>
    <t>https://www.homedepot.com/p/Stanley-Doors-32-in-x-80-in-Colonial-9-Lite-2-Panel-Painted-White-Right-Hand-Steel-Prehung-Front-Door-with-Internal-Grille-9210S-32-R/204765585</t>
  </si>
  <si>
    <t>THDJW184600091</t>
  </si>
  <si>
    <t>https://www.homedepot.com/p/JELD-WEN-36-in-x-80-in-9-Lite-White-Painted-Steel-Prehung-Left-Hand-Outswing-Entry-Door-w-Brickmould-THDJW184600091/204317523</t>
  </si>
  <si>
    <t>A07314</t>
  </si>
  <si>
    <t>https://www.homedepot.com/p/JELD-WEN-36-in-x-80-in-9-Lite-Primed-Steel-Prehung-Left-Hand-Inswing-Entry-Door-with-Brickmould-A07314/202036416</t>
  </si>
  <si>
    <t>THDJW190900021</t>
  </si>
  <si>
    <t>https://www.homedepot.com/p/JELD-WEN-32-in-x-80-in-12-Lite-Primed-Steel-Prehung-Left-Hand-Outswing-Entry-Door-THDJW190900021/202036509</t>
  </si>
  <si>
    <t>THDJW190900023</t>
  </si>
  <si>
    <t>https://www.homedepot.com/p/JELD-WEN-32-in-x-80-in-12-Lite-Primed-Steel-Prehung-Left-Hand-Inswing-Entry-Door-THDJW190900023/202036501</t>
  </si>
  <si>
    <t>https://www.homedepot.com/p/Masonite-36-in-x-80-in-Chatham-3-4-Oval-Lite-Right-Hand-Inswing-Primed-Steel-Prehung-Front-Exterior-Door-39373/204739707</t>
  </si>
  <si>
    <t>1538E-BN-36-L</t>
  </si>
  <si>
    <t>https://www.homedepot.com/p/Stanley-Doors-36-in-x-80-in-Chatham-3-4-Lite-1-Panel-Painted-Left-Hand-Inswing-Steel-Prehung-Front-Door-1538E-BN-36-L/204766711</t>
  </si>
  <si>
    <t>THDJW230500218</t>
  </si>
  <si>
    <t>https://www.homedepot.com/p/JELD-WEN-60-in-x-80-in-Right-Hand-3-4-Lite-Wendover-Decorative-Glass-Primed-Steel-Prehung-Front-Door-with-Sidelites-THDJW230500218/315983903</t>
  </si>
  <si>
    <t>THDJW230500292</t>
  </si>
  <si>
    <t>https://www.homedepot.com/p/JELD-WEN-36-in-x-80-in-1-Panel-Right-Hand-Inswing-3-4-Lite-Clear-Glass-Black-Steel-Prehung-Front-Door-THDJW230500292/323706716</t>
  </si>
  <si>
    <t>THDJW230500279</t>
  </si>
  <si>
    <t>https://www.homedepot.com/p/JELD-WEN-36-in-x-80-in-1-Panel-Left-Hand-Inswing-3-4-Lite-Clear-Glass-Primed-Steel-Prehung-Front-Door-THDJW230500279/323706695</t>
  </si>
  <si>
    <t>ST40-PR-D12CL-R4RH</t>
  </si>
  <si>
    <t>https://www.homedepot.com/p/Steves-Sons-64-in-x-80-in-Element-Series-4-Panel-White-Primed-Right-Hand-Steel-Prehung-Front-Door-w-12-in-Clear-Glass-Sidelites-ST40-PR-D12CL-R4RH/206671912</t>
  </si>
  <si>
    <t>ST10-PR-D12RN-6LH</t>
  </si>
  <si>
    <t>https://www.homedepot.com/p/Steves-Sons-64-in-x-80-in-Element-Series-1-Panel-LHIS-Primed-White-Steel-Prehung-Front-Door-w-Double-12-in-Rain-Glass-Sidelites-ST10-PR-D12RN-6LH/303751892</t>
  </si>
  <si>
    <t>ST90-PR-D10CL-R6RH</t>
  </si>
  <si>
    <t>https://www.homedepot.com/p/Steves-Sons-60-in-x-80-in-Element-Series-9-Panel-Primed-White-Right-Hand-Steel-Prehung-Front-Door-w-10-in-Clear-Glass-Sidelites-ST90-PR-D10CL-R6RH/206671670</t>
  </si>
  <si>
    <t>THDJW166700562</t>
  </si>
  <si>
    <t>https://www.homedepot.com/p/JELD-WEN-36-in-x-80-in-3-4-Oval-Lite-Blakely-Primed-Steel-Prehung-Right-Hand-Inswing-Front-Door-THDJW166700562/202036110</t>
  </si>
  <si>
    <t>THDJW190900031</t>
  </si>
  <si>
    <t>https://www.homedepot.com/p/JELD-WEN-36-in-x-80-in-12-Lite-Primed-Steel-Prehung-Right-Hand-Outswing-Front-Door-THDJW190900031/302924318</t>
  </si>
  <si>
    <t>THDJW189200504</t>
  </si>
  <si>
    <t>https://www.homedepot.com/p/JELD-WEN-36-in-x-80-in-12-Lite-Primed-Steel-Prehung-Left-Hand-Inswing-Prehung-Front-Door-with-Brickmould-THDJW189200504/302924320</t>
  </si>
  <si>
    <t>https://www.homedepot.com/p/Masonite-36-in-x-80-in-Left-Hand-Inswing-Full-Lite-Clear-Glass-Primed-White-Steel-Prehung-Front-Door-with-No-Brickmold-27954/100052520</t>
  </si>
  <si>
    <t>https://www.homedepot.com/p/Masonite-36-in-x-80-in-Premium-Full-Lite-Left-Hand-Inswing-Primed-Steel-Prehung-Front-Exterior-Door-No-Brickmold-86226/204149012</t>
  </si>
  <si>
    <t>Z0364930L</t>
  </si>
  <si>
    <t>https://www.homedepot.com/p/MMI-Door-36-in-x-80-in-Internal-Blinds-Left-Hand-Outswing-Full-Lite-Clear-Primed-Steel-Prehung-Front-Door-with-Brickmould-Z0364930L/306927012</t>
  </si>
  <si>
    <t>Z0365316L</t>
  </si>
  <si>
    <t>https://www.homedepot.com/p/MMI-Door-36-in-x-80-in-Classic-Left-Hand-Inswing-15-Lite-Clear-Low-E-Primed-Steel-Prehung-Front-Door-on-6-9-16-in-Frame-Z0365316L/309441187</t>
  </si>
  <si>
    <t>Z0364642R</t>
  </si>
  <si>
    <t>https://www.homedepot.com/p/MMI-Door-32-in-x-80-in-Classic-Right-Hand-Outswing-Full-Lite-Clear-Low-E-Primed-Steel-Prehung-Front-Door-with-Brickmould-Z0364642R/306858873</t>
  </si>
  <si>
    <t>Z0365254L</t>
  </si>
  <si>
    <t>https://www.homedepot.com/p/MMI-Door-30-in-x-80-in-Classic-Left-Hand-Inswing-15-Lite-Clear-Glass-Primed-Steel-Prehung-Front-Door-on-4-9-16-in-Frame-Z0365254L/309446245</t>
  </si>
  <si>
    <t>https://www.homedepot.com/p/Masonite-32-in-x-80-in-Ultra-White-15-Lite-Right-Hand-Clear-Glass-Painted-Steel-Prehung-Front-Door-Brickmold-Vinyl-Frame-49409/202896630</t>
  </si>
  <si>
    <t>https://www.homedepot.com/p/Masonite-32-in-x-80-in-Premium-Full-Lite-Mini-Blind-Right-Hand-Inswing-Primed-Steel-Prehung-Front-Exterior-Door-31315/203415283</t>
  </si>
  <si>
    <t>https://www.homedepot.com/p/Masonite-32-in-x-80-in-Full-Lite-Mini-Blind-Right-Hand-Inswing-Painted-Steel-Prehung-Front-Exterior-Door-No-Brickmold-22075/202874155</t>
  </si>
  <si>
    <t>https://www.homedepot.com/p/Masonite-32-in-x-80-in-15-Lite-Right-Hand-Inswing-Painted-Steel-Prehung-Front-Exterior-Door-with-Brickmold-20910/202896615</t>
  </si>
  <si>
    <t>Z029682R</t>
  </si>
  <si>
    <t>https://www.homedepot.com/p/MMI-Door-68-5-in-x-81-75-in-Internal-Blinds-Right-Hand-Inswing-Full-Lite-Clear-Primed-Steel-Prehung-Front-Door-with-Sidelites-Z029682R/302694143</t>
  </si>
  <si>
    <t>Z0352335L</t>
  </si>
  <si>
    <t>https://www.homedepot.com/p/MMI-Door-53-in-x-81-75-in-Celeste-Frosted-Glass-Left-Hand-Inswing-4-Lite-Eclectic-Painted-Steel-Prehung-Front-Door-w-Sidelite-Z0352335L/303744696</t>
  </si>
  <si>
    <t>Z009718R</t>
  </si>
  <si>
    <t>https://www.homedepot.com/p/MMI-Door-36-in-x-96-in-Classic-Right-Hand-Inswing-Full-Lite-Clear-Painted-Steel-Prehung-Front-Door-Z009718R/206844602</t>
  </si>
  <si>
    <t>EMJ686BLPR30L</t>
  </si>
  <si>
    <t>https://www.homedepot.com/p/MMI-Door-36-in-x-80-in-Internal-Blinds-Left-Hand-Inswing-Full-Lite-Clear-Primed-Steel-Prehung-Front-Door-EMJ686BLPR30L/205788179</t>
  </si>
  <si>
    <t>Z0353170R</t>
  </si>
  <si>
    <t>https://www.homedepot.com/p/MMI-Door-36-in-x-80-in-Davina-Right-Hand-Inswing-5-Lite-Frosted-Glass-Painted-Steel-Prehung-Front-Door-on-4-9-16-in-Frame-Z0353170R/309106534</t>
  </si>
  <si>
    <t>Z0353674R</t>
  </si>
  <si>
    <t>https://www.homedepot.com/p/MMI-Door-36-in-x-80-in-Celeste-Right-Hand-Inswing-4-Lite-Clear-Low-E-Glass-Painted-Steel-Prehung-Front-Door-on-6-9-16-in-Frame-Z0353674R/309104695</t>
  </si>
  <si>
    <t>Z0352330L</t>
  </si>
  <si>
    <t>https://www.homedepot.com/p/MMI-Door-36-in-x-80-in-Celeste-Left-Hand-Inswing-4-Lite-Frosted-Glass-Painted-Steel-Prehung-Front-Door-on-4-9-16-in-Frame-Z0352330L/309105481</t>
  </si>
  <si>
    <t>Z000723R</t>
  </si>
  <si>
    <t>https://www.homedepot.com/p/MMI-Door-30-in-x-80-in-Right-Hand-Inswing-Full-Lite-Clear-Classic-Primed-Steel-Prehung-Front-Door-Z000723R/206450087</t>
  </si>
  <si>
    <t>Z0352339R</t>
  </si>
  <si>
    <t>https://www.homedepot.com/p/MMI-Door-68-5-in-x-81-75-in-Celeste-Right-Hand-Inswing-4-Lite-Frosted-Modern-Painted-Steel-Prehung-Front-Door-with-Sidelites-Z0352339R/303031445</t>
  </si>
  <si>
    <t>H32041</t>
  </si>
  <si>
    <t>https://www.homedepot.com/p/JELD-WEN-52-in-x-80-in-Full-Lite-Blakely-Primed-Steel-Prehung-Right-Hand-Inswing-Front-Door-with-Left-Hand-Sidelite-H32041/202576084</t>
  </si>
  <si>
    <t>https://www.homedepot.com/p/Masonite-36-in-x-80-in-Utility-6-Panel-Left-Hand-Inswing-Primed-Steel-Prehung-Front-Door-with-No-Brickmold-84529/204341302</t>
  </si>
  <si>
    <t>https://www.homedepot.com/p/Masonite-36-in-x-80-in-Premium-Flush-Right-Hand-Inswing-Primed-Steel-Prehung-Front-Exterior-Door-with-No-Brickmold-84178/204759995</t>
  </si>
  <si>
    <t>https://www.homedepot.com/p/Masonite-36-in-x-80-in-Fire-Rated-Left-Hand-Inswing-6-Panel-Primed-Steel-Fire-Prehung-Front-Exterior-Door-with-Wood-Frame-94245/202530350</t>
  </si>
  <si>
    <t>https://www.homedepot.com/p/Masonite-32-in-x-80-in-Premium-Right-Hand-Outswing-Flush-Primed-Steel-Prehung-Front-Exterior-Door-with-No-Brickmold-84192/204759988</t>
  </si>
  <si>
    <t>https://www.homedepot.com/p/Masonite-32-in-x-80-in-Premium-Left-Hand-Outswing-Flush-Primed-Steel-Prehung-Front-Exterior-Door-with-No-Brickmold-26856/100075721</t>
  </si>
  <si>
    <t>https://www.homedepot.com/p/Masonite-30-in-x-80-in-Premium-Flush-Right-Hand-Inswing-Primed-White-Steel-Prehung-Front-Exterior-Door-84130/204759981</t>
  </si>
  <si>
    <t>https://www.homedepot.com/p/Masonite-30-in-x-80-in-Premium-Flush-Left-Hand-Inswing-Primed-Steel-Prehung-Front-Exterior-Door-No-Brickmold-26771/100062460</t>
  </si>
  <si>
    <t>https://www.homedepot.com/p/Masonite-30-in-x-80-in-Premium-6-Panel-Left-Hand-Inswing-Primed-Steel-Prehung-Front-Exterior-Door-No-Brickmold-84598/202519847</t>
  </si>
  <si>
    <t>https://www.homedepot.com/p/Masonite-30-in-x-80-in-6-Panel-Right-Hand-Inswing-Primed-Steel-Prehung-Front-Exterior-Door-No-Brickmold-49331/202519851</t>
  </si>
  <si>
    <t>STFL-PR-24-4OLH</t>
  </si>
  <si>
    <t>https://www.homedepot.com/p/Steves-Sons-24-in-x-80-in-Premium-Flush-Primed-White-Left-Hand-Outswing-Steel-Prehung-Front-Door-with-4-9-16-in-Frame-STFL-PR-24-4OLH/205365739</t>
  </si>
  <si>
    <t>ST60-PR-30-4ORH</t>
  </si>
  <si>
    <t>https://www.homedepot.com/p/Steves-Sons-36-in-x-80-in-Element-Series-6-Panel-White-Primed-Steel-Prehung-Front-Door-Right-Hand-Outswing-w-4-in-Wall-ST60-PR-30-4ORH/205070553</t>
  </si>
  <si>
    <t>ST20-PR-30-4IRH</t>
  </si>
  <si>
    <t>https://www.homedepot.com/p/Steves-Sons-36-in-x-80-in-Element-Series-2-Panel-Square-Wht-Primed-Steel-Prehung-Front-Door-Right-Hand-Inswing-w-4-9-16-in-Frame-ST20-PR-30-4IRH/205050825</t>
  </si>
  <si>
    <t>Z029360R</t>
  </si>
  <si>
    <t>https://www.homedepot.com/p/MMI-Door-72-in-x-80-in-Right-Hand-Inswing-Classic-6-Panel-Primed-Steel-Prehung-Front-Door-with-Brickmould-Z029360R/302693951</t>
  </si>
  <si>
    <t>Z009662R</t>
  </si>
  <si>
    <t>https://www.homedepot.com/p/MMI-Door-36-in-x-96-in-6-Panel-Painted-Majestic-Right-Hand-Steel-Exterior-Prehung-Front-Door-Z009662R/206847422</t>
  </si>
  <si>
    <t>THDJW250500015</t>
  </si>
  <si>
    <t>https://www.homedepot.com/p/JELD-WEN-36-in-x-80-in-4-Panel-Equal-Right-Hand-Inswing-Black-Steel-Prehung-Front-Door-THDJW250500015/323696866</t>
  </si>
  <si>
    <t>ST60-PR-D12TL-R4LH</t>
  </si>
  <si>
    <t>https://www.homedepot.com/p/Steves-Sons-64-in-x-80-in-Element-Series-6-Panel-White-Primed-Left-Hand-Steel-Prehung-Front-Door-with-12-in-3-Lite-Sidelites-ST60-PR-D12TL-R4LH/309649656</t>
  </si>
  <si>
    <t>THDJW166100370</t>
  </si>
  <si>
    <t>https://www.homedepot.com/p/JELD-WEN-36-in-x-80-in-3-Panel-Craftsman-Primed-Steel-Prehung-Left-Hand-Inswing-Front-Door-THDJW166100370/301679991</t>
  </si>
  <si>
    <t>THDJW166100365</t>
  </si>
  <si>
    <t>https://www.homedepot.com/p/JELD-WEN-32-in-x-80-in-2-Panel-Craftsman-Primed-Steel-Prehung-Right-Hand-Inswing-Front-Door-THDJW166100365/301679987</t>
  </si>
  <si>
    <t>THDJW166100372</t>
  </si>
  <si>
    <t>https://www.homedepot.com/p/JELD-WEN-32-in-x-80-in-1-Panel-Craftsman-Primed-Steel-Prehung-Left-Hand-Inswing-Front-Door-THDJW166100372/301679980</t>
  </si>
  <si>
    <t>THDJW166100302</t>
  </si>
  <si>
    <t>https://www.homedepot.com/p/36-in-x-80-in-6-Panel-Primed-Steel-Prehung-Right-Hand-Inswing-Front-Door-THDJW166100302/202036470</t>
  </si>
  <si>
    <t>https://www.homedepot.com/p/Masonite-32-in-x-80-in-Fire-Rated-Left-Hand-Inswing-6-Panel-Steel-Fire-Prehung-Commercial-Exterior-Door-with-Wood-Frame-94211/202530394</t>
  </si>
  <si>
    <t>UWE3684R</t>
  </si>
  <si>
    <t>https://www.homedepot.com/p/L-I-F-Industries-36-in-x-84-in-Gray-Flush-Right-Hand-Fire-Proof-Steel-Prehung-Commercial-Entrance-Door-with-Welded-Frame-UWE3684R/202510507</t>
  </si>
  <si>
    <t>UWVS3680L</t>
  </si>
  <si>
    <t>https://www.homedepot.com/p/L-I-F-Industries-36-in-x-80-in-Vision-Lite-520-Left-Hand-Steel-Prehung-Commercial-Door-with-Welded-Frame-UWVS3680L/202510530</t>
  </si>
  <si>
    <t>UWHG3680L</t>
  </si>
  <si>
    <t>https://www.homedepot.com/p/L-I-F-Industries-36-in-x-80-in-Gray-Vision-1-2-Lite-Left-Hand-Steel-Prehung-Commercial-Door-with-Welded-Frame-UWHG3680L/202510534</t>
  </si>
  <si>
    <t>UWS3680L</t>
  </si>
  <si>
    <t>https://www.homedepot.com/p/L-I-F-Industries-36-in-x-80-in-Gray-Flush-Left-Hand-Security-Steel-Prehung-Commercial-Door-with-Welded-Frame-UWS3680L/202510520</t>
  </si>
  <si>
    <t>UWX3680L</t>
  </si>
  <si>
    <t>https://www.homedepot.com/p/L-I-F-Industries-36-in-x-80-in-Gray-Flush-Exit-Left-Hand-Fire-Proof-Steel-Prehung-Commercial-Door-with-Welded-Frame-UWX3680L/202510508</t>
  </si>
  <si>
    <t>UWR3680L</t>
  </si>
  <si>
    <t>https://www.homedepot.com/p/L-I-F-Industries-36-in-x-80-in-Firerated-Left-Hand-Louver-Steel-Prehung-Commercial-Door-with-Welded-Frame-UWR3680L/202510512</t>
  </si>
  <si>
    <t>VSDFDWD3680ER</t>
  </si>
  <si>
    <t>https://www.homedepot.com/p/Armor-Door-36-in-x-80-in-Fire-Rated-Gray-Right-Hand-Flush-Steel-Prehung-Commercial-Door-with-Welded-Frame-Deadlock-and-Hardware-VSDFDWD3680ER/207153513</t>
  </si>
  <si>
    <t>VSDFPWD3680ER</t>
  </si>
  <si>
    <t>https://www.homedepot.com/p/Armor-Door-36-in-x-80-in-Fire-Rated-Gray-Right-Hand-Flush-Entrance-Steel-Prehung-Commercial-Door-with-Welded-Frame-and-Hardware-VSDFPWD3680ER/206852292</t>
  </si>
  <si>
    <t>VSDFRWD3680EL</t>
  </si>
  <si>
    <t>https://www.homedepot.com/p/Armor-Door-36-in-x-80-in-Fire-Rated-Gray-Left-Hand-Flush-Steel-Prehung-Commercial-Door-and-Frame-with-Panic-Bar-and-Hardware-VSDFRWD3680EL/207153515</t>
  </si>
  <si>
    <t>UWXVS3684R</t>
  </si>
  <si>
    <t>https://www.homedepot.com/p/36-in-x-84-in-Gray-Flush-Exit-with-5x20-VL-Right-Hand-Fireproof-Steel-Prehung-Commercial-Door-with-Welded-Frame-UWXVS3684R/302916748</t>
  </si>
  <si>
    <t>Vinyl</t>
  </si>
  <si>
    <t>https://www.homedepot.com/p/Stanley-Doors-72-in-x-80-in-Double-Sliding-Patio-Door-with-Prairie-Style-Internal-Grill-600002/205211867</t>
  </si>
  <si>
    <t>https://www.homedepot.com/p/Stanley-Doors-72-in-x-80-in-Double-Sliding-Patio-Door-with-Internal-Mini-Blinds-600004/204999750</t>
  </si>
  <si>
    <t>https://www.homedepot.com/p/Stanley-Doors-72-in-x-80-in-Double-Sliding-Patio-Door-with-15-Lite-Internal-White-Flat-Grill-600003/205211865</t>
  </si>
  <si>
    <t>https://www.homedepot.com/p/Stanley-Doors-72-in-x-80-in-Double-Sliding-Patio-Door-Clear-Low-E-600001/205000623</t>
  </si>
  <si>
    <t>https://www.homedepot.com/p/Stanley-Doors-60-in-x-80-in-Double-Sliding-Patio-Door-with-10-Lite-Internal-White-Flat-Grill-500005/205307373</t>
  </si>
  <si>
    <t>https://www.homedepot.com/p/Stanley-Doors-59-in-x-80-in-Glacier-White-Vinyl-Right-Hand-Low-E-Sliding-Patio-Door-with-Screen-Handle-Set-and-Nailing-Fin-500008/206738351</t>
  </si>
  <si>
    <t>D96X80HPSCRH</t>
  </si>
  <si>
    <t>https://www.homedepot.com/p/Ply-Gem-95-5-in-x-79-5-in-Select-Series-White-Vinyl-Right-Hand-Sliding-Patio-Door-with-HPSC-Glass-Screen-Included-D96X80HPSCRH/316351759</t>
  </si>
  <si>
    <t>SELECT PATIO DOOR 72X80 WH LE BBG RH</t>
  </si>
  <si>
    <t>https://www.homedepot.com/p/Ply-Gem-71-5-in-x-79-5-in-Select-Series-White-Vinyl-Right-Hand-Sliding-Patio-Door-with-Blinds-and-LowE-Glass-Screen-Included-SELECT-PATIO-DOOR-72X80-WH-LE-BBG-RH/316148772</t>
  </si>
  <si>
    <t>SELECT PD</t>
  </si>
  <si>
    <t>https://www.homedepot.com/p/Ply-Gem-71-5-in-x-79-5-in-Select-Series-White-Vinyl-Left-Hand-Sliding-Patio-Door-with-Blinds-and-LowE-Glass-Screen-Included-SELECT-PD/316148707</t>
  </si>
  <si>
    <t>CLASSIC PD</t>
  </si>
  <si>
    <t>https://www.homedepot.com/p/Ply-Gem-71-5-in-x-79-5-in-Classic-Series-White-Vinyl-Right-Hand-Sliding-Patio-Door-with-HPSC-Glass-Screen-Included-CLASSIC-PD/316147294</t>
  </si>
  <si>
    <t>CLASSIC PATIO DOOR 60X80 WH HPSC RH</t>
  </si>
  <si>
    <t>https://www.homedepot.com/p/Ply-Gem-59-5-in-x-79-5-in-Classic-Series-White-Vinyl-Right-Hand-Sliding-Patio-Door-with-HPSC-Glass-Screen-Included-CLASSIC-PATIO-DOOR-60X80-WH-HPSC-RH/316146779</t>
  </si>
  <si>
    <t>CLASSIC PATIO DOOR 60X80 WH HPSC LH</t>
  </si>
  <si>
    <t>https://www.homedepot.com/p/Ply-Gem-59-5-in-x-79-5-in-Classic-Series-White-Vinyl-Left-Hand-Sliding-Patio-Door-with-HPSC-Glass-Screen-Included-CLASSIC-PATIO-DOOR-60X80-WH-HPSC-LH/316146608</t>
  </si>
  <si>
    <t>THDJW247600125</t>
  </si>
  <si>
    <t>https://www.homedepot.com/p/JELD-WEN-V4500-Multi-Slide-177-in-x-96-in-Universal-Handing-Low-E-White-Vinyl-3-Panel-Prehung-Patio-Door-THDJW247600125/321339068</t>
  </si>
  <si>
    <t>THDJW247600137</t>
  </si>
  <si>
    <t>https://www.homedepot.com/p/JELD-WEN-V4500-Multi-Slide-177-in-x-80-in-Left-Hand-Low-E-White-Vinyl-3-Panel-Prehung-Patio-Door-THDJW247600137/321339063</t>
  </si>
  <si>
    <t>THDJW247600157</t>
  </si>
  <si>
    <t>https://www.homedepot.com/p/JELD-WEN-V4500-Multi-Slide-141-in-x-96-in-Universal-Hand-Low-E-White-Vinyl-3-Panel-Prehung-Patio-Door-THDJW247600157/321339061</t>
  </si>
  <si>
    <t>THDJW247600158</t>
  </si>
  <si>
    <t>https://www.homedepot.com/p/JELD-WEN-V4500-Multi-Slide-141-in-x-96-in-Universal-Handing-Low-E-Desert-Sand-Vinyl-3-Panel-Prehung-Patio-Door-THDJW247600158/321339082</t>
  </si>
  <si>
    <t>THDJW247600161</t>
  </si>
  <si>
    <t>https://www.homedepot.com/p/JELD-WEN-V4500-Multi-Slide-141-in-x-96-in-Left-Hand-Low-E-White-Vinyl-3-Panel-Prehung-Patio-Door-THDJW247600161/321339075</t>
  </si>
  <si>
    <t>THDJW247600165</t>
  </si>
  <si>
    <t>https://www.homedepot.com/p/JELD-WEN-V4500-Multi-Slide-141-in-x-80-in-Universal-Handing-Low-E-White-Vinyl-3-Panel-Prehung-Patio-Door-THDJW247600165/321339069</t>
  </si>
  <si>
    <t>THDJW247600166</t>
  </si>
  <si>
    <t>https://www.homedepot.com/p/JELD-WEN-V4500-Multi-Slide-141-in-x-80-in-Universal-Handing-Low-E-Desert-Sand-Vinyl-3-Panel-Prehung-Patio-Door-THDJW247600166/321339048</t>
  </si>
  <si>
    <t>THDJW247600254</t>
  </si>
  <si>
    <t>https://www.homedepot.com/p/JELD-WEN-V4500-Multi-Slide-141-in-x-80-in-Right-Hand-Low-E-White-Vinyl-3-Panel-Prehung-Patio-Door-THDJW247600254/322084604</t>
  </si>
  <si>
    <t>THDJW247600213</t>
  </si>
  <si>
    <t>https://www.homedepot.com/p/JELD-WEN-V4500-Multi-Slide-105-in-x-96-in-Universal-Handing-Low-E-White-Vinyl-Prehung-Patio-Door-THDJW247600213/321339050</t>
  </si>
  <si>
    <t>THDJW247600252</t>
  </si>
  <si>
    <t>https://www.homedepot.com/p/JELD-WEN-V4500-Multi-Slide-105-in-x-96-in-Right-Hand-Low-E-White-Vinyl-3-Panel-Prehung-Patio-Door-THDJW247600252/322084601</t>
  </si>
  <si>
    <t>THDJW247600217</t>
  </si>
  <si>
    <t>https://www.homedepot.com/p/JELD-WEN-V4500-Multi-Slide-105-in-x-96-in-Left-Hand-Low-E-White-Vinyl-3-Panel-Prehung-Patio-Door-THDJW247600217/321339080</t>
  </si>
  <si>
    <t>THDJW247600218</t>
  </si>
  <si>
    <t>https://www.homedepot.com/p/JELD-WEN-V4500-Multi-Slide-105-in-x-96-in-Left-Hand-Low-E-Desert-Sand-Vinyl-3-Panel-Prehung-Patio-Door-THDJW247600218/321339070</t>
  </si>
  <si>
    <t>THDJW247600222</t>
  </si>
  <si>
    <t>https://www.homedepot.com/p/JELD-WEN-V4500-Multi-Slide-105-in-x-80-in-Universal-Handing-Low-E-Desert-Sand-Vinyl-3-Panel-Prehung-Patio-Door-THDJW247600222/321339056</t>
  </si>
  <si>
    <t>THDJW247600249</t>
  </si>
  <si>
    <t>https://www.homedepot.com/p/JELD-WEN-V4500-Multi-Slide-105-in-x-80-in-Right-Hand-Low-E-Desert-Sand-Vinyl-3-Panel-Prehung-Patio-Door-THDJW247600249/322084573</t>
  </si>
  <si>
    <t>THDJW247600225</t>
  </si>
  <si>
    <t>https://www.homedepot.com/p/JELD-WEN-V4500-Multi-Slide-105-in-x-80-in-Left-Hand-Low-E-White-Vinyl-3-Panel-Prehung-Patio-Door-THDJW247600225/321339085</t>
  </si>
  <si>
    <t>THDJW247600226</t>
  </si>
  <si>
    <t>https://www.homedepot.com/p/JELD-WEN-V4500-Multi-Slide-105-in-x-80-in-Left-Hand-Low-E-Desert-Sand-Vinyl-3-Panel-Prehung-Patio-Door-THDJW247600226/321339060</t>
  </si>
  <si>
    <t>THDJW233500081</t>
  </si>
  <si>
    <t>https://www.homedepot.com/p/JELD-WEN-V4500-60x80-Left-Hand-Low-E-White-Vinyl-Double-Prehung-Patio-Door-THDJW233500081/320156436</t>
  </si>
  <si>
    <t>THDJW155900190</t>
  </si>
  <si>
    <t>https://www.homedepot.com/p/JELD-WEN-72-in-x-96-in-V-4500-Contemporary-White-Vinyl-Right-Hand-Full-Lite-Sliding-Patio-Door-THDJW155900190/206584283</t>
  </si>
  <si>
    <t>THDJW155900181</t>
  </si>
  <si>
    <t>https://www.homedepot.com/p/JELD-WEN-72-in-x-80-in-V-4500-White-Vinyl-Right-Hand-Full-Lite-Sliding-Patio-Door-THDJW155900181/206825734</t>
  </si>
  <si>
    <t>THDJW155900227</t>
  </si>
  <si>
    <t>https://www.homedepot.com/p/JELD-WEN-72-in-x-80-in-V-4500-White-Vinyl-Left-Hand-9-Lite-Sliding-Patio-Door-THDJW155900227/206825743</t>
  </si>
  <si>
    <t>THDJW155900244</t>
  </si>
  <si>
    <t>https://www.homedepot.com/p/JELD-WEN-72-in-x-80-in-V-4500-Contemporary-White-Vinyl-Left-Hand-Full-Lite-Sliding-Patio-Door-w-Blinds-THDJW155900244/206584103</t>
  </si>
  <si>
    <t>THDJW181500222</t>
  </si>
  <si>
    <t>https://www.homedepot.com/p/JELD-WEN-72-in-x-80-in-V-2500-White-Vinyl-Right-Hand-15-Lite-Sliding-Patio-Door-w-White-Interior-THDJW181500222/206075439</t>
  </si>
  <si>
    <t>THDJW181500159</t>
  </si>
  <si>
    <t>https://www.homedepot.com/p/JELD-WEN-72-in-x-80-in-V-2500-Series-Bronze-FiniShield-Vinyl-Left-Hand-Full-Lite-Sliding-Patio-Door-w-White-Interior-THDJW181500159/205947040</t>
  </si>
  <si>
    <t>JW1815-00197</t>
  </si>
  <si>
    <t>https://www.homedepot.com/p/JELD-WEN-72-in-x-80-in-V-2500-Desert-Sand-Vinyl-Left-Hand-Full-Lite-Sliding-Patio-Door-w-Internal-Blinds-JW1815-00197/206147996</t>
  </si>
  <si>
    <t>THDJW181500201</t>
  </si>
  <si>
    <t>https://www.homedepot.com/p/JELD-WEN-72-in-x-80-in-V-2500-Desert-Sand-Vinyl-Left-Hand-Full-Lite-Sliding-Patio-Door-THDJW181500201/205947043</t>
  </si>
  <si>
    <t>THDJW155900241</t>
  </si>
  <si>
    <t>https://www.homedepot.com/p/JELD-WEN-60-in-x-80-in-V-4500-White-Vinyl-Right-Hand-Full-Lite-Sliding-Patio-Door-w-Internal-Blinds-THDJW155900241/206825726</t>
  </si>
  <si>
    <t>JW1815-00228</t>
  </si>
  <si>
    <t>https://www.homedepot.com/p/JELD-WEN-60-in-x-80-in-V-2500-White-Vinyl-Right-Hand-Full-Lite-Sliding-Patio-Door-w-White-Interior-Blinds-JW1815-00228/206148003</t>
  </si>
  <si>
    <t>M4151-14-AW-4LH</t>
  </si>
  <si>
    <t>Wood</t>
  </si>
  <si>
    <t>https://www.homedepot.com/p/Steves-Sons-68-in-x-80-in-Craftsman-3-Lite-Arch-Stained-Mahogany-Wood-Prehung-Front-Door-with-Sidelites-M4151-14-AW-4LH/204622133</t>
  </si>
  <si>
    <t>M3306_123612_AW_4ILH</t>
  </si>
  <si>
    <t>https://www.homedepot.com/p/Steves-Sons-64-in-x-80-in-Craftsman-Bungalow-6-Lite-Left-Hand-Inswing-Wheat-Stained-Wood-Prehung-Front-Door-12-in-Sidelites-M3306-123612-AW-4ILH/302859495</t>
  </si>
  <si>
    <t>M4151-12-HY-6LH</t>
  </si>
  <si>
    <t>https://www.homedepot.com/p/Steves-Sons-64-in-x-80-in-Craftsman-3-Lite-Arch-Stained-Mahogany-Wood-Prehung-Front-Door-with-Sidelites-M4151-12-HY-6LH/204620269</t>
  </si>
  <si>
    <t>M3306-6-HY-MJ-4IRH</t>
  </si>
  <si>
    <t>https://www.homedepot.com/p/Steves-Sons-36-in-x-80-in-Craftsman-6-Lite-Stained-Mahogany-Wood-Prehung-Front-Door-M3306-6-HY-MJ-4IRH/205089321</t>
  </si>
  <si>
    <t>A3306-6-AW-MJ-4IRH</t>
  </si>
  <si>
    <t>https://www.homedepot.com/p/Steves-Sons-36-in-x-80-in-Craftsman-6-Lite-Stained-Knotty-Alder-Wood-Prehung-Front-Door-A3306-6-AW-MJ-4IRH/205319884</t>
  </si>
  <si>
    <t>Pacific Entries</t>
  </si>
  <si>
    <t>GA23RC</t>
  </si>
  <si>
    <t>https://www.homedepot.com/p/Pacific-Entries-36-in-x-80-in-Golden-Right-Hand-Inswing-2-Panel-3-Lite-Clear-Insulated-Glass-Alder-Prehung-Prefinished-Entry-Door-GA23RC/311445960</t>
  </si>
  <si>
    <t>GA23RC6</t>
  </si>
  <si>
    <t>https://www.homedepot.com/p/Pacific-Entries-36-in-x-80-in-Golden-RH-Inswing-3-Lite-Clear-Insulated-Glass-Alder-Prehung-Prefinished-Entry-Door-with-6-9-16-Jamb-GA23RC6/311445967</t>
  </si>
  <si>
    <t>GA24CL</t>
  </si>
  <si>
    <t>https://www.homedepot.com/p/Pacific-Entries-36-in-x-80-in-Golden-Oak-Left-Hand-Inswing-4-Lite-Clear-Beveled-Insulated-Glass-Stained-Alder-Prehung-Front-Door-GA24CL/311456552</t>
  </si>
  <si>
    <t>EM73RC</t>
  </si>
  <si>
    <t>https://www.homedepot.com/p/Pacific-Entries-36-in-x-80-in-Espresso-Right-Hand-Inswing-3-Lite-Triple-Pane-Decorative-Glass-Stained-Mahogany-Prehung-Front-Door-EM73RC/311450021</t>
  </si>
  <si>
    <t>EA75CRDR</t>
  </si>
  <si>
    <t>https://www.homedepot.com/p/Pacific-Entries-36-in-x-80-in-Craftsman-Espresso-Right-Hand-Inswing-3-lite-w-Arched-Reed-Glass-Stained-Alder-Wood-Pre-Hung-Front-Door-EA75CRDR/312022775</t>
  </si>
  <si>
    <t>Krosswood Doors</t>
  </si>
  <si>
    <t>PHED.KA.550.60.68.134.RA</t>
  </si>
  <si>
    <t>https://www.homedepot.com/p/Krosswood-Doors-72-in-x-80-in-Craftsman-Knotty-Alder-6-Lite-Clear-Glass-Unfinished-Wood-Right-Active-Inswing-Double-Prehung-Front-Door-PHED-KA-550-60-68-134-RA/309329971</t>
  </si>
  <si>
    <t>PHED.KA.550.30.68.134.LH.DSL</t>
  </si>
  <si>
    <t>https://www.homedepot.com/p/Krosswood-Doors-64-in-x-80-in-Craftsman-Alder-2-Panel-6-Lite-Clear-Low-E-Unfinished-Wood-Left-Hand-Prehung-Front-Door-Sidelites-PHED-KA-550-30-68-134-LH-DSL/303123769</t>
  </si>
  <si>
    <t>KW-550-3068-LH</t>
  </si>
  <si>
    <t>https://www.homedepot.com/p/Krosswood-Doors-36-in-x-80-in-Krosswood-Craftsman-Unfinished-Rustic-Knotty-Alder-Solid-Wood-Single-Prehung-Front-Door-KW-550-3068-LH/206605452</t>
  </si>
  <si>
    <t>PHED.KA.550DS.30.68.134.RH.DSL</t>
  </si>
  <si>
    <t>https://www.homedepot.com/p/Krosswood-Doors-64-in-x-80-in-Craftsman-Knotty-Alder-2-Panel-6-Lite-DS-Unfinished-Right-Hand-Inswing-Prehung-Front-Door-Sidelites-PHED-KA-550DS-30-68-134-RH-DSL/303123848</t>
  </si>
  <si>
    <t>PHED.DF.556VA.30.68.134.LH.512</t>
  </si>
  <si>
    <t>https://www.homedepot.com/p/Krosswood-Doors-36-in-x-80-in-Craftsman-6-Lite-V-Groove-Arch-Top-Unfinished-Stain-Left-Hand-Inswing-Douglas-Fir-Prehung-Front-Door-PHED-DF-556VA-30-68-134-LH-512/312654008</t>
  </si>
  <si>
    <t>PHED.DF.553V.30.68.134.LH.512</t>
  </si>
  <si>
    <t>https://www.homedepot.com/p/Krosswood-Doors-36-in-x-80-in-Craftsman-3-Lite-V-Groove-Unfinished-Stain-Left-Hand-Inswing-Douglas-Fir-Prehung-Front-Door-PHED-DF-553V-30-68-134-LH-512/312653986</t>
  </si>
  <si>
    <t>PHED.KA.550DS.30.68.134.LH</t>
  </si>
  <si>
    <t>https://www.homedepot.com/p/Krosswood-Doors-36-in-x-80-in-Craftsman-2-Panel-6-Lite-w-Dentil-Shelf-Clear-Low-E-Left-Hand-Unfinished-Wood-Alder-Prehung-Front-Door-PHED-KA-550DS-30-68-134-LH/301794771</t>
  </si>
  <si>
    <t>PHED.KA.554.30.68.134.LH.DUT</t>
  </si>
  <si>
    <t>https://www.homedepot.com/p/Krosswood-Doors-36-in-x-80-in-Farmhouse-Knotty-Alder-Left-Hand-Inswing-4-Lite-Clear-Glass-Unfinished-Dutch-Wood-Prehung-Front-Door-PHED-KA-554-30-68-134-LH-DUT/322770119</t>
  </si>
  <si>
    <t>PHED.KA.557.30.68.134.RH</t>
  </si>
  <si>
    <t>https://www.homedepot.com/p/Krosswood-Doors-36-in-x-80-in-Craftsman-9-Lite-Clear-Beveled-Glass-Right-Hand-Inswing-Unfinished-Knotty-Alder-Prehung-Front-Door-PHED-KA-557-30-68-134-RH/301794487</t>
  </si>
  <si>
    <t>PHED.KA.554.28.68.134.RH</t>
  </si>
  <si>
    <t>https://www.homedepot.com/p/Krosswood-Doors-32-in-x-80-in-Knotty-Alder-Right-Hand-Inswing-4-Lite-Clear-Glass-Unfinished-Wood-Prehung-Front-Door-PHED-KA-554-28-68-134-RH/317639833</t>
  </si>
  <si>
    <t>PHED.KA.559X.30.68.134.RH.512</t>
  </si>
  <si>
    <t>https://www.homedepot.com/p/Krosswood-Doors-36-in-x-80-in-Knotty-Alder-Right-Hand-Inswing-X-Panel-1-2-Lite-Clear-Glass-Unfinished-Wood-Prehung-Front-Door-PHED-KA-559X-30-68-134-RH-512/318495375</t>
  </si>
  <si>
    <t>PHED.KA.554.30.68.134.RH</t>
  </si>
  <si>
    <t>https://www.homedepot.com/p/Krosswood-Doors-36-in-x-80-in-Knotty-Alder-Right-Hand-4-Lite-Clear-Glass-Unfinished-Wood-Prehung-Front-Door-PHED-KA-554-30-68-134-RH/317645072</t>
  </si>
  <si>
    <t>PHED.KA.559V.30.68.134.LH</t>
  </si>
  <si>
    <t>https://www.homedepot.com/p/Krosswood-Doors-36-in-x-80-in-Knotty-Alder-Left-Hand-Inswing-9-Lite-Arch-Top-V-Panel-Clear-Glass-Unfinished-Wood-Prehung-Front-Door-PHED-KA-559V-30-68-134-LH/317953468</t>
  </si>
  <si>
    <t>PHED.KA.554.30.68.134.LH.DSL.PR</t>
  </si>
  <si>
    <t>https://www.homedepot.com/p/Krosswood-Doors-64-in-x-80-in-Alder-Left-Hand-Inswing-4-Lite-Clear-Glass-Provincial-Stain-Wood-Prehung-Front-Door-Double-Sidelite-PHED-KA-554-30-68-134-LH-DSL-PR/317875483</t>
  </si>
  <si>
    <t>PHED.KA.559V.28.68.134.RH.DSL</t>
  </si>
  <si>
    <t>https://www.homedepot.com/p/Krosswood-Doors-60-in-x-80-in-Knotty-Alder-Right-Hand-Inswing-1-2-Lite-Clear-Glass-Unfinished-Wood-Prehung-Front-Door-with-Sidelites-PHED-KA-559V-28-68-134-RH-DSL/318088867</t>
  </si>
  <si>
    <t>PHED.KA.405V.30.68.134.LH</t>
  </si>
  <si>
    <t>https://www.homedepot.com/p/Krosswood-Doors-36-in-x-80-in-Rustic-Half-Lite-Clear-Low-E-IG-Unfinished-Wood-Alder-V-Grooved-Left-Hand-Inswing-Prehung-Front-Door-PHED-KA-405V-30-68-134-LH/301799910</t>
  </si>
  <si>
    <t>PHED.KA.405.30.68.134.RH</t>
  </si>
  <si>
    <t>https://www.homedepot.com/p/Krosswood-Doors-36-in-x-80-in-Rustic-Half-Lite-Clear-Low-E-IG-Unfinished-Wood-Alder-Right-Hand-Inswing-Exterior-Prehung-Front-Door-PHED-KA-405-30-68-134-RH/301799640</t>
  </si>
  <si>
    <t>PHED.KA.557.30.68.134.RH.LSL</t>
  </si>
  <si>
    <t>https://www.homedepot.com/p/Krosswood-Doors-50-in-x-80-in-Craftsman-Knotty-Alder-9-Lite-Unfinished-Right-Hand-Inswing-Prehung-Front-Door-with-Left-Hand-Sidelite-PHED-KA-557-30-68-134-RH-LSL/303123761</t>
  </si>
  <si>
    <t>PHED.KA.557.30.68.134.LH.DSL</t>
  </si>
  <si>
    <t>https://www.homedepot.com/p/Krosswood-Doors-64-in-x-80-in-Craftsman-Alder-9-Lite-Clear-Low-E-Unfinished-Wood-Left-Hand-Inswing-Prehung-Front-Door-Sidelites-PHED-KA-557-30-68-134-LH-DSL/303123735</t>
  </si>
  <si>
    <t>PHED.KA.557.60.68.134.RA</t>
  </si>
  <si>
    <t>https://www.homedepot.com/p/Krosswood-Doors-72-in-x-80-in-Craftsman-Knotty-Alder-9-Lite-Clear-Glass-Unfinished-Wood-Right-Active-Inswing-Double-Prehung-Front-Door-PHED-KA-557-60-68-134-RA/309329981</t>
  </si>
  <si>
    <t>PHED.KA.405.60.68.134.RA</t>
  </si>
  <si>
    <t>https://www.homedepot.com/p/Krosswood-Doors-72-in-x-80-in-Rustic-Knotty-Alder-Half-Lite-Clear-Glass-Unfinished-Wood-Right-Active-Inswing-Double-Prehung-Front-Door-PHED-KA-405-60-68-134-RA/309331635</t>
  </si>
  <si>
    <t>PHED.KA.405V.60.68.134.RA</t>
  </si>
  <si>
    <t>https://www.homedepot.com/p/Krosswood-Doors-72-in-x-80-in-Rustic-Knotty-Alder-Clear-Half-Lite-Unfinished-Wood-with-V-Groove-Right-Active-Double-Prehung-Front-Door-PHED-KA-405V-60-68-134-RA/309331683</t>
  </si>
  <si>
    <t>PHED.DF.439.30.68.134.RH.512</t>
  </si>
  <si>
    <t>https://www.homedepot.com/p/Krosswood-Doors-36-in-x-80-in-Contemporary-RH-3-4-Lite-Clear-Glass-Unfinished-Douglas-Fir-Prehung-Front-Door-PHED-DF-439-30-68-134-RH-512/312653937</t>
  </si>
  <si>
    <t>M6410-103010-CT-4ILH</t>
  </si>
  <si>
    <t>https://www.homedepot.com/p/Steves-Sons-60-in-x-80-in-Savannah-Clear-6-Lite-LHIS-Mahogany-Stained-Wood-Prehung-Front-Door-with-Double-10-in-Sidelites-M6410-103010-CT-4ILH/206188774</t>
  </si>
  <si>
    <t>M6410-1030-AW-4ILH</t>
  </si>
  <si>
    <t>https://www.homedepot.com/p/Steves-Sons-50-in-x-80-in-Craftsman-Savannah-6-Lite-LHIS-Autumn-Wheat-Mahogany-Wood-Prehung-Front-Door-with-Single-10-in-Sidelite-M6410-1030-AW-4ILH/304245549</t>
  </si>
  <si>
    <t>M6410-06-CT-4IRH</t>
  </si>
  <si>
    <t>https://www.homedepot.com/p/Steves-Sons-36-in-x-80-in-Craftsman-Savannah-6-Lite-Right-Hand-Inswing-Autumn-Wheat-Mahogany-Wood-Prehung-Front-Door-M6410-06-CT-4IRH/304245492</t>
  </si>
  <si>
    <t>M3109-6-CT-MJ-6LH</t>
  </si>
  <si>
    <t>https://www.homedepot.com/p/Steves-Sons-36-in-x-80-in-Craftsman-9-Lite-Stained-Mahogany-Wood-Prehung-Front-Door-M3109-6-CT-MJ-6LH/204747371</t>
  </si>
  <si>
    <t>Builders Choice</t>
  </si>
  <si>
    <t>HDXD208557</t>
  </si>
  <si>
    <t>https://www.homedepot.com/p/Builders-Choice-36-in-x-80-in-Right-Hand-Inswing-Full-Lite-Low-E-Clear-Glass-Unfinished-Fir-Wood-Prehung-Front-Door-HDXD208557/314826876</t>
  </si>
  <si>
    <t>HDXD208564</t>
  </si>
  <si>
    <t>https://www.homedepot.com/p/Builders-Choice-36-in-x-80-in-Left-Hand-Inswing-Full-Lite-Low-E-Clear-Glass-Unfinished-Fir-Wood-Prehung-Front-Door-HDXD208564/314826877</t>
  </si>
  <si>
    <t>M8410-64-CT-4ILH</t>
  </si>
  <si>
    <t>https://www.homedepot.com/p/Steves-Sons-64-in-x-80-in-Craftsman-Richmond-8-Lite-Left-Hand-Inswing-Chestnut-Mahogany-Wood-Prehung-Front-Door-M8410-64-CT-4ILH/305623444</t>
  </si>
  <si>
    <t>EM30CR</t>
  </si>
  <si>
    <t>https://www.homedepot.com/p/Pacific-Entries-36-in-x-80-in-Espresso-Mahogany-Right-Hand-Inswing-3-Lite-with-Reed-Glass-Prehung-Front-Door-EM30CR/311311708</t>
  </si>
  <si>
    <t>AM55MSML</t>
  </si>
  <si>
    <t>https://www.homedepot.com/p/Pacific-Entries-36-in-x-80-in-Ash-Left-Hand-Inswing-5-Lite-Mistlite-Decorative-Glass-Stained-Mahogany-Wood-Prehung-Front-Door-AM55MSML/312229092</t>
  </si>
  <si>
    <t>PHED.KA.400.60.80.134.RA</t>
  </si>
  <si>
    <t>https://www.homedepot.com/p/Krosswood-Doors-72-in-x-96-in-Rustic-Knotty-Alder-Full-Lite-Clear-Glass-Unfinished-Wood-Right-Active-Inswing-Double-Prehung-Front-Door-PHED-KA-400-60-80-134-RA/309329785</t>
  </si>
  <si>
    <t>PHED.KA.412.60.80.134.LA</t>
  </si>
  <si>
    <t>https://www.homedepot.com/p/Krosswood-Doors-72-in-x-96-in-French-Knotty-Alder-12-Lite-Clear-Glass-Unfinished-Wood-Left-Active-Inswing-Double-Prehung-Front-Door-PHED-KA-412-60-80-134-LA/309331706</t>
  </si>
  <si>
    <t>PHED.KA.410.60.68.134.RA</t>
  </si>
  <si>
    <t>https://www.homedepot.com/p/Krosswood-Doors-72-in-x-80-in-French-Knotty-Alder-10-Lite-Clear-Glass-Unfinished-Wood-Right-Active-Inswing-Double-Prehung-Front-Door-PHED-KA-410-60-68-134-RA/309331707</t>
  </si>
  <si>
    <t>PHED.KA.002V.30.68.134.LH-M1-1.LSL.RC</t>
  </si>
  <si>
    <t>https://www.homedepot.com/p/Krosswood-Doors-50-in-x-80-in-Mediterranean-Knotty-Alder-Left-Hand-Inswing-Clear-Glass-Red-Chestnut-Stain-Wood-Prehung-Front-Door-PHED-KA-002V-30-68-134-LH-M1-1-LSL-RC/324387545</t>
  </si>
  <si>
    <t>PHED.KA.412.30.80.134.LH</t>
  </si>
  <si>
    <t>https://www.homedepot.com/p/Krosswood-Doors-36-in-x-96-in-Classic-French-Alder-12-Lite-Clear-Low-E-Left-Hand-Inswing-Unfinished-Wood-Exterior-Prehung-Front-Door-PHED-KA-412-30-80-134-LH/301794553</t>
  </si>
  <si>
    <t>PHED.KA.400.30.68.134.RH</t>
  </si>
  <si>
    <t>https://www.homedepot.com/p/Krosswood-Doors-36-in-x-80-in-Rustic-Knotty-Alder-Full-Lite-Clear-Low-E-Unfinished-Wood-Right-Hand-Inswing-Exterior-Prehung-Front-Door-PHED-KA-400-30-68-134-RH/301798299</t>
  </si>
  <si>
    <t>PHED.KA.557.30.68.134.LH.DUT</t>
  </si>
  <si>
    <t>https://www.homedepot.com/p/Krosswood-Doors-36-in-x-80-in-Farmhouse-Knotty-Alder-Left-Hand-Inswing-9-Lite-Clear-Glass-Unfinished-Dutch-Wood-Prehung-Front-Door-PHED-KA-557-30-68-134-LH-DUT/322771934</t>
  </si>
  <si>
    <t>PHED.KA.300V.30.68.134.RH-M1-0</t>
  </si>
  <si>
    <t>https://www.homedepot.com/p/Krosswood-Doors-36-in-x-80-in-Mediterranean-Knotty-Alder-Square-Top-Unfinished-Single-Right-Hand-Inswing-Prehung-Front-Door-PHED-KA-300V-30-68-134-RH-M1-0/303123955</t>
  </si>
  <si>
    <t>HDXD209509</t>
  </si>
  <si>
    <t>https://www.homedepot.com/p/Builders-Choice-32-in-x-80-in-1-Panel-Shaker-Left-Hand-Inswing-Unfinished-Fir-Wood-Prehung-Front-Door-HDXD209509/314827226</t>
  </si>
  <si>
    <t>Main Door</t>
  </si>
  <si>
    <t>SH-904-LH-FSC</t>
  </si>
  <si>
    <t>https://www.homedepot.com/p/Main-Door-Rustic-Mahogany-Type-36-in-x-80-in-2-Panel-Left-Hand-Inswing-Antique-Distressed-Wood-Prehung-Front-Door-SH-904-LH-FSC/321741524</t>
  </si>
  <si>
    <t>WA51RC</t>
  </si>
  <si>
    <t>https://www.homedepot.com/p/Pacific-Entries-36-in-x-80-in-Walnut-Right-Hand-Inswing-Arched-2-Panel-V-Groove-Speak-Easy-Stained-Alder-Prehung-Front-Door-WA51RC/311457371</t>
  </si>
  <si>
    <t>WA51RC6</t>
  </si>
  <si>
    <t>https://www.homedepot.com/p/Pacific-Entries-36-in-x-80-in-Walnut-Right-Hand-Inswing-Arched-2-Panel-Speakeasy-Stained-Alder-Prehung-Front-Door-with-6-9-16-in-Jamb-WA51RC6/311457372</t>
  </si>
  <si>
    <t>PHED.KA.002V.60.80.134.RA-M2-0.Clear</t>
  </si>
  <si>
    <t>https://www.homedepot.com/p/Krosswood-Doors-72-in-x-96-in-Mediterranean-Knotty-Alder-Arch-Top-Clear-Right-Hand-Inswing-Wood-Double-Prehung-Front-Door-PHED-KA-002V-60-80-134-RA-M2-0-Clear/309234589</t>
  </si>
  <si>
    <t>PHED.KA.002V.36.68.134.RH</t>
  </si>
  <si>
    <t>https://www.homedepot.com/p/Krosswood-Doors-42-in-x-80-in-Rustic-Knotty-Alder-Top-Arch-V-Grooved-Right-Hand-Inswing-Unfinished-Exterior-Wood-Prehung-Front-Door-PHED-KA-002V-36-68-134-RH/307429833</t>
  </si>
  <si>
    <t>PHED.KA.320.30.68.134.LH</t>
  </si>
  <si>
    <t>https://www.homedepot.com/p/Krosswood-Doors-36-in-x-80-in-Rustic-Knotty-Alder-3-Panel-Left-Hand-Unfinished-Wood-Prehung-Front-Door-PHED-KA-320-30-68-134-LH/317889653</t>
  </si>
  <si>
    <t>AE-0023680RH</t>
  </si>
  <si>
    <t>https://www.homedepot.com/p/Krosswood-Doors-36-in-x-80-in-Rustic-Knotty-Alder-2-Panel-Top-Rail-Arch-Solid-Wood-Core-Stainable-Right-Hand-Prehung-Exterior-Door-AE-0023680RH/203008873</t>
  </si>
  <si>
    <t>Wood (90%)</t>
  </si>
  <si>
    <t>PHED.HM.431.30.68.134.RH.512</t>
  </si>
  <si>
    <t>https://www.homedepot.com/p/Krosswood-Doors-36-in-x-80-in-Modern-Hemlock-Right-Hand-Inswing-3-Lite-Clear-Glass-Unfinished-Wood-Prehung-Front-Door-PHED-HM-431-30-68-134-RH-512/321778779</t>
  </si>
  <si>
    <t>PHED.HM.431.30.68.134.LH.DSL.512</t>
  </si>
  <si>
    <t>https://www.homedepot.com/p/Krosswood-Doors-64-in-x-80-in-Modern-Hemlock-Left-Hand-Inswing-3-Lite-Clear-Glass-Unfinished-Wood-Prehung-Front-Door-with-Sidelites-PHED-HM-431-30-68-134-LH-DSL-512/321851897</t>
  </si>
  <si>
    <t>PHED.HM.451.30.68.134.RH.DSL.512</t>
  </si>
  <si>
    <t>5 Lite</t>
  </si>
  <si>
    <t>https://www.homedepot.com/p/Krosswood-Doors-64-in-x-80-in-Modern-Hemlock-Right-Hand-Inswing-5-Lite-Clear-Glass-Unfinished-Wood-Prehung-Front-Door-with-Sidelites-PHED-HM-451-30-68-134-RH-DSL-512/321924750</t>
  </si>
  <si>
    <t>PHED.HM.451.30.68.134.LH.512</t>
  </si>
  <si>
    <t>https://www.homedepot.com/p/Krosswood-Doors-36-in-x-80-in-Modern-Hemlock-Left-Hand-Inswing-5-Lite-Clear-Glass-Unfinished-Wood-Prehung-Front-Door-PHED-HM-451-30-68-134-LH-512/321780013</t>
  </si>
  <si>
    <t>PHED.DF.451SE.30.68.134.RH.512</t>
  </si>
  <si>
    <t>https://www.homedepot.com/p/Krosswood-Doors-36-in-x-80-in-Modern-Douglas-Fir-5-Lite-Right-Hand-Inswing-Frosted-Glass-Unfinished-Wood-Prehung-Front-Door-PHED-DF-451SE-30-68-134-RH-512/312654108</t>
  </si>
  <si>
    <t>PHED.DF.436.30.68.134.LH.512</t>
  </si>
  <si>
    <t>6 Lite</t>
  </si>
  <si>
    <t>https://www.homedepot.com/p/Krosswood-Doors-36-in-x-80-in-Farmhouse-LH-3-4-Lite-Clear-Glass-Unfinished-Douglas-Fir-Prehung-Front-Door-PHED-DF-436-30-68-134-LH-512/312654163</t>
  </si>
  <si>
    <t>PHED.DF.436.30.68.134.LH.DSL.512</t>
  </si>
  <si>
    <t>https://www.homedepot.com/p/Krosswood-Doors-64-in-x-80-in-Farmhouse-LH-3-4-Lite-Clear-Glass-Unfinished-Douglas-Fir-Prehung-Front-Door-with-DSL-PHED-DF-436-30-68-134-LH-DSL-512/312654145</t>
  </si>
  <si>
    <t>High, NY - 10162</t>
  </si>
  <si>
    <t>Low, NY - 10162</t>
  </si>
  <si>
    <t>High, NY - 13045</t>
  </si>
  <si>
    <t>Low, NY - 13045</t>
  </si>
  <si>
    <t>High, IL - 60654</t>
  </si>
  <si>
    <t>Low, IL - 60654</t>
  </si>
  <si>
    <t>High, IL - 62824</t>
  </si>
  <si>
    <t>Low, IL - 62824</t>
  </si>
  <si>
    <t>High, TX - 77081</t>
  </si>
  <si>
    <t>Low, TX - 77081</t>
  </si>
  <si>
    <t>High, TX - 75803</t>
  </si>
  <si>
    <t>Low, TX - 75803</t>
  </si>
  <si>
    <t>High, GA - 30332</t>
  </si>
  <si>
    <t>Low, GA - 30332</t>
  </si>
  <si>
    <t>High, GA - 31021</t>
  </si>
  <si>
    <t>Low, GA - 31021</t>
  </si>
  <si>
    <t>High, CA - 90057</t>
  </si>
  <si>
    <t>Low, CA - 90057</t>
  </si>
  <si>
    <t>High, CA - 95482</t>
  </si>
  <si>
    <t>Low, CA - 95482</t>
  </si>
  <si>
    <t>10th Percentile</t>
  </si>
  <si>
    <t>50th Percentile</t>
  </si>
  <si>
    <t>90th Percentile</t>
  </si>
  <si>
    <t>All</t>
  </si>
  <si>
    <t>Performance Metric 1</t>
  </si>
  <si>
    <t>R-Value</t>
  </si>
  <si>
    <t>Specs</t>
  </si>
  <si>
    <t>Total Cost</t>
  </si>
  <si>
    <t>$ / square ft</t>
  </si>
  <si>
    <t>Quantity</t>
  </si>
  <si>
    <t>Crew</t>
  </si>
  <si>
    <t>Daily Output</t>
  </si>
  <si>
    <t>Labor Hours</t>
  </si>
  <si>
    <t>Labor</t>
  </si>
  <si>
    <t>Equipment</t>
  </si>
  <si>
    <t>Total</t>
  </si>
  <si>
    <t>Labor O&amp;P</t>
  </si>
  <si>
    <t>ACME Panel</t>
  </si>
  <si>
    <t>4' x 8'</t>
  </si>
  <si>
    <t>https://acmepanel.com/products-pricing/structural-panels-pricing/</t>
  </si>
  <si>
    <t xml:space="preserve"> </t>
  </si>
  <si>
    <t/>
  </si>
  <si>
    <t>S.F.</t>
  </si>
  <si>
    <t>4' x 10'</t>
  </si>
  <si>
    <t>4' x 12'</t>
  </si>
  <si>
    <t>4' x 14'</t>
  </si>
  <si>
    <t>4' x 16'</t>
  </si>
  <si>
    <t>4' x 20'</t>
  </si>
  <si>
    <t>4' x 24'</t>
  </si>
  <si>
    <t>8' x 24'</t>
  </si>
  <si>
    <t>612,64</t>
  </si>
  <si>
    <t>Note 1</t>
  </si>
  <si>
    <t>Note 2</t>
  </si>
  <si>
    <t>Note 3</t>
  </si>
  <si>
    <t>Note 4</t>
  </si>
  <si>
    <t>Note 5</t>
  </si>
  <si>
    <t>Equipment/Material Cost ($)</t>
  </si>
  <si>
    <t>Install Labor ($)</t>
  </si>
  <si>
    <t>Installed Cost (O&amp;P)</t>
  </si>
  <si>
    <t>Conclusions</t>
  </si>
  <si>
    <t>Structural Insulated Panel Association</t>
  </si>
  <si>
    <t>Structural insulated panels (SIPs) are a high-performance building system for residential and light commercial construction. The panels consist of an insulating foam core sandwiched between two structural facings, typically oriented strand board (OSB).  SIPs are manufactured under factory controlled conditions and can be fabricated to fit nearly any building design. The result is a building system that is extremely strong, energy-efficient and cost-effective</t>
  </si>
  <si>
    <t xml:space="preserve">SIPs are ideal for walls and floors s they offer excellent insulation </t>
  </si>
  <si>
    <t>Lawnstarter.com</t>
  </si>
  <si>
    <r>
      <t xml:space="preserve">The </t>
    </r>
    <r>
      <rPr>
        <b/>
        <sz val="9"/>
        <rFont val="Calibri"/>
        <family val="2"/>
        <scheme val="minor"/>
      </rPr>
      <t>national average installation cost of SIP panels is around $7 to $12 per square foot</t>
    </r>
    <r>
      <rPr>
        <sz val="9"/>
        <rFont val="Calibri"/>
        <family val="2"/>
        <scheme val="minor"/>
      </rPr>
      <t>, only for the panels</t>
    </r>
  </si>
  <si>
    <t>Attainable Home</t>
  </si>
  <si>
    <r>
      <rPr>
        <b/>
        <sz val="9"/>
        <rFont val="Calibri"/>
        <family val="2"/>
        <scheme val="minor"/>
      </rPr>
      <t>A SIPs panel costs around $17-$30 per square foot</t>
    </r>
    <r>
      <rPr>
        <sz val="9"/>
        <rFont val="Calibri"/>
        <family val="2"/>
        <scheme val="minor"/>
      </rPr>
      <t xml:space="preserve"> ($183-$323 per square meter). If bought as a kit – with the truss and timber frame – it costs around $35,000-$41,000. Without the truss, a panel costs around $17,000-$20,000.</t>
    </r>
  </si>
  <si>
    <t>The thickness of the SIPs ranges from 4.63-12.25 inches (11.76 to 31.16 centimeters). Thicker ones are better at insulating your home</t>
  </si>
  <si>
    <r>
      <rPr>
        <b/>
        <sz val="9"/>
        <rFont val="Calibri"/>
        <family val="2"/>
        <scheme val="minor"/>
      </rPr>
      <t>(1).</t>
    </r>
    <r>
      <rPr>
        <sz val="9"/>
        <rFont val="Calibri"/>
        <family val="2"/>
        <scheme val="minor"/>
      </rPr>
      <t xml:space="preserve"> For a 4 x 8-foot (1.2 x 2.4-meter) panel, the average price ranges from $307-$386, </t>
    </r>
    <r>
      <rPr>
        <b/>
        <sz val="9"/>
        <rFont val="Calibri"/>
        <family val="2"/>
        <scheme val="minor"/>
      </rPr>
      <t>(2).</t>
    </r>
    <r>
      <rPr>
        <sz val="9"/>
        <rFont val="Calibri"/>
        <family val="2"/>
        <scheme val="minor"/>
      </rPr>
      <t xml:space="preserve"> For a 4 x 16-foot (1.2 x 4.9-meter) panel, the average price ranges from $615-$772 , </t>
    </r>
    <r>
      <rPr>
        <b/>
        <sz val="9"/>
        <rFont val="Calibri"/>
        <family val="2"/>
        <scheme val="minor"/>
      </rPr>
      <t>(3).</t>
    </r>
    <r>
      <rPr>
        <sz val="9"/>
        <rFont val="Calibri"/>
        <family val="2"/>
        <scheme val="minor"/>
      </rPr>
      <t xml:space="preserve"> For a 4 x 24-foot (1.2 x 7.3-meter) panel, the average price ranges from $923-$1,847, </t>
    </r>
    <r>
      <rPr>
        <b/>
        <sz val="9"/>
        <rFont val="Calibri"/>
        <family val="2"/>
        <scheme val="minor"/>
      </rPr>
      <t>(4).</t>
    </r>
    <r>
      <rPr>
        <sz val="9"/>
        <rFont val="Calibri"/>
        <family val="2"/>
        <scheme val="minor"/>
      </rPr>
      <t xml:space="preserve"> For an 8 x 24-foot (2.4 x 7.3-meter) panel, the average price ranges from $1,847-$2,317</t>
    </r>
  </si>
  <si>
    <t>SIP Pros: maintaining indoor temps, minimizing HVAC energy consumptions, flexibility/customizability, less build time required, long-term financial savings</t>
  </si>
  <si>
    <t>SIP Cons: prone to moisture damage, don't allow alteration, lack of builder expereince w/ SIPs, requrie additional ventilation system</t>
  </si>
  <si>
    <t>Premier Building Systems</t>
  </si>
  <si>
    <r>
      <t>On average, SIP panels can range from </t>
    </r>
    <r>
      <rPr>
        <b/>
        <sz val="9"/>
        <rFont val="Calibri"/>
        <family val="2"/>
        <scheme val="minor"/>
      </rPr>
      <t xml:space="preserve">$10 to $18 per square foot </t>
    </r>
    <r>
      <rPr>
        <sz val="9"/>
        <rFont val="Calibri"/>
        <family val="2"/>
        <scheme val="minor"/>
      </rPr>
      <t>for materials. However, it's important to note this is a rough estimate</t>
    </r>
  </si>
  <si>
    <t>Renevations</t>
  </si>
  <si>
    <r>
      <t xml:space="preserve">The installation cost may vary greatly depending on the size and complexity of your project, but as a common rule of thumb, you can expect to pay around </t>
    </r>
    <r>
      <rPr>
        <b/>
        <sz val="9"/>
        <rFont val="Calibri"/>
        <family val="2"/>
        <scheme val="minor"/>
      </rPr>
      <t>$2 per square foot for labor alone</t>
    </r>
  </si>
  <si>
    <r>
      <t>While many factors determine the overall cost of SIPs panels. You can expect to pay between</t>
    </r>
    <r>
      <rPr>
        <b/>
        <sz val="9"/>
        <rFont val="Calibri"/>
        <family val="2"/>
        <scheme val="minor"/>
      </rPr>
      <t xml:space="preserve"> $6 and $10 per sq/ft.</t>
    </r>
  </si>
  <si>
    <t>However, suppose you’re installing SIP panels as part of a larger renovation project like a residential build or an addition to your existing home. In that case, you’ll find that prices will start at around $3/sq/ft for an energy-efficient R-value rating of 10 or higher</t>
  </si>
  <si>
    <t>Another factor to consider is assembly labor costs. Many people choose to install their panels. But, if you need professional installation because of safety concerns or the project complexity. Be prepared for added labor costs at around $2-$4/sq/ft.</t>
  </si>
  <si>
    <t>Structural Insulated Panels</t>
  </si>
  <si>
    <t>Bounds Metric 1 (R-Value):</t>
  </si>
  <si>
    <t>Raw Data - Insulated Concrete Panels (ICFs)</t>
  </si>
  <si>
    <t>Material Details</t>
  </si>
  <si>
    <t>More Details</t>
  </si>
  <si>
    <t>$/sqft</t>
  </si>
  <si>
    <t>ICF Supply Co.</t>
  </si>
  <si>
    <t>R-17 - R-26</t>
  </si>
  <si>
    <t>ICF 6 Inch Straight Form (16"x 48")</t>
  </si>
  <si>
    <t>Bundle of 12</t>
  </si>
  <si>
    <t>https://icfsupplyco.com/</t>
  </si>
  <si>
    <t>2 Carp</t>
  </si>
  <si>
    <t>Ea.</t>
  </si>
  <si>
    <t>ICF 6 Inch Corner Form (16"x 54")</t>
  </si>
  <si>
    <t>L.F.</t>
  </si>
  <si>
    <t>ICF 8 Inch Straight Form (16"x 48")</t>
  </si>
  <si>
    <t>ICF 8 Inch Corner Form (16"x 58")</t>
  </si>
  <si>
    <t>ICF insulating forms left in place, 45 degree corner blocks or panels, molded, walls up to 4' high, 8" core wall, includes layout, exludes rebar, embedments, bucks for openings, scaffolding, wall bracing, concrete, and concrete placing</t>
  </si>
  <si>
    <t>4 Carp</t>
  </si>
  <si>
    <t xml:space="preserve">Cables Ties and More </t>
  </si>
  <si>
    <t>R-23</t>
  </si>
  <si>
    <t>Foxblocks® ICF - Insulated Concrete Forming Blocks</t>
  </si>
  <si>
    <r>
      <t xml:space="preserve">Straight Block, </t>
    </r>
    <r>
      <rPr>
        <b/>
        <sz val="8"/>
        <color theme="1"/>
        <rFont val="Arial"/>
        <family val="2"/>
      </rPr>
      <t>4" Core Width</t>
    </r>
    <r>
      <rPr>
        <sz val="8"/>
        <color theme="1"/>
        <rFont val="Arial"/>
        <family val="2"/>
      </rPr>
      <t>, 16" x 48", Foam is 2-5/8" thick. Bundle of 12</t>
    </r>
  </si>
  <si>
    <t>https://www.cabletiesandmore.com/foxblocks-icf-blocks-concrete-forms?pid=21475</t>
  </si>
  <si>
    <t>ICF insulating forms left in place, taper block or panels, molded, single course, 6" core wall, includes layout, exludes rebar, embedments, bucks for openings, scaffolding, wall bracing, concrete, and concrete placing</t>
  </si>
  <si>
    <r>
      <t xml:space="preserve">Straight Block, </t>
    </r>
    <r>
      <rPr>
        <b/>
        <sz val="8"/>
        <color theme="1"/>
        <rFont val="Arial"/>
        <family val="2"/>
      </rPr>
      <t>6" Core Width</t>
    </r>
    <r>
      <rPr>
        <sz val="8"/>
        <color theme="1"/>
        <rFont val="Arial"/>
        <family val="2"/>
      </rPr>
      <t>, 16" x 48", Foam is 2-5/8" thick. Bundle of 12</t>
    </r>
  </si>
  <si>
    <r>
      <t xml:space="preserve">Straight Block, </t>
    </r>
    <r>
      <rPr>
        <b/>
        <sz val="8"/>
        <color theme="1"/>
        <rFont val="Arial"/>
        <family val="2"/>
      </rPr>
      <t>8" Core Width</t>
    </r>
    <r>
      <rPr>
        <sz val="8"/>
        <color theme="1"/>
        <rFont val="Arial"/>
        <family val="2"/>
      </rPr>
      <t>, 16" x 48", Foam is 2-5/8" thick. Bundle of 12</t>
    </r>
  </si>
  <si>
    <t>ICF insulating forms left in place, additional insulation inserted into forms between ties, 2 layers, 4" thick, includes layout, exludes rebar, embedments, bucks for openings, scaffolding, wall bracing, concrete, and concrete placing</t>
  </si>
  <si>
    <r>
      <t xml:space="preserve">Straight Block, </t>
    </r>
    <r>
      <rPr>
        <b/>
        <sz val="8"/>
        <color theme="1"/>
        <rFont val="Arial"/>
        <family val="2"/>
      </rPr>
      <t>10" Core Width</t>
    </r>
    <r>
      <rPr>
        <sz val="8"/>
        <color theme="1"/>
        <rFont val="Arial"/>
        <family val="2"/>
      </rPr>
      <t>, 16" x 48", Foam is 2-5/8" thick. Bundle of 12</t>
    </r>
  </si>
  <si>
    <r>
      <t xml:space="preserve">Straight Block, </t>
    </r>
    <r>
      <rPr>
        <b/>
        <sz val="8"/>
        <color theme="1"/>
        <rFont val="Arial"/>
        <family val="2"/>
      </rPr>
      <t>12" Core Width</t>
    </r>
    <r>
      <rPr>
        <sz val="8"/>
        <color theme="1"/>
        <rFont val="Arial"/>
        <family val="2"/>
      </rPr>
      <t>, 16" x 48", Foam is 2-5/8" thick. Bundle of 12</t>
    </r>
  </si>
  <si>
    <t>Menards</t>
  </si>
  <si>
    <t>LiteForm® 8" Straight Block Insulated Concrete Form</t>
  </si>
  <si>
    <t>Model Number: LF08. 16" high x 48" long. Foam is 2.5" thick </t>
  </si>
  <si>
    <t>https://www.menards.com/main/building-materials/concrete-cement-masonry/concrete-forms/liteform-reg-8-straight-block-insulated-concrete-form/lf08/p-7919224473478597-c-5653.htm</t>
  </si>
  <si>
    <t>Lowe's</t>
  </si>
  <si>
    <t>Unknown</t>
  </si>
  <si>
    <t>BuildBlock Concrete Form</t>
  </si>
  <si>
    <t>16" H x 48" L</t>
  </si>
  <si>
    <t>https://www.lowes.com/pd/BuildBlock-8-Insulating-Concrete-Form-Straight/3228030</t>
  </si>
  <si>
    <t>ICF insulating forms left in place, brick ledge (corbel) block or panels, molded, single course, 8" core wall, includes layout, exludes rebar, embedments, bucks for openings, scaffolding, wall bracing, concrete, and concrete placing</t>
  </si>
  <si>
    <t xml:space="preserve">6 in. ICF End Pieces 6 lbs. 14.5 in. W x 2.25 ft. L Insulated Concrete Form for ICFs </t>
  </si>
  <si>
    <t>(Box of 30)</t>
  </si>
  <si>
    <t>https://www.homedepot.com/p/SmartBlock-6-in-ICF-End-Pieces-6-lbs-14-5-in-W-x-2-25-ft-L-Insulated-Concrete-Form-for-ICFs-Box-of-30-12VWFE6/203012859</t>
  </si>
  <si>
    <t>ICF insulating forms left in place, half height block/panels, single course, 10" core wall, made by field sawing full block/panels, includes layout, exludes rebar, embedments, bucks for openings, scaffolding, wall bracing, concrete, and concrete placing</t>
  </si>
  <si>
    <t>ICF insulating forms left in place, radius blocks or panels, molded, walls up to 4' high, 6" core wall, 15.1' - 30' diam, requiring trimming/strapping, add</t>
  </si>
  <si>
    <t>US Dept of Housing and Urban Development: Costs and Benefits of Insulating Concrete Forms for Residential Construction</t>
  </si>
  <si>
    <r>
      <t xml:space="preserve">Through several studies of ICF construction costs, it has been determined that using ICF wall construction generally </t>
    </r>
    <r>
      <rPr>
        <b/>
        <sz val="9"/>
        <rFont val="Calibri"/>
        <family val="2"/>
        <scheme val="minor"/>
      </rPr>
      <t xml:space="preserve">adds about 3 to 5 percent </t>
    </r>
    <r>
      <rPr>
        <sz val="9"/>
        <rFont val="Calibri"/>
        <family val="2"/>
        <scheme val="minor"/>
      </rPr>
      <t>to the total purchase price of a typical woodframe home and land (about 5 to 10 percent of the house construction cost)</t>
    </r>
  </si>
  <si>
    <r>
      <t xml:space="preserve">In other words, the </t>
    </r>
    <r>
      <rPr>
        <b/>
        <sz val="9"/>
        <rFont val="Calibri"/>
        <family val="2"/>
        <scheme val="minor"/>
      </rPr>
      <t xml:space="preserve">added cost is about $2 to $4 per square foot of the floor area </t>
    </r>
    <r>
      <rPr>
        <sz val="9"/>
        <rFont val="Calibri"/>
        <family val="2"/>
        <scheme val="minor"/>
      </rPr>
      <t xml:space="preserve">of a typical home. For a typical 2,500 square-foot, two-story home and lot (sale price of $180,000), </t>
    </r>
    <r>
      <rPr>
        <b/>
        <sz val="9"/>
        <rFont val="Calibri"/>
        <family val="2"/>
        <scheme val="minor"/>
      </rPr>
      <t>the additional cost amounts to about $7,000</t>
    </r>
  </si>
  <si>
    <t>To achieve a similar level of energy performance, a typical wood-frame home would require an “energy upgrade” that adds about $2,640 to an average home cost of $200,000 (or about $1.32 per square foot of living area). This amount is equivalent to about one-third of the cost difference between ICF and typical woodframe house construction</t>
  </si>
  <si>
    <r>
      <t xml:space="preserve">(1). ICF construction costs about 3-5% more than typical new home and land in today's market (2). </t>
    </r>
    <r>
      <rPr>
        <b/>
        <sz val="8"/>
        <color theme="1"/>
        <rFont val="Arial"/>
        <family val="2"/>
      </rPr>
      <t>The added cost of ICF is about $2-$4 per square foot of the floor area of a typical home</t>
    </r>
    <r>
      <rPr>
        <sz val="8"/>
        <color theme="1"/>
        <rFont val="Arial"/>
        <family val="2"/>
      </rPr>
      <t xml:space="preserve">. For a typical 2,500 sqft, two-story home and lot (sale price of $180,000), </t>
    </r>
    <r>
      <rPr>
        <b/>
        <sz val="8"/>
        <color theme="1"/>
        <rFont val="Arial"/>
        <family val="2"/>
      </rPr>
      <t xml:space="preserve">the additional cost amounts to about $7,000 </t>
    </r>
    <r>
      <rPr>
        <sz val="8"/>
        <color theme="1"/>
        <rFont val="Arial"/>
        <family val="2"/>
      </rPr>
      <t>(3). To achieve a similar level of energy performance, a typical wood-frame home would require an “energy upgrade” that adds about $2,640 to an average home cost of $200,000 (or about $1.32 per square foot of living area). This amount is equivalent to about one-third of the cost difference between ICF and typical woodframe house construction</t>
    </r>
  </si>
  <si>
    <t>ICF insulating forms left in place, additional insulation inserted into forms between ties, 3 layers, 6" thick, includes layout, exludes rebar, embedments, bucks for openings, scaffolding, wall bracing, concrete, and concrete placing</t>
  </si>
  <si>
    <t>ICF insulating forms left in place, radius blocks or panels, molded, walls up to 4' high, 6" core wall, 60'-1' - 100' diam, requiring trimming/strapping, add</t>
  </si>
  <si>
    <t>ICF insulating forms left in place, T blocks or panels, molded, walls up to 4' high, 6" core wall, includes layout, exludes rebar, embedments, bucks for openings, scaffolding, wall bracing, concrete, and concrete placing</t>
  </si>
  <si>
    <t>ICF insulating forms left in place, additional insulation inserted into forms between ties, 1 layer, 2" thick, includes layout, exludes rebar, embedments, bucks for openings, scaffolding, wall bracing, concrete, and concrete placing</t>
  </si>
  <si>
    <t>https://www.costimates.com/costs/foundations/icf-foundation-cost/</t>
  </si>
  <si>
    <t>The cost range of an ICF foundation, or insulated concrete form foundation, is $20,700 to $36,000. These costs cover foundation sizes from 800 to 1,600 square feet with wall height starting at 8 feet. An ICF foundation price is $2.00 to $3.00 per square foot higher than the cost of a poured concrete foundation due to the cost of the expanded polystyrene, or EPS, forms</t>
  </si>
  <si>
    <t>The cost of an insulated concrete form foundation includes the ICF forms, which is around $5.00 per square foot of wall space, both inside and outside of the home, or a total of $10 total. That comes to around $11,000 for the insulated concrete forms for a 30’x40’8’ foundation</t>
  </si>
  <si>
    <t xml:space="preserve">Material Costs - ICF Forms Plus Delivery: $2.75 – $3.90 per Square Foot </t>
  </si>
  <si>
    <r>
      <t xml:space="preserve">HomeGuide states that labor costs are lower for an ICF foundation than for a standard poured foundation. This is because footings and walls are typically poured at the same time, and an experienced crew can put the forms together pretty quickly.
As a result, labor should account for about </t>
    </r>
    <r>
      <rPr>
        <b/>
        <sz val="9"/>
        <rFont val="Calibri"/>
        <family val="2"/>
        <scheme val="minor"/>
      </rPr>
      <t>35% to 40% of the total cost.</t>
    </r>
  </si>
  <si>
    <r>
      <t xml:space="preserve">An insulated concrete foundation has an </t>
    </r>
    <r>
      <rPr>
        <b/>
        <sz val="8"/>
        <color theme="1"/>
        <rFont val="Arial"/>
        <family val="2"/>
      </rPr>
      <t>R-value of around 26</t>
    </r>
  </si>
  <si>
    <t xml:space="preserve">(1). Typical R-Value = 26 (2). Cost of ICF forms is $5/sqft of wall space, both inside and outside of the home, or a total of $10 (3). Basic material cost for ICF forms plus delivery = $2.75-$3.90/sqft (3). Labor costs should account for 35% to 40% of the total cost </t>
  </si>
  <si>
    <t>ICF insulating forms left in place, half height block/panels, single course, 6" core wall, made by field sawing full block/panels, includes layout, exludes rebar, embedments, bucks for openings, scaffolding, wall bracing, concrete, and concrete placing</t>
  </si>
  <si>
    <t>ICF insulating forms left in place, half height block/panels, single course, 12" core wall, made by field sawing full block/panels, includes layout, exludes rebar, embedments, bucks for openings, scaffolding, wall bracing, concrete, and concrete placing</t>
  </si>
  <si>
    <t>https://newhousebuilder.com/insulated-concrete-forms/#:~:text=ICF%20forms%20cost%20an%20average,20%25%20more%20than%20stud%20framing.</t>
  </si>
  <si>
    <r>
      <rPr>
        <b/>
        <sz val="9"/>
        <rFont val="Calibri"/>
        <family val="2"/>
        <scheme val="minor"/>
      </rPr>
      <t>ICF forms cost an average of $3.50 to $4.00 per square foot</t>
    </r>
    <r>
      <rPr>
        <sz val="9"/>
        <rFont val="Calibri"/>
        <family val="2"/>
        <scheme val="minor"/>
      </rPr>
      <t>. Once you factor in additional costs like concrete, rebar, hardware, labor, insurance, etc, the average total cost using ICF forms can be around 15-20% more than stud framing. However, there are significant savings realized from using ICF, and that will be discussed later.</t>
    </r>
  </si>
  <si>
    <r>
      <t xml:space="preserve">With insulation on both sides of the concrete, your wall temperatures won’t change throughout the day, achieving a </t>
    </r>
    <r>
      <rPr>
        <b/>
        <sz val="8"/>
        <color theme="1"/>
        <rFont val="Arial"/>
        <family val="2"/>
      </rPr>
      <t>consistent R-23</t>
    </r>
    <r>
      <rPr>
        <sz val="8"/>
        <color theme="1"/>
        <rFont val="Arial"/>
        <family val="2"/>
      </rPr>
      <t>.</t>
    </r>
  </si>
  <si>
    <t>(1). ICFs cost $3.40-$4.00 per square foot</t>
  </si>
  <si>
    <t>ICF insulating forms left in place, half height block/panels, single course, 8" core wall, made by field sawing full block/panels, includes layout, exludes rebar, embedments, bucks for openings, scaffolding, wall bracing, concrete, and concrete placing</t>
  </si>
  <si>
    <t>ICF insulating forms left in place, half height block or panels, molded, single course, 10" core wall, includes layout, exludes rebar, embedments, bucks for openings, scaffolding, wall bracing, concrete, and concrete placing</t>
  </si>
  <si>
    <t>https://www.attainablehome.com/how-much-do-icf-blocks-cost-where-to-buy/</t>
  </si>
  <si>
    <t>Generally, local building suppliers sell insulated concrete forms. Presently, the price of a regular ICF block measuring 16-inch x 48-inch lies in the $24-$28 range. This figure works out to roughly $4.50-$5.50/sq foot of wall area</t>
  </si>
  <si>
    <t>According to HomeAdvisor, you can expect to pay anywhere between $300,000 and $320,000 on average for a 2,000-square foot house.</t>
  </si>
  <si>
    <t>ICF home construction typically costs around $150-$160 per square foot. It is comparable to the price of a concrete house, if not identical</t>
  </si>
  <si>
    <t>ICF wall installations costs around $7 per square foot. You can expect almost the same prices for the cost of building a foundational ICF wall. Since the forms stay in place, ICF is less time-consuming and generally costs less than poured concrete.</t>
  </si>
  <si>
    <t>(1). ICF blocks are about $4.50-$5.50/sq ft of wall area, (2) ICF home construction costs around $150-$160 per square foot</t>
  </si>
  <si>
    <t>ICF insulating forms left in place, half height block/panels, single course, 4" core wall, made by field sawing full block/panels, includes layout, exludes rebar, embedments, bucks for openings, scaffolding, wall bracing, concrete, and concrete placing</t>
  </si>
  <si>
    <t>ICF insulating forms left in place, straight blocks or panels, molded, walls up to 4' high, 12" core wall, includes layout, exludes rebar, embedments, bucks for openings, scaffolding, wall bracing, concrete, and concrete placing</t>
  </si>
  <si>
    <t>https://homeguide.com/costs/icf-concrete-house-cost</t>
  </si>
  <si>
    <t>It costs $110-$230 per square foot of floor area to build an ICF house. The average cost of ICF construction is $240,000 - $460,000 for a 2,000 square foot home</t>
  </si>
  <si>
    <t xml:space="preserve">It costs $10 - $25 per square foot of wall surface. It costs $120 - $230 per square foot of home's total floor space. It costs $80 - $250 per linear foot </t>
  </si>
  <si>
    <t>ICF block prices are $25 to $40 per block of 16”x48” in size. ICF blocks cost $4.50 to $7.50 per square foot for materials only</t>
  </si>
  <si>
    <t>(1). ICF blocks cost $4.50 to $7.50 per square foot for materials only, (2) It costs $110-$230 per square foot of floor area to build an ICF house, (3) It costs $10 - $25 per square foot of wall surface and $120 - $230 per square foot of a home's total floor space.</t>
  </si>
  <si>
    <t>ICF insulating forms left in place, half height block or panels, molded, single course, 8" core wall, includes layout, exludes rebar, embedments, bucks for openings, scaffolding, wall bracing, concrete, and concrete placing</t>
  </si>
  <si>
    <t>ICF insulating forms left in place, half height block or panels, molded, single course, 12" core wall, includes layout, exludes rebar, embedments, bucks for openings, scaffolding, wall bracing, concrete, and concrete placing</t>
  </si>
  <si>
    <t>ICF insulating forms left in place, curb (shelf) block or panels, molded, single course, 10" core wall, includes layout, exludes rebar, embedments, bucks for openings, scaffolding, wall bracing, concrete, and concrete placing</t>
  </si>
  <si>
    <t>ICF insulating forms left in place, curb (shelf) block or panels, molded, single course, 8" core wall, includes layout, exludes rebar, embedments, bucks for openings, scaffolding, wall bracing, concrete, and concrete placing</t>
  </si>
  <si>
    <t>ICF insulating forms left in place, half height block or panels, molded, single course, 4" core wall, includes layout, exludes rebar, embedments, bucks for openings, scaffolding, wall bracing, concrete, and concrete placing</t>
  </si>
  <si>
    <t>ICF insulating forms left in place, taper block or panels, molded, single course, 8" core wall, includes layout, exludes rebar, embedments, bucks for openings, scaffolding, wall bracing, concrete, and concrete placing</t>
  </si>
  <si>
    <t>https://buildersontario.com/icf-foundation-cost-2</t>
  </si>
  <si>
    <t>Costs for ICF basement usually breaks down to the following:
(1). ICF forms (Nudura, Fox, QuadLock, Buildblock etc), 6″ cavity: @ $4.00-$6.00/sq. ft., (2). Reinforcing steel: @ $0.55 per lin. ft. = approx. $1.20 per sq. ft., (3). Concrete: @ $180.00 per cubic meter = approximately $20.00 per sq. ft., (4). Concrete pump: @ $180.00 per hour + per/meter charge = $1.00 per sq. ft., (5). Miscellaneous items: bracing rental, foam, glue, tie wire, clips, etc. @ $1.00 per sq. ft., (6). Labor to install: @ $8.00 -$10.00 per sq. ft. includes all overhead</t>
  </si>
  <si>
    <t>See column B for detailed cost breakdown</t>
  </si>
  <si>
    <t>ICF insulating forms left in place, half height block or panels, molded, single course, 6" core wall, includes layout, exludes rebar, embedments, bucks for openings, scaffolding, wall bracing, concrete, and concrete placing</t>
  </si>
  <si>
    <t>ICF insulating forms left in place, brick ledge (corbel) block or panels, molded, single course, 6" core wall, includes layout, exludes rebar, embedments, bucks for openings, scaffolding, wall bracing, concrete, and concrete placing</t>
  </si>
  <si>
    <t>https://basc.pnnl.gov/sites/default/files/case-studies/Insulating_Concrete_Forms.pdf</t>
  </si>
  <si>
    <t>A 2001 report by the U.S. Department of Housing and Urban Development estimates that ICF construction generally costs about 5%-10% more than a traditional wood-frame home, or about $2 to $4 per square foot of floor area</t>
  </si>
  <si>
    <r>
      <t xml:space="preserve">R-values ranging from </t>
    </r>
    <r>
      <rPr>
        <b/>
        <sz val="8"/>
        <color theme="1"/>
        <rFont val="Arial"/>
        <family val="2"/>
      </rPr>
      <t>R-20 to R-45</t>
    </r>
    <r>
      <rPr>
        <sz val="8"/>
        <color theme="1"/>
        <rFont val="Arial"/>
        <family val="2"/>
      </rPr>
      <t xml:space="preserve"> are now available and create a wide range of options for builders, particularly in areas where durable construction with high storm resistance is desirable</t>
    </r>
  </si>
  <si>
    <t>ICF insulating forms left in place, 90 degree corner blocks or panels, molded, walls up to 4' high, 8" core wall, includes layout, exludes rebar, embedments, bucks for openings, scaffolding, wall bracing, concrete, and concrete placing</t>
  </si>
  <si>
    <t>ICF insulating forms left in place, radius blocks or panels, molded, walls up to 4' high, 6" core wall, 10' - 15' diam, requiring trimming/strapping, add</t>
  </si>
  <si>
    <t>ICF insulating forms left in place, 45 degree corner blocks or panels, molded, walls up to 4' high, 6" core waa, includes layout, exludes rebar, embedments, bucks for openings, scaffolding, wall bracing, concrete, and concrete placing</t>
  </si>
  <si>
    <t>ICF insulating forms left in place, radius blocks or panels, molded, walls up to 4' high, 6" core wall, 30'-1' - 60' diam, requiring trimming/strapping, add</t>
  </si>
  <si>
    <t>ICF insulating forms left in place, non-standard corners/Ts requiring trimming/strapping, walls up to 4' high, includes layout, exludes rebar, embedments, bucks for openings, scaffolding, wall bracing, concrete, and concrete placing</t>
  </si>
  <si>
    <t>ICF insulating forms left in place, radius blocks or panels, molded, walls up to 4' high, 6" core wall, 5' to 10' diameter, includes layout, exludes rebar, embedments, bucks for openings, scaffolding, wall bracing, concrete, and concrete placing</t>
  </si>
  <si>
    <t>ICF insulating forms left in place, 90 degree corner blocks or panels, molded, walls up to 4' high, 4" core wall, includes layout, exludes rebar, embedments, bucks for openings, scaffolding, wall bracing, concrete, and concrete placing</t>
  </si>
  <si>
    <t>ICF insulating forms left in place, straight blocks or panels, molded, walls up to 4' high, 10" core wall, includes layout, exludes rebar, embedments, bucks for openings, scaffolding, wall bracing, concrete, and concrete placing</t>
  </si>
  <si>
    <t>ICF insulating forms left in place, 90 degree corner blocks or panels, molded, walls up to 4' high, 10" core wall, includes layout, exludes rebar, embedments, bucks for openings, scaffolding, wall bracing, concrete, and concrete placing</t>
  </si>
  <si>
    <t>ICF insulating forms left in place, 90 degree corner blocks or panels, molded, walls up to 4' high, 12" core wall, includes layout, exludes rebar, embedments, bucks for openings, scaffolding, wall bracing, concrete, and concrete placing</t>
  </si>
  <si>
    <t>ICF insulating forms left in place, T blocks or panels, molded, walls up to 4' high, 8" core wall, includes layout, exludes rebar, embedments, bucks for openings, scaffolding, wall bracing, concrete, and concrete placing</t>
  </si>
  <si>
    <t>ICF insulating forms left in place, 45 degree corner blocks or panels, molded, walls up to 4' high, 4" core wall, includes layout, exludes rebar, embedments, bucks for openings, scaffolding, wall bracing, concrete, and concrete placing</t>
  </si>
  <si>
    <t>ICF insulating forms left in place, straight blocks or panels, molded, walls up to 4' high, 8" core wall, includes layout, exludes rebar, embedments, bucks for openings, scaffolding, wall bracing, concrete, and concrete placing</t>
  </si>
  <si>
    <t>ICF insulating forms left in place, straight blocks or panels, molded, walls up to 4' high, 4" core wall, includes layout, exludes rebar, embedments, bucks for openings, scaffolding, wall bracing, concrete, and concrete placing</t>
  </si>
  <si>
    <t>ICF insulating forms left in place, 90 degree corner blocks or panels, molded, walls up to 4' high, 6" core waa, includes layout, exludes rebar, embedments, bucks for openings, scaffolding, wall bracing, concrete, and concrete placing</t>
  </si>
  <si>
    <t>ICF insulating forms left in place, straight blocks or panels, molded, walls up to 4' high, 6" core waa, includes layout, exludes rebar, embedments, bucks for openings, scaffolding, wall bracing, concrete, and concrete placing</t>
  </si>
  <si>
    <t>Performance Metric 2</t>
  </si>
  <si>
    <t>Model</t>
  </si>
  <si>
    <t>Glazing</t>
  </si>
  <si>
    <t>U-Factor</t>
  </si>
  <si>
    <t>SHGC</t>
  </si>
  <si>
    <t>Glass Type</t>
  </si>
  <si>
    <t>Fill</t>
  </si>
  <si>
    <t>Labor ($/window)</t>
  </si>
  <si>
    <t>Total Installed Cost ($/window)</t>
  </si>
  <si>
    <t>Removal Labor ($/window)</t>
  </si>
  <si>
    <t>Window</t>
  </si>
  <si>
    <t>FrontLine</t>
  </si>
  <si>
    <t>3660OV69LIG3TBK</t>
  </si>
  <si>
    <t>Double-Pane</t>
  </si>
  <si>
    <t>Standard Glass</t>
  </si>
  <si>
    <t>https://www.homedepot.com/p/FrontLine-36-in-x-60-in-Oval-Black-6-9-16-in-Jamb-3-1-2-in-Interior-Trim-9-Lite-Grille-Geometric-Aluminum-Clad-Wood-Window-3660OV69LIG3TBK/304026393</t>
  </si>
  <si>
    <t>3660OV69LIGBK</t>
  </si>
  <si>
    <t>https://www.homedepot.com/p/FrontLine-36-in-x-60-in-Oval-Black-6-9-16-in-Jamb-9-Lite-Grille-Geometric-Aluminum-Clad-Wood-Window-3660OV69LIGBK/304026398</t>
  </si>
  <si>
    <t>3048OV65LIG2TBK</t>
  </si>
  <si>
    <t>https://www.homedepot.com/p/FrontLine-30-in-x-48-in-Oval-Black-6-9-16-in-Jamb-2-1-4-in-Interior-Trim-5-Lite-Grille-Geometric-Aluminum-Clad-Wood-Window-3048OV65LIG2TBK/304025505</t>
  </si>
  <si>
    <t>TAFCO WINDOWS</t>
  </si>
  <si>
    <t>EGRS3136</t>
  </si>
  <si>
    <t>Energy Efficient Glass</t>
  </si>
  <si>
    <t>https://www.homedepot.com/p/TAFCO-WINDOWS-30-75-in-x-36-375-in-Left-Hand-Sliding-Vinyl-Replacement-Window-Sash-Kit-NO-FRAME-White-EGRS3136/202568856</t>
  </si>
  <si>
    <t>4848RD64LIG3TBK</t>
  </si>
  <si>
    <t>https://www.homedepot.com/p/FrontLine-48-in-x-48-in-Round-Black-6-9-16-in-Jamb-3-1-2-in-Interior-Trim-4-Lite-Grille-Geometric-Aluminum-Clad-Wood-Window-4848RD64LIG3TBK/304026489</t>
  </si>
  <si>
    <t>3030RD49LIG3TWH</t>
  </si>
  <si>
    <t>https://www.homedepot.com/p/FrontLine-30-in-x-30-in-Round-White-4-9-16-in-Jamb-3-1-2-in-Interior-Trim-9-Lite-Grille-Geometric-Aluminum-Clad-Wood-Window-3030RD49LIG3TWH/302462878</t>
  </si>
  <si>
    <t>VSH1824OP</t>
  </si>
  <si>
    <t>Single-Pane</t>
  </si>
  <si>
    <t>https://www.homedepot.com/p/TAFCO-WINDOWS-18-in-x-24-in-Single-Hung-Vinyl-Window-White-VSH1824OP/203951015</t>
  </si>
  <si>
    <t>4848RD6CLIG2TBK</t>
  </si>
  <si>
    <t>https://www.homedepot.com/p/FrontLine-48-in-x-48-in-Round-Black-6-9-16-in-Jamb-2-1-4-in-Interior-Trim-Geometric-Aluminum-Clad-Wood-Window-4848RD6CLIG2TBK/304026869</t>
  </si>
  <si>
    <t>4848RD49LIGBK</t>
  </si>
  <si>
    <t>https://www.homedepot.com/p/FrontLine-48-in-x-48-in-Round-Black-4-9-16-in-Jamb-9-Lite-Grille-Geometric-Aluminum-Clad-Wood-Window-4848RD49LIGBK/304026463</t>
  </si>
  <si>
    <t>3030RD65LIG2TWH</t>
  </si>
  <si>
    <t>https://www.homedepot.com/p/FrontLine-30-in-x-30-in-Round-White-6-9-16-in-Jamb-2-1-4-in-Interior-Trim-5-Lite-Grille-Geometric-Aluminum-Clad-Wood-Window-3030RD65LIG2TWH/302462796</t>
  </si>
  <si>
    <t>1818RD69LIG3TWH</t>
  </si>
  <si>
    <t>https://www.homedepot.com/p/FrontLine-18-in-x-18-in-Round-White-6-9-16-in-Jamb-3-1-2-in-Interior-Trim-9-Lite-Grille-Geometric-Aluminum-Clad-Wood-Window-1818RD69LIG3TWH/302462921</t>
  </si>
  <si>
    <t>3636RD69LIGWH</t>
  </si>
  <si>
    <t>https://www.homedepot.com/p/FrontLine-36-in-x-36-in-Round-White-6-9-16-in-Jamb-9-Lite-Grille-Geometric-Aluminum-Clad-Wood-Window-3636RD69LIGWH/302462857</t>
  </si>
  <si>
    <t>VCC9560-RL</t>
  </si>
  <si>
    <t>https://www.homedepot.com/p/TAFCO-WINDOWS-96-in-x-60-in-Vinyl-Casement-Window-with-Screen-White-VCC9560-RL/203819891</t>
  </si>
  <si>
    <t>MHW3141-W</t>
  </si>
  <si>
    <t>https://www.homedepot.com/p/TAFCO-WINDOWS-30-in-x-40-in-Mobile-Home-Single-Hung-Aluminum-Window-White-MHW3141-W/203259558</t>
  </si>
  <si>
    <t>VC6060-P</t>
  </si>
  <si>
    <t>https://www.homedepot.com/p/TAFCO-WINDOWS-60-in-x-60-in-Casement-Picture-Window-VC6060-P/203819919</t>
  </si>
  <si>
    <t>CROSS-P-C</t>
  </si>
  <si>
    <t>Triple-Pane</t>
  </si>
  <si>
    <t>Patterned Glass</t>
  </si>
  <si>
    <t>https://www.homedepot.com/p/TAFCO-WINDOWS-24-5-in-x-24-5-in-Clear-Glass-Round-Picture-Vinyl-Insulated-Window-with-Platinum-Cross-Design-White-CROSS-P-C/203426839</t>
  </si>
  <si>
    <t>VCAR3060_OSG</t>
  </si>
  <si>
    <t>https://www.homedepot.com/p/TAFCO-WINDOWS-30-in-x-60-in-Right-Hand-Vinyl-Casement-Window-with-SDL-Outside-Grids-and-Screen-White-VCAR3060-OSG/305717552</t>
  </si>
  <si>
    <t>VCAL2448_OSG</t>
  </si>
  <si>
    <t>https://www.homedepot.com/p/TAFCO-WINDOWS-24-in-x-48-in-Left-Hand-Vinyl-Casement-Window-with-Grids-and-Screen-in-White-VCAL2448-OSG/305717616</t>
  </si>
  <si>
    <t>VC2436-R</t>
  </si>
  <si>
    <t>https://www.homedepot.com/p/TAFCO-WINDOWS-24-in-x-36-in-Right-Hand-Vinyl-Casement-Window-with-Screen-White-VC2436-R/206523713</t>
  </si>
  <si>
    <t>3048OV64LIGBZ</t>
  </si>
  <si>
    <t>https://www.homedepot.com/p/FrontLine-30-in-x-48-in-Oval-Bronze-6-9-16-in-Jamb-4-Lite-Grille-Geometric-Aluminum-Clad-Wood-Window-3048OV64LIGBZ/304025490</t>
  </si>
  <si>
    <t>2424RD64LIG2TWH</t>
  </si>
  <si>
    <t>https://www.homedepot.com/p/FrontLine-24-in-x-24-in-Round-White-6-9-16-in-Jamb-2-1-4-in-Interior-Trim-4-Lite-Grille-Geometric-Aluminum-Clad-Wood-Window-2424RD64LIG2TWH/302462809</t>
  </si>
  <si>
    <t>VSHI3236GB</t>
  </si>
  <si>
    <t>https://www.homedepot.com/p/TAFCO-WINDOWS-31-25-in-x-35-25-in-Single-Hung-Vinyl-Window-Insulated-with-Grids-White-VSHI3236GB/206523730</t>
  </si>
  <si>
    <t>VEWL3048</t>
  </si>
  <si>
    <t>https://www.homedepot.com/p/TAFCO-WINDOWS-29-75-in-x-47-75-in-88000-Series-Left-Hand-Inswing-Tilt-Casement-in-Vinyl-Window-White-VEWL3048/207114680</t>
  </si>
  <si>
    <t>OCT3232-G</t>
  </si>
  <si>
    <t>Insulated Glass</t>
  </si>
  <si>
    <t>https://www.homedepot.com/p/TAFCO-WINDOWS-31-5-in-x-31-5-in-Fixed-Octagon-Geometric-Vinyl-Window-with-Grid-White-OCT3232-G/206523698</t>
  </si>
  <si>
    <t>PV-BS 32x16</t>
  </si>
  <si>
    <t>https://www.homedepot.com/p/TAFCO-WINDOWS-31-75-in-x-15-75-in-Left-Hand-Single-Sliding-Vinyl-Window-with-Dual-Pane-Insulated-Glass-White-PV-BS-32x16/202207816</t>
  </si>
  <si>
    <t>4848RD4CLIG2TWH</t>
  </si>
  <si>
    <t>https://www.homedepot.com/p/FrontLine-48-in-x-48-in-Round-White-4-9-16-in-Jamb-2-1-4-in-Interior-Trim-Geometric-Aluminum-Clad-Wood-Window-4848RD4CLIG2TWH/302462822</t>
  </si>
  <si>
    <t>VEWR3060</t>
  </si>
  <si>
    <t>https://www.homedepot.com/p/TAFCO-WINDOWS-29-75-in-x-59-75-in-88000-Series-Right-Hand-Double-Pane-Inswing-Tilt-Vinyl-Window-with-White-Exterior-VEWR3060/207114683</t>
  </si>
  <si>
    <t>Ply Gem</t>
  </si>
  <si>
    <t>36x60SELSH</t>
  </si>
  <si>
    <t>Insulated Glass, Low-E Glass</t>
  </si>
  <si>
    <t>https://www.homedepot.com/p/Ply-Gem-35-5-in-x-59-5-in-Select-Series-Vinyl-Single-Hung-Black-Window-with-HP2-Glass-36x60SELSH/318970355</t>
  </si>
  <si>
    <t>36x36SELSH</t>
  </si>
  <si>
    <t>https://www.homedepot.com/p/Ply-Gem-35-5-in-x-35-5-in-Select-Series-Vinyl-Single-Hung-Black-Window-with-HP2-Glass-36x36SELSH/318970377</t>
  </si>
  <si>
    <t>MHW3128-M</t>
  </si>
  <si>
    <t>https://www.homedepot.com/p/TAFCO-WINDOWS-30-in-x-27-in-Mobile-Home-Single-Hung-Aluminum-Window-Silver-MHW3128-M/203259549</t>
  </si>
  <si>
    <t>2424RD49LIG2TWH</t>
  </si>
  <si>
    <t>https://www.homedepot.com/p/FrontLine-24-in-x-24-in-Round-White-4-9-16-in-Jamb-2-1-4-in-Interior-Trim-9-Lite-Grille-Geometric-Aluminum-Clad-Wood-Window-2424RD49LIG2TWH/302462930</t>
  </si>
  <si>
    <t>W49690</t>
  </si>
  <si>
    <t>Energy Efficient Glass, Insulated Glass, Low-E Glass</t>
  </si>
  <si>
    <t>https://www.homedepot.com/p/JELD-WEN-37-375-in-x-40-in-W-2500-Series-White-Painted-Clad-Wood-Double-Hung-Window-w-Natural-Interior-and-Screen-W49690/202985795</t>
  </si>
  <si>
    <t>72X48SELHZSL</t>
  </si>
  <si>
    <t>https://www.homedepot.com/p/Ply-Gem-71-5-in-x-47-5-in-Select-Series-Vinyl-Horizontal-Sliding-Left-Hand-Black-Window-with-HP2-Glass-72X48SELHZSL/318969050</t>
  </si>
  <si>
    <t>60x48SELHZSL</t>
  </si>
  <si>
    <t>https://www.homedepot.com/p/Ply-Gem-59-5-in-x-47-5-in-Select-Series-Vinyl-Horizontal-Sliding-Left-Hand-Black-Window-with-HP2-Glass-60x48SELHZSL/318969192</t>
  </si>
  <si>
    <t>48x48SELHZSL</t>
  </si>
  <si>
    <t>https://www.homedepot.com/p/Ply-Gem-47-5-in-x-47-5-in-Select-Series-Vinyl-Horizontal-Sliding-Left-Hand-Bronze-Window-with-HP2-Glass-48x48SELHZSL/318966569</t>
  </si>
  <si>
    <t>48x36SELHZSL</t>
  </si>
  <si>
    <t>https://www.homedepot.com/p/Ply-Gem-47-5-in-x-35-5-in-Select-Series-Vinyl-Horizontal-Sliding-Left-Hand-Bronze-Window-with-HP2-Glass-48x36SELHZSL/318966590</t>
  </si>
  <si>
    <t>2436OV45LIG2TWH</t>
  </si>
  <si>
    <t>https://www.homedepot.com/p/FrontLine-24-in-x-36-in-Oval-White-4-9-16-in-Jamb-2-1-4-in-Interior-Trim-5-Lite-Grille-Geometric-Aluminum-Clad-Wood-Window-2436OV45LIG2TWH/302462947</t>
  </si>
  <si>
    <t>36x24SELHZSL</t>
  </si>
  <si>
    <t>https://www.homedepot.com/p/Ply-Gem-35-5-in-x-23-5-in-Select-Series-Vinyl-Horizontal-Sliding-Left-Hand-Black-Window-with-HP2-Glass-36x24SELHZSL/318970214</t>
  </si>
  <si>
    <t>3030RD65LIGBZ</t>
  </si>
  <si>
    <t>https://www.homedepot.com/p/FrontLine-30-in-x-30-in-Round-Bronze-6-9-16-in-Jamb-5-Lite-Grille-Geometric-Aluminum-Clad-Wood-Window-3030RD65LIGBZ/304025165</t>
  </si>
  <si>
    <t>36x36SELHZSL</t>
  </si>
  <si>
    <t>https://www.homedepot.com/p/Ply-Gem-35-5-in-x-35-5-in-Select-Series-Vinyl-Horizontal-Sliding-Left-Hand-Bronze-Window-with-HP2-Glass-36x36SELHZSL/318966782</t>
  </si>
  <si>
    <t>24x24SELHZSL</t>
  </si>
  <si>
    <t>https://www.homedepot.com/p/Ply-Gem-23-5-in-x-23-5-in-Select-Series-Vinyl-Horizontal-Sliding-Left-Hand-Black-Window-with-HP2-Glass-24x24SELHZSL/318970324</t>
  </si>
  <si>
    <t>2424RD6CLIG3TBZ</t>
  </si>
  <si>
    <t>https://www.homedepot.com/p/FrontLine-24-in-x-24-in-Round-Bronze-6-9-16-in-Jamb-3-1-2-in-Interior-Trim-Geometric-Aluminum-Clad-Wood-Window-2424RD6CLIG3TBZ/304024474</t>
  </si>
  <si>
    <t>2436OV65LIGWH</t>
  </si>
  <si>
    <t>https://www.homedepot.com/p/FrontLine-24-in-x-36-in-Oval-White-6-9-16-in-Jamb-5-Lite-Grille-Geometric-Aluminum-Clad-Wood-Window-2436OV65LIGWH/302462846</t>
  </si>
  <si>
    <t>https://www.homedepot.com/p/Ply-Gem-95-5-in-x-47-5-in-Classic-Series-White-Vinyl-Left-Hand-Right-Hand-Picture-Window-Slider-with-HPSC-Glass-Screen-Incl-400/302957703</t>
  </si>
  <si>
    <t>Z40050</t>
  </si>
  <si>
    <t>https://www.homedepot.com/p/JELD-WEN-29-375-in-x-56-5-in-W-2500-Series-Primed-Wood-Double-Hung-Window-w-Natural-Interior-and-Low-E-Glass-Z40050/202985808</t>
  </si>
  <si>
    <t>2436OV49LIGWH</t>
  </si>
  <si>
    <t>https://www.homedepot.com/p/FrontLine-24-in-x-36-in-Oval-White-4-9-16-in-Jamb-9-Lite-Grille-Geometric-Aluminum-Clad-Wood-Window-2436OV49LIGWH/302462805</t>
  </si>
  <si>
    <t>VPS3636I</t>
  </si>
  <si>
    <t>https://www.homedepot.com/p/TAFCO-WINDOWS-35-5-in-x-35-5-in-Utility-Left-Hand-Single-Slider-Vinyl-Window-Dual-Pane-Insulated-Glass-and-Screen-White-VPS3636I/100660079</t>
  </si>
  <si>
    <t>THDJW141600043</t>
  </si>
  <si>
    <t>https://www.homedepot.com/p/JELD-WEN-47-5-in-x-47-5-in-V-2500-Series-White-Vinyl-Picture-Window-w-Low-E-366-Glass-THDJW141600043/205797863</t>
  </si>
  <si>
    <t>3030RD44LIG3TWH</t>
  </si>
  <si>
    <t>https://www.homedepot.com/p/FrontLine-30-in-x-30-in-Round-White-4-9-16-in-Jamb-3-1-2-in-Interior-Trim-4-Lite-Grille-Geometric-Aluminum-Clad-Wood-Window-3030RD44LIG3TWH/302462963</t>
  </si>
  <si>
    <t>THDJW141600045</t>
  </si>
  <si>
    <t>https://www.homedepot.com/p/JELD-WEN-47-5-in-x-47-5-in-V-2500-Series-Desert-Sand-Vinyl-Picture-Window-w-Low-E-366-Glass-THDJW141600045/205797852</t>
  </si>
  <si>
    <t>THDJW141900003</t>
  </si>
  <si>
    <t>https://www.homedepot.com/p/JELD-WEN-23-5-in-x-23-5-in-V-4500-Series-Desert-Sand-Vinyl-Fixed-Octagon-Geometric-Window-w-Low-E-366-Glass-THDJW141900003/205805324</t>
  </si>
  <si>
    <t>2436OV44LIG2TWH</t>
  </si>
  <si>
    <t>https://www.homedepot.com/p/FrontLine-24-in-x-36-in-Oval-White-4-9-16-in-Jamb-2-1-4-in-Interior-Trim-4-Lite-Grille-Geometric-Aluminum-Clad-Wood-Window-2436OV44LIG2TWH/302462946</t>
  </si>
  <si>
    <t>Hy-Lite</t>
  </si>
  <si>
    <t>DA2727SPFLWHNK</t>
  </si>
  <si>
    <t>Insulated Glass, Patterned Glass, Privacy Glass, Standard Glass, Tempered Glass</t>
  </si>
  <si>
    <t>https://www.homedepot.com/p/Hy-Lite-27-25-in-x-27-25-in-Decorative-Glass-Spring-Flower-Nickel-Caming-White-Awning-Vinyl-Window-DA2727SPFLWHNK/317227984</t>
  </si>
  <si>
    <t>JW1417-00030</t>
  </si>
  <si>
    <t>https://www.homedepot.com/p/JELD-WEN-23-5-in-x-23-5-in-V-2500-Series-Desert-Sand-Vinyl-Fixed-Octagon-Geometric-Window-w-Low-E-366-Glass-JW1417-00030/205800169</t>
  </si>
  <si>
    <t>THDJW141900001</t>
  </si>
  <si>
    <t>https://www.homedepot.com/p/JELD-WEN-23-5-in-x-23-5-in-V-4500-Series-White-Vinyl-Fixed-Octagon-Geometric-Window-w-Low-E-366-Glass-THDJW141900001/205805339</t>
  </si>
  <si>
    <t>VA2424BDG-P</t>
  </si>
  <si>
    <t>Privacy Glass</t>
  </si>
  <si>
    <t>https://www.homedepot.com/p/TAFCO-WINDOWS-24-in-x-24-in-Awning-Vinyl-Window-White-VA2424BDG-P/203426848</t>
  </si>
  <si>
    <t>JW1417-00028</t>
  </si>
  <si>
    <t>https://www.homedepot.com/p/JELD-WEN-23-5-in-x-23-5-in-V-2500-Series-White-Vinyl-Fixed-Octagon-Geometric-Window-w-Low-E-366-Glass-JW1417-00028/205800172</t>
  </si>
  <si>
    <t>THDJW143800780</t>
  </si>
  <si>
    <t>https://www.homedepot.com/p/JELD-WEN-48-in-x-48-in-V-2500-Series-Bronze-FiniShield-Vinyl-Single-Hung-Window-with-Fiberglass-Mesh-Screen-THDJW143800780/205688198</t>
  </si>
  <si>
    <t>THDJW138500204</t>
  </si>
  <si>
    <t>https://www.homedepot.com/p/JELD-WEN-60-in-x-48-in-V-2500-Series-Bronze-FiniShield-Vinyl-Right-Handed-Sliding-Window-with-Fiberglass-Mesh-Screen-THDJW138500204/205817891</t>
  </si>
  <si>
    <t>https://www.homedepot.com/p/JELD-WEN-59-5-in-x-59-5-in-V-2500-Series-White-Vinyl-Right-Handed-Sliding-Window-with-Fiberglass-Mesh-Screen-THDJW138500124/205817906</t>
  </si>
  <si>
    <t>1818RD44LIG2TWH</t>
  </si>
  <si>
    <t>https://www.homedepot.com/p/FrontLine-18-in-x-18-in-Round-White-4-9-16-in-Jamb-2-1-4-in-Interior-Trim-4-Lite-Grille-Geometric-Aluminum-Clad-Wood-Window-1818RD44LIG2TWH/302462823</t>
  </si>
  <si>
    <t>THDJW143800678</t>
  </si>
  <si>
    <t>https://www.homedepot.com/p/JELD-WEN-35-5-in-x-53-5-in-V-2500-Series-Desert-Sand-Vinyl-Single-Hung-Window-with-Fiberglass-Mesh-Screen-THDJW143800678/205688171</t>
  </si>
  <si>
    <t>2424RD4CLIG3TWH</t>
  </si>
  <si>
    <t>https://www.homedepot.com/p/FrontLine-24-in-x-24-in-Round-White-4-9-16-in-Jamb-3-1-2-in-Interior-Trim-Geometric-Aluminum-Clad-Wood-Window-2424RD4CLIG3TWH/302462952</t>
  </si>
  <si>
    <t>2436OV4CLIG3TWH</t>
  </si>
  <si>
    <t>https://www.homedepot.com/p/FrontLine-24-in-x-36-in-Oval-White-4-9-16-in-Jamb-3-1-2-in-Interior-Trim-Geometric-Aluminum-Clad-Wood-Window-2436OV4CLIG3TWH/302462896</t>
  </si>
  <si>
    <t>THDJW138500082</t>
  </si>
  <si>
    <t>https://www.homedepot.com/p/JELD-WEN-47-5-in-x-35-5-in-V-2500-Series-Desert-Sand-Vinyl-Left-Handed-Sliding-Window-with-Fiberglass-Mesh-Screen-THDJW138500082/205817842</t>
  </si>
  <si>
    <t>72x36SELSL</t>
  </si>
  <si>
    <t>Low-E Glass</t>
  </si>
  <si>
    <t>https://www.homedepot.com/p/Ply-Gem-71-5-in-x-35-5-in-Select-Series-Left-Hand-Horizontal-Sliding-Vinyl-Black-Window-with-HPSC-Glass-and-Screen-Included-72x36SELSL/321618869</t>
  </si>
  <si>
    <t>https://www.homedepot.com/p/Ply-Gem-59-5-in-x-47-5-in-Select-Series-Left-Hand-Horizontal-Sliding-Vinyl-Black-Window-with-HPSC-Glass-and-Screen-Included-60x48SELSL/321619005</t>
  </si>
  <si>
    <t>60x36SELSL</t>
  </si>
  <si>
    <t>https://www.homedepot.com/p/Ply-Gem-59-5-in-x-35-5-in-Select-Series-Horizontal-Sliding-Left-Hand-Vinyl-Black-Window-with-HPSC-Glass-and-Screen-Included-60x36SELSL/321618932</t>
  </si>
  <si>
    <t>48x36SELSL</t>
  </si>
  <si>
    <t>https://www.homedepot.com/p/Ply-Gem-47-5-in-x-35-5-in-Select-Series-Horizontal-Sliding-Left-Hand-Black-Vinyl-Window-with-HPSC-Glass-and-Screen-Included-48x36SELSL/321619055</t>
  </si>
  <si>
    <t>NIKKI - P</t>
  </si>
  <si>
    <t>https://www.homedepot.com/p/TAFCO-WINDOWS-24-5-in-x-24-5-in-Round-Geometric-Vinyl-Window-in-Platinum-Design-White-NIKKI-P/202646752</t>
  </si>
  <si>
    <t>https://www.homedepot.com/p/Ply-Gem-71-5-in-x-47-5-in-Select-Series-Left-Hand-Horizontal-Sliding-Vinyl-Sand-Window-with-HPSC-Glass-and-Screen-Included-72x48SELSL/321617353</t>
  </si>
  <si>
    <t>36x36SELSL</t>
  </si>
  <si>
    <t>https://www.homedepot.com/p/Ply-Gem-35-5-in-x-35-5-in-Select-Series-Horizontal-Sliding-Left-Hand-Black-Vinyl-Window-with-HPSC-Glass-and-Screen-Included-36x36SELSL/321618963</t>
  </si>
  <si>
    <t>24x36SELSH</t>
  </si>
  <si>
    <t>https://www.homedepot.com/p/Ply-Gem-23-5-in-x-35-5-in-Select-Series-Single-Hung-Vinyl-Bronze-Window-with-HPSC-Glass-and-Screen-Included-24x36SELSH/321619547</t>
  </si>
  <si>
    <t>2436OV44LIGWH</t>
  </si>
  <si>
    <t>https://www.homedepot.com/p/FrontLine-24-in-x-36-in-Oval-White-4-9-16-in-Jamb-4-Lite-Grille-Geometric-Aluminum-Clad-Wood-Window-2436OV44LIGWH/302462773</t>
  </si>
  <si>
    <t>3030RD6CLIGBK</t>
  </si>
  <si>
    <t>https://www.homedepot.com/p/FrontLine-30-in-x-30-in-Round-Black-6-9-16-in-Jamb-Geometric-Aluminum-Clad-Wood-Window-3030RD6CLIGBK/304025219</t>
  </si>
  <si>
    <t>https://www.homedepot.com/p/Ply-Gem-47-5-in-x-47-5-in-Select-Series-Left-Hand-Horizontal-Sliding-Vinyl-Black-Window-with-HPSC-Glass-and-Screen-Included-48x48SELSL/321618943</t>
  </si>
  <si>
    <t>2424RD45LIGWH</t>
  </si>
  <si>
    <t>https://www.homedepot.com/p/FrontLine-24-in-x-24-in-Round-White-4-9-16-in-Jamb-5-Lite-Grille-Geometric-Aluminum-Clad-Wood-Window-2424RD45LIGWH/302462758</t>
  </si>
  <si>
    <t>36x24SELSL</t>
  </si>
  <si>
    <t>https://www.homedepot.com/p/Ply-Gem-35-5-in-x-23-5-in-Select-Series-Horizontal-Sliding-Left-Hand-Vinyl-Black-Window-with-HPSC-Glass-and-Screen-Included-36x24SELSL/321619162</t>
  </si>
  <si>
    <t>24x24SELSL</t>
  </si>
  <si>
    <t>https://www.homedepot.com/p/Ply-Gem-23-5-in-x-23-5-in-Select-Series-Horizontal-Sliding-Left-Hand-Vinyl-Black-Window-with-HPSC-Glass-and-Screen-Included-24x24SELSL/321619186</t>
  </si>
  <si>
    <t>THDJW140400135</t>
  </si>
  <si>
    <t>https://www.homedepot.com/p/JELD-WEN-59-5-in-x-59-5-in-V-4500-Series-Desert-Sand-Vinyl-Left-Handed-Sliding-Window-with-Fiberglass-Mesh-Screen-THDJW140400135/205818355</t>
  </si>
  <si>
    <t>THDJW140400113</t>
  </si>
  <si>
    <t>https://www.homedepot.com/p/JELD-WEN-47-5-in-x-59-5-in-V-4500-Series-White-Vinyl-Right-Handed-Sliding-Window-with-Fiberglass-Mesh-Screen-THDJW140400113/205818352</t>
  </si>
  <si>
    <t>JW1446-00196</t>
  </si>
  <si>
    <t>https://www.homedepot.com/p/JELD-WEN-37-375-in-x-60-in-W-2500-Series-Black-Painted-Clad-Wood-Double-Hung-Window-w-Natural-Interior-and-Screen-JW1446-00196/206540289</t>
  </si>
  <si>
    <t>THDJW143900524</t>
  </si>
  <si>
    <t>https://www.homedepot.com/p/JELD-WEN-24-in-x-36-in-V-4500-Series-Black-FiniShield-Single-Hung-Vinyl-Window-with-Fiberglass-Mesh-Screen-THDJW143900524/304848454</t>
  </si>
  <si>
    <t>3636RD4CLIGWH</t>
  </si>
  <si>
    <t>https://www.homedepot.com/p/FrontLine-36-in-x-36-in-Round-White-4-9-16-in-Jamb-Geometric-Aluminum-Clad-Wood-Window-3636RD4CLIGWH/302462804</t>
  </si>
  <si>
    <t>8AR4250WHV1500G</t>
  </si>
  <si>
    <t>https://www.homedepot.com/p/Hy-Lite-42-in-x-50-in-Acrylic-Block-Arch-Top-Vinyl-Window-in-White-8AR4250WHV1500G/202339016</t>
  </si>
  <si>
    <t>8AR4250WHV1500W</t>
  </si>
  <si>
    <t>https://www.homedepot.com/p/Hy-Lite-42-in-x-50-in-Acrylic-Block-Arch-Top-Vinyl-Window-in-White-8AR4250WHV1500W/202339014</t>
  </si>
  <si>
    <t>THDJW143900817</t>
  </si>
  <si>
    <t>https://www.homedepot.com/p/JELD-WEN-36-in-x-60-in-V-4500-Series-White-Single-Hung-Vinyl-Window-with-Fiberglass-Mesh-Screen-THDJW143900817/304848877</t>
  </si>
  <si>
    <t>https://www.homedepot.com/p/FrontLine-24-in-x-36-in-Oval-White-4-9-16-in-Jamb-Geometric-Aluminum-Clad-Wood-Window-2436OV4CLIGWH/302462777</t>
  </si>
  <si>
    <t>THDJW143900508</t>
  </si>
  <si>
    <t>https://www.homedepot.com/p/JELD-WEN-48-in-x-60-in-V-4500-Series-Desert-Sand-Single-Hung-Vinyl-Window-with-Fiberglass-Mesh-Screen-THDJW143900508/304848437</t>
  </si>
  <si>
    <t>THDJW143900458</t>
  </si>
  <si>
    <t>https://www.homedepot.com/p/JELD-WEN-36-in-x-36-in-V-4500-Series-White-Single-Hung-Vinyl-Window-with-Fiberglass-Mesh-Screen-THDJW143900458/304848387</t>
  </si>
  <si>
    <t>THDJW141600088</t>
  </si>
  <si>
    <t>https://www.homedepot.com/p/JELD-WEN-48-in-x-48-in-V-2500-Series-Bronze-FiniShield-Vinyl-Fixed-Picture-Window-with-Colonial-Grids-Grilles-THDJW141600088/205797918</t>
  </si>
  <si>
    <t>8RT4250WHV1500G</t>
  </si>
  <si>
    <t>https://www.homedepot.com/p/Hy-Lite-42-in-x-50-in-Acrylic-Block-Round-Top-Vinyl-Window-in-White-8RT4250WHV1500G/202338980</t>
  </si>
  <si>
    <t>THDJW141600080</t>
  </si>
  <si>
    <t>https://www.homedepot.com/p/JELD-WEN-36-in-x-48-in-V-2500-Series-Bronze-FiniShield-Vinyl-Fixed-Picture-Window-with-Colonial-Grids-Grilles-THDJW141600080/205797916</t>
  </si>
  <si>
    <t>THDJW141600044</t>
  </si>
  <si>
    <t>https://www.homedepot.com/p/JELD-WEN-47-5-in-x-47-5-in-V-2500-Series-White-Vinyl-Fixed-Picture-Window-with-Colonial-Grids-Grilles-THDJW141600044/205797907</t>
  </si>
  <si>
    <t>THDJW141600084</t>
  </si>
  <si>
    <t>https://www.homedepot.com/p/JELD-WEN-48-in-x-36-in-V-2500-Series-Bronze-FiniShield-Vinyl-Fixed-Picture-Window-with-Colonial-Grids-Grilles-THDJW141600084/205797917</t>
  </si>
  <si>
    <t>THDJW141600046</t>
  </si>
  <si>
    <t>https://www.homedepot.com/p/JELD-WEN-47-5-in-x-47-5-in-V-2500-Series-Desert-Sand-Vinyl-Fixed-Picture-Window-with-Colonial-Grids-Grilles-THDJW141600046/205797896</t>
  </si>
  <si>
    <t>THDJW141600040</t>
  </si>
  <si>
    <t>https://www.homedepot.com/p/JELD-WEN-47-5-in-x-35-5-in-V-2500-Series-White-Vinyl-Fixed-Picture-Window-with-Colonial-Grids-Grilles-THDJW141600040/205797906</t>
  </si>
  <si>
    <t>THDJW141600036</t>
  </si>
  <si>
    <t>https://www.homedepot.com/p/JELD-WEN-35-5-in-x-47-5-in-V-2500-Series-White-Vinyl-Fixed-Picture-Window-with-Colonial-Grids-Grilles-THDJW141600036/205797905</t>
  </si>
  <si>
    <t>THDJW141600076</t>
  </si>
  <si>
    <t>https://www.homedepot.com/p/JELD-WEN-36-in-x-36-in-V-2500-Series-Bronze-FiniShield-Vinyl-Fixed-Picture-Window-with-Colonial-Grids-Grilles-THDJW141600076/205797915</t>
  </si>
  <si>
    <t>3636OC69LIGBK</t>
  </si>
  <si>
    <t>https://www.homedepot.com/p/FrontLine-36-in-x-36-in-Octagon-Black-6-9-16-in-Jamb-9-Lite-Grille-Geometric-Aluminum-Clad-Wood-Window-3636OC69LIGBK/304025822</t>
  </si>
  <si>
    <t>THDJW141600048</t>
  </si>
  <si>
    <t>https://www.homedepot.com/p/JELD-WEN-24-in-x-24-in-V-2500-Series-Bronze-FiniShield-Vinyl-Fixed-Picture-Window-with-Colonial-Grids-Grilles-THDJW141600048/205797908</t>
  </si>
  <si>
    <t>THDJW141600068</t>
  </si>
  <si>
    <t>https://www.homedepot.com/p/JELD-WEN-36-in-x-24-in-V-2500-Series-Bronze-FiniShield-Vinyl-Fixed-Picture-Window-with-Colonial-Grids-Grilles-THDJW141600068/205797913</t>
  </si>
  <si>
    <t>GIA - B</t>
  </si>
  <si>
    <t>https://www.homedepot.com/p/TAFCO-WINDOWS-19-5-in-x-28-25-in-White-Oval-Geometric-Vinyl-Window-in-Brass-Design-GIA-B/303880142</t>
  </si>
  <si>
    <t>https://www.homedepot.com/p/JELD-WEN-47-5-in-x-35-5-in-V-2500-Series-Desert-Sand-Vinyl-Fixed-Picture-Window-with-Colonial-Grids-Grilles-THDJW141600042/205797895</t>
  </si>
  <si>
    <t>THDJW141600016</t>
  </si>
  <si>
    <t>https://www.homedepot.com/p/JELD-WEN-29-5-in-x-29-5-in-V-2500-Series-White-Vinyl-Fixed-Picture-Window-with-Colonial-Grids-Grilles-THDJW141600016/205797900</t>
  </si>
  <si>
    <t>THDJW141600026</t>
  </si>
  <si>
    <t>https://www.homedepot.com/p/JELD-WEN-35-5-in-x-23-5-in-V-2500-Series-Desert-Sand-Vinyl-Fixed-Picture-Window-with-Colonial-Grids-Grilles-THDJW141600026/205797891</t>
  </si>
  <si>
    <t>THDJW141600004</t>
  </si>
  <si>
    <t>https://www.homedepot.com/p/JELD-WEN-23-5-in-x-23-5-in-V-2500-Series-White-Vinyl-Fixed-Picture-Window-with-Colonial-Grids-Grilles-THDJW141600004/205797897</t>
  </si>
  <si>
    <t>9PW4747WHV1500G</t>
  </si>
  <si>
    <t>https://www.homedepot.com/p/Hy-Lite-47-in-x-47-in-Acrylic-Block-Fixed-Vinyl-Window-in-White-9PW4747WHV1500G/202338961</t>
  </si>
  <si>
    <t>DC2727CRFTPRSTLWHCRFTBLLH</t>
  </si>
  <si>
    <t>Insulated Glass, Patterned Glass, Privacy Glass, Tempered Glass</t>
  </si>
  <si>
    <t>https://www.homedepot.com/p/Hy-Lite-27-25-in-x-27-25-in-Craftsman-Left-Handed-Triple-Pane-Casement-Vinyl-Window-White-Interior-and-Extrior-DC2727CRFTPRSTLWHCRFTBLLH/317227963</t>
  </si>
  <si>
    <t>9PW4747TNV1500W</t>
  </si>
  <si>
    <t>https://www.homedepot.com/p/Hy-Lite-47-in-x-47-in-Acrylic-Block-Fixed-Vinyl-Window-in-Tan-9PW4747TNV1500W/202338965</t>
  </si>
  <si>
    <t>THDJW141600018</t>
  </si>
  <si>
    <t>https://www.homedepot.com/p/JELD-WEN-29-5-in-x-29-5-in-V-2500-Series-Desert-Sand-Vinyl-Fixed-Picture-Window-with-Colonial-Grids-Grilles-THDJW141600018/205797889</t>
  </si>
  <si>
    <t>CrystaLok</t>
  </si>
  <si>
    <t>CL4848SICWH</t>
  </si>
  <si>
    <t>https://www.homedepot.com/p/CrystaLok-46-75-in-x-46-75-in-x-3-25-in-Ice-Pattern-Vinyl-Framed-Glass-Block-Window-with-White-Colored-Vinyl-Nailing-Fin-CL4848SICWH/300504255</t>
  </si>
  <si>
    <t>CL4848SDCWH</t>
  </si>
  <si>
    <t>https://www.homedepot.com/p/CrystaLok-46-75-in-x-46-75-in-x-3-25-in-Wave-Pattern-Vinyl-Framed-Glass-Block-Window-with-White-Colored-Vinyl-Nailing-Fin-CL4848SDCWH/203608917</t>
  </si>
  <si>
    <t>THDJW141600006</t>
  </si>
  <si>
    <t>https://www.homedepot.com/p/JELD-WEN-23-5-in-x-23-5-in-V-2500-Series-Desert-Sand-Vinyl-Fixed-Picture-Window-with-Colonial-Grids-Grilles-THDJW141600006/205797886</t>
  </si>
  <si>
    <t>THDJW142100285</t>
  </si>
  <si>
    <t>https://www.homedepot.com/p/JELD-WEN-48-in-x-48-in-V-4500-Series-Black-FiniShield-Vinyl-Fixed-Picture-Window-with-Colonial-Grids-Grilles-THDJW142100285/205807149</t>
  </si>
  <si>
    <t>THDJW141900044</t>
  </si>
  <si>
    <t>https://www.homedepot.com/p/JELD-WEN-36-in-x-36-in-V-4500-Series-Black-FiniShield-Vinyl-Fixed-Octagon-Geometric-Window-with-Colonial-Grids-Grilles-THDJW141900044/205805346</t>
  </si>
  <si>
    <t>THDJW142100253</t>
  </si>
  <si>
    <t>https://www.homedepot.com/p/JELD-WEN-36-in-x-48-in-V-4500-Series-Black-FiniShield-Vinyl-Fixed-Picture-Window-with-Colonial-Grids-Grilles-THDJW142100253/205807147</t>
  </si>
  <si>
    <t>CROSS-P-O</t>
  </si>
  <si>
    <t>https://www.homedepot.com/p/TAFCO-WINDOWS-24-5-in-x-24-5-in-Obscure-Glass-Round-Picture-Vinyl-Window-with-Platinum-Cross-Design-White-CROSS-P-O/203426838</t>
  </si>
  <si>
    <t>9PW4747WHV1500W</t>
  </si>
  <si>
    <t>https://www.homedepot.com/p/Hy-Lite-47-in-x-47-in-Acrylic-Block-Fixed-Vinyl-Window-in-White-9PW4747WHV1500W/202338958</t>
  </si>
  <si>
    <t>DA2727CRFTWHBL</t>
  </si>
  <si>
    <t>https://www.homedepot.com/p/Hy-Lite-27-25-in-x-27-25-in-Decorative-Glass-Craftsman-Black-Caming-White-Awning-Vinyl-Window-DA2727CRFTWHBL/317227954</t>
  </si>
  <si>
    <t>THDJW142100107</t>
  </si>
  <si>
    <t>https://www.homedepot.com/p/JELD-WEN-47-5-in-x-47-5-in-V-4500-Series-White-Vinyl-Fixed-Picture-Window-with-Colonial-Grids-Grilles-THDJW142100107/205807238</t>
  </si>
  <si>
    <t>THDJW142100269</t>
  </si>
  <si>
    <t>https://www.homedepot.com/p/JELD-WEN-48-in-x-36-in-V-4500-Series-Black-FiniShield-Vinyl-Fixed-Picture-Window-with-Colonial-Grids-Grilles-THDJW142100269/205807148</t>
  </si>
  <si>
    <t>THDJW141900006</t>
  </si>
  <si>
    <t>https://www.homedepot.com/p/JELD-WEN-35-5-in-x-35-5-in-V-4500-Series-White-Vinyl-Fixed-Octagon-Geometric-Window-with-Colonial-Grids-Grilles-THDJW141900006/205805370</t>
  </si>
  <si>
    <t>THDJW141900028</t>
  </si>
  <si>
    <t>https://www.homedepot.com/p/JELD-WEN-24-in-x-24-in-V-4500-Series-Black-FiniShield-Vinyl-Fixed-Octagon-Geometric-Window-with-Colonial-Grids-Grilles-THDJW141900028/205805345</t>
  </si>
  <si>
    <t>THDJW142100157</t>
  </si>
  <si>
    <t>https://www.homedepot.com/p/JELD-WEN-24-in-x-36-in-V-4500-Series-Black-FiniShield-Vinyl-Fixed-Picture-Window-with-Colonial-Grids-Grilles-THDJW142100157/205807141</t>
  </si>
  <si>
    <t>https://www.homedepot.com/p/FrontLine-24-in-x-24-in-Octagon-White-4-9-16-in-Jamb-9-Lite-Grille-Geometric-Aluminum-Clad-Wood-Window-2424OC49LIGWH/302462813</t>
  </si>
  <si>
    <t>THDJW142100079</t>
  </si>
  <si>
    <t>https://www.homedepot.com/p/JELD-WEN-29-5-in-x-29-5-in-V-4500-Series-White-Vinyl-Fixed-Picture-Window-with-Colonial-Grids-Grilles-THDJW142100079/205807231</t>
  </si>
  <si>
    <t>THDJW141900002</t>
  </si>
  <si>
    <t>https://www.homedepot.com/p/JELD-WEN-23-5-in-x-23-5-in-V-4500-Series-White-Vinyl-Fixed-Octagon-Geometric-Window-with-Colonial-Grids-Grilles-THDJW141900002/205805369</t>
  </si>
  <si>
    <t>DA2727CRFTTNBL</t>
  </si>
  <si>
    <t>https://www.homedepot.com/p/Hy-Lite-27-25-in-x-27-25-in-Decorative-Glass-Craftsman-Black-Caming-Tan-Awning-Vinyl-Window-DA2727CRFTTNBL/317227973</t>
  </si>
  <si>
    <t>THDJW142100075</t>
  </si>
  <si>
    <t>https://www.homedepot.com/p/JELD-WEN-23-5-in-x-35-5-in-V-4500-Series-White-Vinyl-Fixed-Picture-Window-with-Colonial-Grids-Grilles-THDJW142100075/205807230</t>
  </si>
  <si>
    <t>https://www.homedepot.com/p/FrontLine-24-in-x-24-in-Octagon-Black-6-9-16-in-Jamb-4-Lite-Grille-Geometric-Aluminum-Clad-Wood-Window-2424OC64LIGBK/303901689</t>
  </si>
  <si>
    <t>JW1417-00045</t>
  </si>
  <si>
    <t>https://www.homedepot.com/p/JELD-WEN-47-5-in-x-47-5-in-V-2500-Series-White-Vinyl-Fixed-Octagon-Geometric-Window-with-Colonial-Grids-Grilles-JW1417-00045/205800186</t>
  </si>
  <si>
    <t>JW1417-00037</t>
  </si>
  <si>
    <t>https://www.homedepot.com/p/JELD-WEN-35-5-in-x-35-5-in-V-2500-Series-White-Vinyl-Fixed-Octagon-Geometric-Window-with-Colonial-Grids-Grilles-JW1417-00037/205800185</t>
  </si>
  <si>
    <t>JW1417-00033</t>
  </si>
  <si>
    <t>https://www.homedepot.com/p/JELD-WEN-24-in-x-24-in-V-2500-Series-Bronze-FiniShield-Vinyl-Fixed-Octagon-Geometric-Window-with-Colonial-Grids-Grilles-JW1417-00033/205800175</t>
  </si>
  <si>
    <t>FIORE-P</t>
  </si>
  <si>
    <t>https://www.homedepot.com/p/TAFCO-WINDOWS-20-in-x-28-5-in-Oval-Decorative-Picture-Vinyl-Window-in-Platinum-Design-White-FIORE-P/203426836</t>
  </si>
  <si>
    <t>THDJW142100125</t>
  </si>
  <si>
    <t>https://www.homedepot.com/p/JELD-WEN-24-in-x-24-in-V-4500-Series-Black-FiniShield-Vinyl-Fixed-Picture-Window-with-Colonial-Grids-Grilles-THDJW142100125/205807139</t>
  </si>
  <si>
    <t>8PW4242WHV1500G</t>
  </si>
  <si>
    <t>https://www.homedepot.com/p/Hy-Lite-42-in-x-42-in-Acrylic-Block-Fixed-Vinyl-Window-in-White-8PW4242WHV1500G/202338901</t>
  </si>
  <si>
    <t>8PW4242WHV1500W</t>
  </si>
  <si>
    <t>https://www.homedepot.com/p/Hy-Lite-42-in-x-42-in-Acrylic-Block-Fixed-Vinyl-Window-in-White-8PW4242WHV1500W/202338896</t>
  </si>
  <si>
    <t>8PW4242TNV1500W</t>
  </si>
  <si>
    <t>https://www.homedepot.com/p/Hy-Lite-42-in-x-42-in-Acrylic-Block-Fixed-Vinyl-Window-in-Tan-8PW4242TNV1500W/202338905</t>
  </si>
  <si>
    <t>THDJW142100067</t>
  </si>
  <si>
    <t>https://www.homedepot.com/p/JELD-WEN-23-5-in-x-23-5-in-V-4500-Series-White-Vinyl-Fixed-Picture-Window-with-Colonial-Grids-Grilles-THDJW142100067/205807228</t>
  </si>
  <si>
    <t>JW1417-00029</t>
  </si>
  <si>
    <t>https://www.homedepot.com/p/JELD-WEN-23-5-in-x-23-5-in-V-2500-Series-White-Vinyl-Fixed-Octagon-Geometric-Window-with-Colonial-Grids-Grilles-JW1417-00029/205800184</t>
  </si>
  <si>
    <t>TONI-P</t>
  </si>
  <si>
    <t>https://www.homedepot.com/p/TAFCO-WINDOWS-20-in-x-28-75-in-Geometric-Vinyl-Window-White-TONI-P/202646746</t>
  </si>
  <si>
    <t>JW1417-00031</t>
  </si>
  <si>
    <t>https://www.homedepot.com/p/JELD-WEN-23-5-in-x-23-5-in-V-2500-Series-Desert-Sand-Vinyl-Fixed-Octagon-Geometric-Window-with-Colonial-Grids-Grilles-JW1417-00031/205800181</t>
  </si>
  <si>
    <t>THDJW138500213</t>
  </si>
  <si>
    <t>https://www.homedepot.com/p/JELD-WEN-60-in-x-60-in-V-2500-Series-Bronze-FiniShield-Vinyl-Right-Handed-Sliding-Window-with-Colonial-Grids-Grilles-THDJW138500213/205817803</t>
  </si>
  <si>
    <t>THDJW143800789</t>
  </si>
  <si>
    <t>https://www.homedepot.com/p/JELD-WEN-48-in-x-60-in-V-2500-Series-Bronze-FiniShield-Vinyl-Single-Hung-Window-with-Colonial-Grids-Grilles-THDJW143800789/205688277</t>
  </si>
  <si>
    <t>THDJW138500123</t>
  </si>
  <si>
    <t>https://www.homedepot.com/p/JELD-WEN-59-5-in-x-59-5-in-V-2500-Series-Desert-Sand-Vinyl-Left-Handed-Sliding-Window-with-Colonial-Grids-Grilles-THDJW138500123/205817798</t>
  </si>
  <si>
    <t>THDJW138500169</t>
  </si>
  <si>
    <t>https://www.homedepot.com/p/JELD-WEN-48-in-x-36-in-V-2500-Series-Bronze-FiniShield-Vinyl-Left-Handed-Sliding-Window-with-Colonial-Grids-Grilles-THDJW138500169/205817751</t>
  </si>
  <si>
    <t>THDJW138500125</t>
  </si>
  <si>
    <t>https://www.homedepot.com/p/JELD-WEN-59-5-in-x-59-5-in-V-2500-Series-White-Vinyl-Right-Handed-Sliding-Window-with-Colonial-Grids-Grilles-THDJW138500125/205817801</t>
  </si>
  <si>
    <t>THDJW143800725</t>
  </si>
  <si>
    <t>https://www.homedepot.com/p/JELD-WEN-24-in-x-48-in-V-2500-Series-Bronze-FiniShield-Vinyl-Single-Hung-Window-with-Colonial-Grids-Grilles-THDJW143800725/205688260</t>
  </si>
  <si>
    <t>THDJW138500161</t>
  </si>
  <si>
    <t>https://www.homedepot.com/p/JELD-WEN-36-in-x-48-in-V-2500-Series-Bronze-FiniShield-Vinyl-Left-Handed-Sliding-Window-with-Colonial-Grids-Grilles-THDJW138500161/205817767</t>
  </si>
  <si>
    <t>2424OC4CLIGWH</t>
  </si>
  <si>
    <t>https://www.homedepot.com/p/FrontLine-24-in-x-24-in-Octagon-White-4-9-16-in-Jamb-Geometric-Aluminum-Clad-Wood-Window-2424OC4CLIGWH/302462795</t>
  </si>
  <si>
    <t>THDJW143800749</t>
  </si>
  <si>
    <t>https://www.homedepot.com/p/JELD-WEN-36-in-x-48-in-V-2500-Series-Bronze-FiniShield-Vinyl-Single-Hung-Window-with-Colonial-Grids-Grilles-THDJW143800749/205688267</t>
  </si>
  <si>
    <t>THDJW143800707</t>
  </si>
  <si>
    <t>https://www.homedepot.com/p/JELD-WEN-47-5-in-x-47-5-in-V-2500-Series-Desert-Sand-Vinyl-Single-Hung-Window-with-Colonial-Grids-Grilles-THDJW143800707/205688255</t>
  </si>
  <si>
    <t>THDJW138500113</t>
  </si>
  <si>
    <t>https://www.homedepot.com/p/JELD-WEN-59-5-in-x-47-5-in-V-2500-Series-White-Vinyl-Left-Handed-Sliding-Window-with-Colonial-Grids-Grilles-THDJW138500113/205817782</t>
  </si>
  <si>
    <t>THDJW138500119</t>
  </si>
  <si>
    <t>https://www.homedepot.com/p/JELD-WEN-59-5-in-x-47-5-in-V-2500-Series-Desert-Sand-Vinyl-Right-Handed-Sliding-Window-with-Colonial-Grids-Grilles-THDJW138500119/205817785</t>
  </si>
  <si>
    <t>THDJW143800673</t>
  </si>
  <si>
    <t>https://www.homedepot.com/p/JELD-WEN-35-5-in-x-47-5-in-V-2500-Series-White-Vinyl-Single-Hung-Window-with-Colonial-Grids-Grilles-THDJW143800673/205688228</t>
  </si>
  <si>
    <t>THDJW138500083</t>
  </si>
  <si>
    <t>https://www.homedepot.com/p/JELD-WEN-47-5-in-x-35-5-in-V-2500-Series-Desert-Sand-Vinyl-Left-Handed-Sliding-Window-with-Colonial-Grids-Grilles-THDJW138500083/205817750</t>
  </si>
  <si>
    <t>THDJW143800651</t>
  </si>
  <si>
    <t>https://www.homedepot.com/p/JELD-WEN-23-5-in-x-47-5-in-V-2500-Series-Desert-Sand-Vinyl-Single-Hung-Window-with-Colonial-Grids-Grilles-THDJW143800651/205688241</t>
  </si>
  <si>
    <t>THDJW138500149</t>
  </si>
  <si>
    <t>https://www.homedepot.com/p/JELD-WEN-36-in-x-24-in-V-2500-Series-Bronze-FiniShield-Vinyl-Right-Handed-Sliding-Window-with-Colonial-Grids-Grilles-THDJW138500149/205817731</t>
  </si>
  <si>
    <t>THDJW138500061</t>
  </si>
  <si>
    <t>https://www.homedepot.com/p/JELD-WEN-35-5-in-x-23-5-in-V-2500-Series-White-Vinyl-Right-Handed-Sliding-Window-with-Colonial-Grids-Grilles-THDJW138500061/205817729</t>
  </si>
  <si>
    <t>THDJW138500063</t>
  </si>
  <si>
    <t>https://www.homedepot.com/p/JELD-WEN-35-5-in-x-23-5-in-V-2500-Series-Desert-Sand-Vinyl-Right-Handed-Sliding-Window-with-Colonial-Grids-Grilles-THDJW138500063/205817730</t>
  </si>
  <si>
    <t>THDJW143300110</t>
  </si>
  <si>
    <t>https://www.homedepot.com/p/JELD-WEN-48-in-x-20-in-W-2500-Series-Black-Painted-Clad-Wood-Awning-Window-w-Natural-Interior-and-Screen-THDJW143300110/206454580</t>
  </si>
  <si>
    <t>THDJW140400316</t>
  </si>
  <si>
    <t>https://www.homedepot.com/p/JELD-WEN-60-in-x-60-in-V-4500-Series-Black-FiniShield-Vinyl-Left-Handed-Sliding-Window-with-Colonial-Grids-Grilles-THDJW140400316/205818197</t>
  </si>
  <si>
    <t>THDJW140400188</t>
  </si>
  <si>
    <t>https://www.homedepot.com/p/JELD-WEN-48-in-x-48-in-V-4500-Series-Black-FiniShield-Vinyl-Left-Handed-Sliding-Window-with-Colonial-Grids-Grilles-THDJW140400188/205818069</t>
  </si>
  <si>
    <t>THDJW140400138</t>
  </si>
  <si>
    <t>https://www.homedepot.com/p/JELD-WEN-59-5-in-x-59-5-in-V-4500-Series-White-Vinyl-Right-Handed-Sliding-Window-with-Colonial-Grids-Grilles-THDJW140400138/205818149</t>
  </si>
  <si>
    <t>THDJW140400204</t>
  </si>
  <si>
    <t>https://www.homedepot.com/p/JELD-WEN-48-in-x-48-in-V-4500-Series-Black-FiniShield-Vinyl-Right-Handed-Sliding-Window-with-Colonial-Grids-Grilles-THDJW140400204/205818077</t>
  </si>
  <si>
    <t>THDJW143900701</t>
  </si>
  <si>
    <t>https://www.homedepot.com/p/JELD-WEN-42-in-x-42-in-V-4500-Series-Black-FiniShield-Single-Hung-Vinyl-Window-with-8-Lite-Colonial-Grids-Grilles-THDJW143900701/304848635</t>
  </si>
  <si>
    <t>THDJW140400156</t>
  </si>
  <si>
    <t>https://www.homedepot.com/p/JELD-WEN-48-in-x-36-in-V-4500-Series-Black-FiniShield-Vinyl-Left-Handed-Sliding-Window-with-Colonial-Grids-Grilles-THDJW140400156/205817992</t>
  </si>
  <si>
    <t>THDJW140400130</t>
  </si>
  <si>
    <t>https://www.homedepot.com/p/JELD-WEN-59-5-in-x-47-5-in-V-4500-Series-White-Vinyl-Right-Handed-Sliding-Window-with-Colonial-Grids-Grilles-THDJW140400130/205818060</t>
  </si>
  <si>
    <t>THDJW140400126</t>
  </si>
  <si>
    <t>https://www.homedepot.com/p/JELD-WEN-59-5-in-x-47-5-in-V-4500-Series-White-Vinyl-Left-Handed-Sliding-Window-with-Colonial-Grids-Grilles-THDJW140400126/205818058</t>
  </si>
  <si>
    <t>8PW3434WHV1500G</t>
  </si>
  <si>
    <t>https://www.homedepot.com/p/Hy-Lite-34-in-x-34-in-Acrylic-Block-Fixed-Vinyl-Window-in-White-8PW3434WHV1500G/202326007</t>
  </si>
  <si>
    <t>THDJW143900491</t>
  </si>
  <si>
    <t>https://www.homedepot.com/p/JELD-WEN-48-in-x-36-in-V-4500-Series-White-Single-Hung-Vinyl-Window-with-8-Lite-Colonial-Grids-Grilles-THDJW143900491/304848420</t>
  </si>
  <si>
    <t>THDJW143900557</t>
  </si>
  <si>
    <t>https://www.homedepot.com/p/JELD-WEN-24-in-x-48-in-V-4500-Series-Black-FiniShield-Single-Hung-Vinyl-Window-with-4-Lite-Colonial-Grids-Grilles-THDJW143900557/304848488</t>
  </si>
  <si>
    <t>THDJW140400120</t>
  </si>
  <si>
    <t>https://www.homedepot.com/p/JELD-WEN-59-5-in-x-35-5-in-V-4500-Series-Desert-Sand-Vinyl-Left-Handed-Sliding-Window-with-Colonial-Grids-Grilles-THDJW140400120/205817982</t>
  </si>
  <si>
    <t>THDJW140400122</t>
  </si>
  <si>
    <t>https://www.homedepot.com/p/JELD-WEN-59-5-in-x-35-5-in-V-4500-Series-White-Vinyl-Right-Handed-Sliding-Window-with-Colonial-Grids-Grilles-THDJW140400122/205817983</t>
  </si>
  <si>
    <t>8PW3434TNV1500G</t>
  </si>
  <si>
    <t>https://www.homedepot.com/p/Hy-Lite-34-in-x-34-in-Acrylic-Block-Fixed-Vinyl-Window-in-Tan-8PW3434TNV1500G/202338867</t>
  </si>
  <si>
    <t>THDJW140400096</t>
  </si>
  <si>
    <t>https://www.homedepot.com/p/JELD-WEN-47-5-in-x-35-5-in-V-4500-Series-Desert-Sand-Vinyl-Left-Handed-Sliding-Window-with-Colonial-Grids-Grilles-THDJW140400096/205817978</t>
  </si>
  <si>
    <t>THDJW140400098</t>
  </si>
  <si>
    <t>https://www.homedepot.com/p/JELD-WEN-47-5-in-x-35-5-in-V-4500-Series-White-Vinyl-Right-Handed-Sliding-Window-with-Colonial-Grids-Grilles-THDJW140400098/205817979</t>
  </si>
  <si>
    <t>THDJW140400348</t>
  </si>
  <si>
    <t>https://www.homedepot.com/p/JELD-WEN-36-in-x-24-in-V-4500-Series-Black-FiniShield-Vinyl-Left-Handed-Sliding-Window-with-Colonial-Grids-Grilles-THDJW140400348/205817941</t>
  </si>
  <si>
    <t>THDJW140400078</t>
  </si>
  <si>
    <t>https://www.homedepot.com/p/JELD-WEN-35-5-in-x-35-5-in-V-4500-Series-White-Vinyl-Left-Handed-Sliding-Window-with-Colonial-Grids-Grilles-THDJW140400078/205817973</t>
  </si>
  <si>
    <t>THDJW143900439</t>
  </si>
  <si>
    <t>https://www.homedepot.com/p/JELD-WEN-24-in-x-42-in-V-4500-Series-White-Single-Hung-Vinyl-Window-with-4-Lite-Colonial-Grids-Grilles-THDJW143900439/304848368</t>
  </si>
  <si>
    <t>THDJW140400070</t>
  </si>
  <si>
    <t>https://www.homedepot.com/p/JELD-WEN-35-5-in-x-23-5-in-V-4500-Series-White-Vinyl-Left-Handed-Sliding-Window-with-Colonial-Grids-Grilles-THDJW140400070/205817932</t>
  </si>
  <si>
    <t>Clearly Secure</t>
  </si>
  <si>
    <t>3232VBZ</t>
  </si>
  <si>
    <t>Privacy Glass, Tinted Glass</t>
  </si>
  <si>
    <t>https://www.homedepot.com/p/Clearly-Secure-31-in-x-31-in-x-3-125-in-Frameless-Wave-Pattern-Vented-Bronze-Glass-Block-Window-3232VBZ/206851140</t>
  </si>
  <si>
    <t>THDJW140400058</t>
  </si>
  <si>
    <t>https://www.homedepot.com/p/JELD-WEN-23-5-in-x-23-5-in-V-4500-Series-White-Vinyl-Right-Handed-Sliding-Window-with-Colonial-Grids-Grilles-THDJW140400058/205817928</t>
  </si>
  <si>
    <t>THDJW177200504</t>
  </si>
  <si>
    <t>https://www.homedepot.com/p/JELD-WEN-33-375-in-x-48-in-W-2500-Series-Black-Painted-Clad-Wood-Double-Hung-Window-w-Natural-Interior-and-Screen-THDJW177200504/300702228</t>
  </si>
  <si>
    <t>3224VFR</t>
  </si>
  <si>
    <t>https://www.homedepot.com/p/Clearly-Secure-31-in-x-23-25-in-x-3-125-in-Frameless-Vented-Frosted-Glass-Block-Window-3224VFR/206851182</t>
  </si>
  <si>
    <t>THDJW177200516</t>
  </si>
  <si>
    <t>https://www.homedepot.com/p/JELD-WEN-37-375-in-x-36-in-W-2500-Series-Bronze-Painted-Clad-Wood-Double-Hung-Window-w-Natural-Interior-and-Screen-THDJW177200516/300702261</t>
  </si>
  <si>
    <t>THDJW177200493</t>
  </si>
  <si>
    <t>https://www.homedepot.com/p/JELD-WEN-33-375-in-x-36-in-W-2500-Series-White-Painted-Clad-Wood-Double-Hung-Window-w-Natural-Interior-and-Screen-THDJW177200493/300702246</t>
  </si>
  <si>
    <t>THDJW143300183</t>
  </si>
  <si>
    <t>https://www.homedepot.com/p/JELD-WEN-48-in-x-30-in-W-2500-Series-White-Painted-Clad-Wood-Awning-Window-w-Natural-Interior-and-Screen-THDJW143300183/300528074</t>
  </si>
  <si>
    <t>4032SDP</t>
  </si>
  <si>
    <t>https://www.homedepot.com/p/Clearly-Secure-38-75-in-x-31-in-x-3-125-in-Frameless-Diamond-Pattern-Non-Vented-Glass-Block-Window-4032SDP/207175667</t>
  </si>
  <si>
    <t>THDJW143300152</t>
  </si>
  <si>
    <t>https://www.homedepot.com/p/JELD-WEN-36-in-x-24-in-W-2500-Series-Black-Painted-Clad-Wood-Awning-Window-w-Natural-Interior-and-Screen-THDJW143300152/300527973</t>
  </si>
  <si>
    <t>DA2727SPFLTNNK</t>
  </si>
  <si>
    <t>https://www.homedepot.com/p/Hy-Lite-27-25-in-x-27-25-in-Decorative-Glass-Series-Spring-Flower-Nickel-Caming-Tan-Awning-Vinyl-Window-DA2727SPFLTNNK/317227989</t>
  </si>
  <si>
    <t>2448SDC</t>
  </si>
  <si>
    <t>https://www.homedepot.com/p/Clearly-Secure-23-25-in-x-46-5-in-x-3-125-in-Frameless-Wave-Pattern-Non-Vented-Glass-Block-Window-2448SDC/206415808</t>
  </si>
  <si>
    <t>3222SBZDV</t>
  </si>
  <si>
    <t>https://www.homedepot.com/p/Clearly-Secure-31-in-x-21-25-in-x-3-125-in-Frameless-Wave-Pattern-Bronze-Glass-Block-Window-with-Dryer-Vent-3222SBZDV/206851145</t>
  </si>
  <si>
    <t>THDJW143300169</t>
  </si>
  <si>
    <t>https://www.homedepot.com/p/JELD-WEN-48-in-x-20-in-W-2500-Series-White-Painted-Clad-Wood-Awning-Window-w-Natural-Interior-and-Screen-THDJW143300169/300528009</t>
  </si>
  <si>
    <t>THDJW143300134</t>
  </si>
  <si>
    <t>https://www.homedepot.com/p/JELD-WEN-24-in-x-24-in-W-2500-Series-White-Painted-Clad-Wood-Awning-Window-w-Natural-Interior-and-Screen-THDJW143300134/300527969</t>
  </si>
  <si>
    <t>3232SCL</t>
  </si>
  <si>
    <t>https://www.homedepot.com/p/Clearly-Secure-31-in-x-31-in-x-3-125-in-Frameless-Non-Vented-Clear-Glass-Block-Window-3232SCL/206851154</t>
  </si>
  <si>
    <t>FIORE-B</t>
  </si>
  <si>
    <t>https://www.homedepot.com/p/TAFCO-WINDOWS-20-in-x-28-5-in-Oval-Decorative-Picture-Vinyl-Window-in-Gold-Design-White-FIORE-B/203426837</t>
  </si>
  <si>
    <t>3216SFR</t>
  </si>
  <si>
    <t>https://www.homedepot.com/p/Clearly-Secure-31-in-x-15-5-in-x-3-125-in-Frameless-Frosted-Pattern-Non-Vented-Glass-Block-Window-3216SFR/206851170</t>
  </si>
  <si>
    <t>3222VCL</t>
  </si>
  <si>
    <t>https://www.homedepot.com/p/Clearly-Secure-31-in-x-21-25-in-x-3-125-in-Frameless-Vented-Clear-Glass-Block-Window-3222VCL/206851159</t>
  </si>
  <si>
    <t>THDJW143300131</t>
  </si>
  <si>
    <t>https://www.homedepot.com/p/JELD-WEN-24-in-x-20-in-W-2500-Series-Black-Painted-Clad-Wood-Awning-Window-w-Natural-Interior-and-Screen-THDJW143300131/300527891</t>
  </si>
  <si>
    <t>3218SCLDV</t>
  </si>
  <si>
    <t>https://www.homedepot.com/p/Clearly-Secure-31-in-x-17-25-in-x-3-125-in-Frameless-Clear-Glass-Block-Window-with-Dryer-Vent-3218SCLDV/206851164</t>
  </si>
  <si>
    <t>3214SFRDV</t>
  </si>
  <si>
    <t>https://www.homedepot.com/p/Clearly-Secure-31-in-x-13-5-in-x-3-125-in-Frameless-Frosted-Glass-Block-Window-with-Dryer-Vent-3214SFRDV/206851184</t>
  </si>
  <si>
    <t>THDJW140000333</t>
  </si>
  <si>
    <t>https://www.homedepot.com/p/JELD-WEN-48-in-x-24-in-V-4500-Series-Black-FiniShield-Vinyl-Awning-Window-with-Fiberglass-Mesh-Screen-THDJW140000333/205720312</t>
  </si>
  <si>
    <t>THDJW140000450</t>
  </si>
  <si>
    <t>https://www.homedepot.com/p/JELD-WEN-47-5-in-x-35-5-in-V-4500-Series-Desert-Sand-Vinyl-Awning-Window-with-Fiberglass-Mesh-Screen-THDJW140000450/205720345</t>
  </si>
  <si>
    <t>THDJW140000218</t>
  </si>
  <si>
    <t>https://www.homedepot.com/p/JELD-WEN-35-5-in-x-47-5-in-V-4500-Series-White-Vinyl-Right-Handed-Casement-Window-with-Fiberglass-Mesh-Screen-THDJW140000218/205720109</t>
  </si>
  <si>
    <t>1834SDPDV</t>
  </si>
  <si>
    <t>https://www.homedepot.com/p/Clearly-Secure-17-25-in-x-32-75-in-x-3-125-in-Frameless-Diamond-Pattern-Glass-Block-Window-with-Dryer-Vent-1834SDPDV/302619717</t>
  </si>
  <si>
    <t>3214VDCDV</t>
  </si>
  <si>
    <t>https://www.homedepot.com/p/Clearly-Secure-31-in-x-13-5-in-x-3-125-in-Frameless-Wave-Pattern-Vented-Glass-Block-Window-with-Dryer-Vent-3214VDCDV/311558829</t>
  </si>
  <si>
    <t>TGN-P</t>
  </si>
  <si>
    <t>https://www.homedepot.com/p/TAFCO-WINDOWS-20-in-x-28-5-in-Oval-Geometric-Vinyl-Window-White-TGN-P/203259546</t>
  </si>
  <si>
    <t>THDJW140000363</t>
  </si>
  <si>
    <t>https://www.homedepot.com/p/JELD-WEN-29-5-in-x-29-5-in-V-4500-Series-Desert-Sand-Vinyl-Left-Handed-Casement-Window-with-Fiberglass-Mesh-Screen-THDJW140000363/205720002</t>
  </si>
  <si>
    <t>THDJW143200112</t>
  </si>
  <si>
    <t>https://www.homedepot.com/p/JELD-WEN-35-5-in-x-47-5-in-V-4500-Series-White-Vinyl-Left-Handed-Casement-Window-with-Colonial-Grids-Grilles-THDJW143200112/205720284</t>
  </si>
  <si>
    <t>VA3216</t>
  </si>
  <si>
    <t>https://www.homedepot.com/p/TAFCO-WINDOWS-32-in-x-16-in-Awning-Vinyl-Insulated-Window-with-Screen-White-VA3216/203164721</t>
  </si>
  <si>
    <t>VRH4621-I</t>
  </si>
  <si>
    <t>https://www.homedepot.com/p/TAFCO-WINDOWS-46-25-in-x-21-in-Large-Hopper-Ranch-Vinyl-Window-White-VRH4621-I/203259548</t>
  </si>
  <si>
    <t>3214VW</t>
  </si>
  <si>
    <t>https://www.homedepot.com/p/Clearly-Secure-31-in-x-13-5-in-x-3-125-in-Frameless-Wave-Pattern-Vented-Glass-Block-Window-3214VW/305051132</t>
  </si>
  <si>
    <t>3214SBZ</t>
  </si>
  <si>
    <t>https://www.homedepot.com/p/Clearly-Secure-31-in-x-13-5-in-x-3-125-in-Frameless-Wave-Pattern-Non-Vented-Bronze-Glass-Block-Window-3214SBZ/206851127</t>
  </si>
  <si>
    <t>THDJW143200227</t>
  </si>
  <si>
    <t>Energy Efficient Glass, Low-E Glass</t>
  </si>
  <si>
    <t>https://www.homedepot.com/p/JELD-WEN-36-in-x-60-in-V-4500-Series-Bronze-FiniShield-Vinyl-Right-Handed-Casement-Window-with-Colonial-Grids-Grilles-THDJW143200227/205720166</t>
  </si>
  <si>
    <t>THDJW140000205</t>
  </si>
  <si>
    <t>https://www.homedepot.com/p/JELD-WEN-29-5-in-x-29-5-in-V-4500-Series-Desert-Sand-Vinyl-Left-Handed-Casement-Window-with-Colonial-Grids-Grilles-THDJW140000205/205720189</t>
  </si>
  <si>
    <t>THDJW140000208</t>
  </si>
  <si>
    <t>https://www.homedepot.com/p/JELD-WEN-29-5-in-x-35-5-in-V-4500-Series-White-Vinyl-Left-Handed-Casement-Window-with-Colonial-Grids-Grilles-THDJW140000208/205720281</t>
  </si>
  <si>
    <t>3214VI</t>
  </si>
  <si>
    <t>https://www.homedepot.com/p/Clearly-Secure-31-in-x-13-5-in-x-3-125-in-Frameless-Ice-Pattern-Vented-Glass-Block-Window-3214VI/305051217</t>
  </si>
  <si>
    <t>3222SICDV</t>
  </si>
  <si>
    <t>https://www.homedepot.com/p/Clearly-Secure-31-in-x-21-25-in-x-3-125-in-Frameless-Ice-Pattern-Glass-Block-Window-with-Dryer-Vent-3222SICDV/206614987</t>
  </si>
  <si>
    <t>THDJW140000198</t>
  </si>
  <si>
    <t>https://www.homedepot.com/p/JELD-WEN-23-5-in-x-29-5-in-V-4500-Series-White-Vinyl-Left-Handed-Casement-Window-with-Colonial-Grids-Grilles-THDJW140000198/205720278</t>
  </si>
  <si>
    <t>THDJW140000349</t>
  </si>
  <si>
    <t>https://www.homedepot.com/p/JELD-WEN-35-5-in-x-59-5-in-V-4500-Series-Desert-Sand-Painted-Vinyl-Left-Handed-Casement-Window-with-Colonial-Grids-Grilles-THDJW140000349/205720194</t>
  </si>
  <si>
    <t>3214SW</t>
  </si>
  <si>
    <t>https://www.homedepot.com/p/Clearly-Secure-31-in-x-13-5-in-x-3-125-in-Frameless-Wave-Pattern-Non-Vented-Glass-Block-Window-3214SW/305051321</t>
  </si>
  <si>
    <t>THDJW143200253</t>
  </si>
  <si>
    <t>https://www.homedepot.com/p/JELD-WEN-36-in-x-36-in-V-4500-Series-Black-FiniShield-Vinyl-Awning-Window-with-Colonial-Grids-Grilles-THDJW143200253/205720418</t>
  </si>
  <si>
    <t>THDJW140000311</t>
  </si>
  <si>
    <t>https://www.homedepot.com/p/JELD-WEN-47-5-in-x-23-5-in-V-4500-Series-White-Vinyl-Awning-Window-with-Colonial-Grids-Grilles-THDJW140000311/205720509</t>
  </si>
  <si>
    <t>THDJW140000481</t>
  </si>
  <si>
    <t>https://www.homedepot.com/p/JELD-WEN-24-in-x-24-in-V-4500-Series-Black-FiniShield-Vinyl-Awning-Window-with-Colonial-Grids-Grilles-THDJW140000481/205720412</t>
  </si>
  <si>
    <t>PV-HOP 32x24</t>
  </si>
  <si>
    <t>https://www.homedepot.com/p/TAFCO-WINDOWS-31-75-in-x-23-75-in-Hopper-Vinyl-Window-with-Screen-PV-HOP-32x24/202207819</t>
  </si>
  <si>
    <t>3214SDCDV</t>
  </si>
  <si>
    <t>https://www.homedepot.com/p/Clearly-Secure-31-in-x-13-5-in-x-3-125-in-Frameless-Wave-Pattern-Glass-Block-Window-with-Dryer-Vent-3214SDCDV/206415855</t>
  </si>
  <si>
    <t>3212VDP</t>
  </si>
  <si>
    <t>https://www.homedepot.com/p/Clearly-Secure-31-in-x-11-5-in-x-3-125-in-Frameless-Vented-Diamond-Pattern-Glass-Block-Window-3212VDP/206614956</t>
  </si>
  <si>
    <t>THDJW140000307</t>
  </si>
  <si>
    <t>https://www.homedepot.com/p/JELD-WEN-35-5-in-x-23-5-in-V-4500-Series-White-Vinyl-Awning-Window-with-Colonial-Grids-Grilles-THDJW140000307/205720506</t>
  </si>
  <si>
    <t>THDJW140000161</t>
  </si>
  <si>
    <t>https://www.homedepot.com/p/JELD-WEN-23-5-in-x-23-5-in-V-4500-Series-Desert-Sand-Vinyl-Left-Handed-Casement-Window-with-Colonial-Grids-Grilles-THDJW140000161/205720186</t>
  </si>
  <si>
    <t>3214VIC</t>
  </si>
  <si>
    <t>https://www.homedepot.com/p/Clearly-Secure-31-in-x-13-5-in-x-3-125-in-Frameless-Vented-Ice-Pattern-Glass-Block-Window-3214VIC/203608902</t>
  </si>
  <si>
    <t>PV-HOP32x22</t>
  </si>
  <si>
    <t>https://www.homedepot.com/p/TAFCO-WINDOWS-31-75-in-x-21-75-in-Hopper-Vinyl-Window-PV-HOP32x22/100671874</t>
  </si>
  <si>
    <t>THDJW140000310</t>
  </si>
  <si>
    <t>https://www.homedepot.com/p/JELD-WEN-47-5-in-x-23-5-in-V-4500-Series-Desert-Sand-Vinyl-Awning-Window-with-Colonial-Grids-Grilles-THDJW140000310/205720449</t>
  </si>
  <si>
    <t>GBW2424WS</t>
  </si>
  <si>
    <t>https://www.homedepot.com/p/TAFCO-WINDOWS-23-25-in-x-23-25-in-x-3-125-in-Wave-Pattern-Solid-Glass-Block-Masonry-Window-GBW2424WS/303670761</t>
  </si>
  <si>
    <t>3212VDC</t>
  </si>
  <si>
    <t>https://www.homedepot.com/p/Clearly-Secure-31-in-x-11-5-in-x-3-125-in-Frameless-Wave-Pattern-Vented-Glass-Block-Window-3212VDC/206005005</t>
  </si>
  <si>
    <t>THDJW140000199</t>
  </si>
  <si>
    <t>https://www.homedepot.com/p/JELD-WEN-23-5-in-x-29-5-in-V-4500-Series-Desert-Sand-Vinyl-Left-Handed-Casement-Window-with-Colonial-Grids-Grilles-THDJW140000199/205720187</t>
  </si>
  <si>
    <t>3214SI</t>
  </si>
  <si>
    <t>https://www.homedepot.com/p/Clearly-Secure-31-in-x-13-5-in-x-3-125-in-Frameless-Ice-Pattern-Non-Vented-Glass-Block-Window-3214SI/305051365</t>
  </si>
  <si>
    <t>PV-HOP32x18</t>
  </si>
  <si>
    <t>https://www.homedepot.com/p/TAFCO-WINDOWS-31-75-in-x-17-75-in-Hopper-Vinyl-Window-PV-HOP32x18/100671876</t>
  </si>
  <si>
    <t>PV-HOP32X14</t>
  </si>
  <si>
    <t>https://www.homedepot.com/p/TAFCO-WINDOWS-31-75-in-x-13-75-in-Hopper-Vinyl-Screen-Window-PV-HOP32X14/100671879</t>
  </si>
  <si>
    <t>THDJW140000185</t>
  </si>
  <si>
    <t>https://www.homedepot.com/p/JELD-WEN-23-5-in-x-23-5-in-V-4500-Series-White-Vinyl-Awning-Window-with-Colonial-Grids-Grilles-THDJW140000185/205720502</t>
  </si>
  <si>
    <t>THDJW140000306</t>
  </si>
  <si>
    <t>https://www.homedepot.com/p/JELD-WEN-35-5-in-x-23-5-in-V-4500-Series-Desert-Sand-Vinyl-Awning-Window-with-Colonial-Grids-Grilles-THDJW140000306/205720446</t>
  </si>
  <si>
    <t>PV-HOP 32x16</t>
  </si>
  <si>
    <t>https://www.homedepot.com/p/TAFCO-WINDOWS-31-75-in-x-15-75-in-Hopper-Vinyl-Window-with-Screen-PV-HOP-32x16/202207818</t>
  </si>
  <si>
    <t>THDJW140000184</t>
  </si>
  <si>
    <t>https://www.homedepot.com/p/JELD-WEN-23-5-in-x-23-5-in-V-4500-Series-Desert-Sand-Vinyl-Awning-Window-with-Colonial-Grids-Grilles-THDJW140000184/205720442</t>
  </si>
  <si>
    <t>PVC Window with fusion welded frame</t>
  </si>
  <si>
    <t>Area (ft2)</t>
  </si>
  <si>
    <t>Color</t>
  </si>
  <si>
    <t>Color Finish</t>
  </si>
  <si>
    <t>Finish</t>
  </si>
  <si>
    <t>Material $/SF</t>
  </si>
  <si>
    <t>White</t>
  </si>
  <si>
    <t>Painted</t>
  </si>
  <si>
    <t>Brown</t>
  </si>
  <si>
    <t>Black</t>
  </si>
  <si>
    <t>Beige</t>
  </si>
  <si>
    <t>Red</t>
  </si>
  <si>
    <t>Gray</t>
  </si>
  <si>
    <t>Blue</t>
  </si>
  <si>
    <t>Green</t>
  </si>
  <si>
    <t>Yellow</t>
  </si>
  <si>
    <t>Multi</t>
  </si>
  <si>
    <t>Primed</t>
  </si>
  <si>
    <t>GAF</t>
  </si>
  <si>
    <t>James Hardie</t>
  </si>
  <si>
    <t>Cement</t>
  </si>
  <si>
    <t>Light Mist</t>
  </si>
  <si>
    <t>ADORN</t>
  </si>
  <si>
    <t>2251000WG</t>
  </si>
  <si>
    <t>https://www.homedepot.com/p/GAF-Weatherside-Profile14-14-5-8-in-x-32-in-Fiber-Cement-Siding-Shingle-11-Bundle-2251000WG/202019844</t>
  </si>
  <si>
    <t>2221000WG</t>
  </si>
  <si>
    <t>https://www.homedepot.com/p/GAF-WeatherSide-Profile12-12-in-x-24-in-Fiber-Cement-Siding-Shingle-18-Bundle-2221000WG/202019843</t>
  </si>
  <si>
    <t>2213000WG</t>
  </si>
  <si>
    <t>https://www.homedepot.com/p/GAF-WeatherSide-Purity-Straight-12-in-x-24-in-Fiber-Cement-Siding-Shingle-18-Bundle-2213000WG/100039893</t>
  </si>
  <si>
    <t>https://www.homedepot.com/p/James-Hardie-Hardie-Panel-HZ10-5-16-in-x-48-in-x-96-in-Primed-Fiber-Cement-Sierra-8-Panel-Siding-9000523/100072921</t>
  </si>
  <si>
    <t>https://www.homedepot.com/p/James-Hardie-Hardie-Plank-HZ10-5-16-in-x-8-25-in-x-144-in-Primed-Fiber-Cement-Cedarmill-Lap-Siding-215572/100064049</t>
  </si>
  <si>
    <t>2214000WG</t>
  </si>
  <si>
    <t>https://www.homedepot.com/p/GAF-WeatherSide-Purity-Wavy-12-in-x-24-in-Fiber-Cement-Siding-Shingle-18-Bundle-2214000WG/100036936</t>
  </si>
  <si>
    <t>2271000WG</t>
  </si>
  <si>
    <t>https://www.homedepot.com/p/GAF-WeatherSide-Profile9-9-in-x-32-in-Fiber-Cement-Siding-Shingle-19-Bundle-2271000WG/202374188</t>
  </si>
  <si>
    <t>2215000WG</t>
  </si>
  <si>
    <t>https://www.homedepot.com/p/GAF-WeatherSide-Purity-Thatched-12-in-x-24-in-Fiber-Cement-Siding-Shingle-19-Bundle-2215000WG/202019845</t>
  </si>
  <si>
    <t>2261000WG</t>
  </si>
  <si>
    <t>https://www.homedepot.com/p/GAF-WeatherSide-Emphasis-14-5-8-in-x-25-5-32-in-Fiber-Cement-Siding-Shingle-11-Bundle-2261000WG/202019846</t>
  </si>
  <si>
    <t>https://www.homedepot.com/p/James-Hardie-Primed-Hardie-Plank-HZ10-9-25-in-x-144-in-Fiber-Cement-Cedarmill-Lap-Siding-9000631/319849206</t>
  </si>
  <si>
    <t>Charcoal</t>
  </si>
  <si>
    <t>Slate</t>
  </si>
  <si>
    <t>Finished</t>
  </si>
  <si>
    <t>Silvermine Stone</t>
  </si>
  <si>
    <t>MF-BL-SA-FL</t>
  </si>
  <si>
    <t>Marin Fog</t>
  </si>
  <si>
    <t>https://www.homedepot.com/p/Silvermine-Stone-Stone-Veneer-Ledgestone-Flat-Sample-No-Flashing-Marin-Fog-Ea-MF-BL-SA-FL/314173166</t>
  </si>
  <si>
    <t>Sand</t>
  </si>
  <si>
    <t>Unfinished</t>
  </si>
  <si>
    <t>Boral</t>
  </si>
  <si>
    <t>Koni Brick</t>
  </si>
  <si>
    <t>KBFT-214BLC</t>
  </si>
  <si>
    <t>https://www.homedepot.com/p/Koni-Brick-Old-Chicago-Blanc-8-20-in-x-2-50-in-Thin-Brick-10-76-sq-ft-Flats-Manufactured-Stone-Siding-KBFT-214BLC/207188986</t>
  </si>
  <si>
    <t>KBFT-252RSE</t>
  </si>
  <si>
    <t>https://www.homedepot.com/p/Koni-Brick-Old-Chicago-Rosse-8-20-in-x-2-50-in-Thin-Brick-10-76-sq-ft-Flats-Manufactured-Stone-Siding-KBFT-252RSE/300019806</t>
  </si>
  <si>
    <t>DS-BL-XX-FL</t>
  </si>
  <si>
    <t>Dakota Sunset</t>
  </si>
  <si>
    <t>https://www.homedepot.com/p/Silvermine-Stone-6-in-x-24-in-Stone-Veneer-Ledgestone-Flat-Panel-Dakota-Sunset-Box-of-8-DS-BL-XX-FL/314173140</t>
  </si>
  <si>
    <t>M-Rock</t>
  </si>
  <si>
    <t>meherrinrivflbx</t>
  </si>
  <si>
    <t>Meherrin</t>
  </si>
  <si>
    <t>https://www.homedepot.com/p/M-Rock-Traditional-6-in-x-6-in-Meherrin-River-Stone-Concrete-Stone-Veneer-8-sq-ft-bx-meherrinrivflbx/321084726</t>
  </si>
  <si>
    <t>MF-BL-XX-FL</t>
  </si>
  <si>
    <t>https://www.homedepot.com/p/Silvermine-Stone-6-in-x-24-in-Stone-Veneer-Ledgestone-Flat-Panel-Marin-Fog-Box-of-8-MF-BL-XX-FL/314173145</t>
  </si>
  <si>
    <t>MV-BL-XX-FL</t>
  </si>
  <si>
    <t>Monument Valley</t>
  </si>
  <si>
    <t>https://www.homedepot.com/p/Silvermine-Stone-6-in-x-24-in-Stone-Veneer-Ledgestone-Flat-Panel-Monument-Valley-Box-of-8-MV-BL-XX-FL/314173148</t>
  </si>
  <si>
    <t>KBFT-121PUB</t>
  </si>
  <si>
    <t>Beige with White Wash</t>
  </si>
  <si>
    <t>https://www.homedepot.com/p/Koni-Brick-Old-Chicago-Pueblo-Bonito-8-20-in-x-2-50-in-Thin-Brick-10-76-sq-ft-Flats-Manufactured-Stone-Siding-KBFT-121PUB/324198030</t>
  </si>
  <si>
    <t>Multi-Colored</t>
  </si>
  <si>
    <t>https://www.homedepot.com/p/Boral-8-in-x-36-in-Versetta-Stone-Tight-Cut-Flat-Plum-Creek-Siding-6-Bundles-4210625/205603424</t>
  </si>
  <si>
    <t>mrshawsvillecra</t>
  </si>
  <si>
    <t>Multiple colors/finishes</t>
  </si>
  <si>
    <t>https://www.homedepot.com/p/M-Rock-Traditional-1-5-in-to-4-in-x-5-in-to-9-in-Shawsville-Field-Stone-Concrete-Stone-Veneer-150-sq-ft-Crate-mrshawsvillecra/313368850</t>
  </si>
  <si>
    <t>KBFT-245CHAR</t>
  </si>
  <si>
    <t>https://www.homedepot.com/p/Koni-Brick-Old-Chicago-Charcoal-8-20-in-x-2-50-in-Thin-Brick-10-76-sq-ft-Flats-Manufactured-Stone-Siding-KBFT-245CHAR/207189015</t>
  </si>
  <si>
    <t>DC-BL-XX-FL</t>
  </si>
  <si>
    <t>Dover Cliff</t>
  </si>
  <si>
    <t>https://www.homedepot.com/p/Silvermine-Stone-6-in-x-24-in-Stone-Veneer-Ledgestone-Flat-Panel-Dover-Cliff-Box-of-8-DC-BL-XX-FL/314173139</t>
  </si>
  <si>
    <t>https://www.homedepot.com/p/Boral-8-in-x-36-in-Versetta-Stone-Siding-Tight-Cut-Flat-Sterling-6-Bundles-4210630/205603277</t>
  </si>
  <si>
    <t>KBFT-463VNN</t>
  </si>
  <si>
    <t>Purple</t>
  </si>
  <si>
    <t>https://www.homedepot.com/p/Koni-Brick-Old-Chicago-Vino-8-20-in-x-2-50-in-Thin-Brick-10-76-sq-ft-Flats-Manufactured-Stone-Siding-KBFT-463VNN/313940950</t>
  </si>
  <si>
    <t>mrshawsvillebx</t>
  </si>
  <si>
    <t>Gray Base with Black, Gray, Light Brown, Light Maroon, and Neutral Stone</t>
  </si>
  <si>
    <t>https://www.homedepot.com/p/M-Rock-Traditional-1-5-in-to-4-in-x-5-in-to-9-in-Shawsville-Field-Stone-Concrete-Stone-Veneer-8-sq-ft-bx-mrshawsvillebx/313353250</t>
  </si>
  <si>
    <t>KBFT-449CAFE</t>
  </si>
  <si>
    <t>https://www.homedepot.com/p/Koni-Brick-Old-Chicago-Cafe-8-20-in-x-2-50-in-Thin-Brick-10-76-sq-ft-Flats-Manufactured-Stone-Siding-KBFT-449CAFE/311860325</t>
  </si>
  <si>
    <t>EG-BL-XX-FL</t>
  </si>
  <si>
    <t>Evening Gray</t>
  </si>
  <si>
    <t>https://www.homedepot.com/p/Silvermine-Stone-6-in-x-24-in-Stone-Veneer-Ledgestone-Flat-Panel-Evening-Gray-Box-of-8-EG-BL-XX-FL/314173142</t>
  </si>
  <si>
    <t>mrhamptoncrate</t>
  </si>
  <si>
    <t>Gray Base with Blue, Gray, Black, Ochre, Brown and neutral</t>
  </si>
  <si>
    <t>https://www.homedepot.com/p/M-Rock-P-Series-5-in-x-20-in-Hampton-Ledge-Stone-Concrete-Stone-Veneer-100-sq-ft-Crate-mrhamptoncrate/313368694</t>
  </si>
  <si>
    <t>https://www.homedepot.com/p/Boral-8-in-x-36-in-Versetta-Stone-Flat-Ledgestone-Plum-Creek-Siding-6-Bundles-4210525/205603444</t>
  </si>
  <si>
    <t>KBFT-221GRY</t>
  </si>
  <si>
    <t>Grey</t>
  </si>
  <si>
    <t>https://www.homedepot.com/p/Koni-Brick-Old-Chicago-Grey-8-20-in-x-2-50-in-Thin-Brick-10-76-sq-ft-Flats-Manufactured-Stone-Siding-KBFT-221GRY/300019801</t>
  </si>
  <si>
    <t>KBFT-207BFF</t>
  </si>
  <si>
    <t>https://www.homedepot.com/p/Koni-Brick-Old-Chicago-Buff-8-20-in-x-2-50-in-Thin-Brick-10-76-sq-ft-Flats-Manufactured-Stone-Siding-KBFT-207BFF/207189003</t>
  </si>
  <si>
    <t>https://www.homedepot.com/p/Boral-8-in-x-36-in-Versetta-Stone-Corner-Ledgestone-Plum-Creek-Siding-6-Bundles-per-Case-4210580/205604566</t>
  </si>
  <si>
    <t>https://www.homedepot.com/p/Boral-8-in-x-36-in-Versetta-Stone-Ledgestone-Flat-Mission-Siding-6-Bundles-per-Box-4210524/206855023</t>
  </si>
  <si>
    <t>mrcopperhillcra</t>
  </si>
  <si>
    <t>Multiple colors/finsihes</t>
  </si>
  <si>
    <t>https://www.homedepot.com/p/M-Rock-P-Series-5-in-x-20-in-Copper-Hill-Ledge-Stone-Concrete-Stone-Veneer-100-sq-ft-Crate-mrcopperhillcra/313368464</t>
  </si>
  <si>
    <t>SFLAT</t>
  </si>
  <si>
    <t>https://www.homedepot.com/p/ADORN-Shadowledge-Slate-23-5-in-x-6-in-Stone-Veneer-Siding-Flats-SFLAT/311020776</t>
  </si>
  <si>
    <t>meherrinrivercr</t>
  </si>
  <si>
    <t>https://www.homedepot.com/p/M-Rock-Traditional-7-5-in-x-9-in-Meherrin-Concrete-River-Stone-Concrete-Stone-Veneer-150-sq-ft-Crate-meherrinrivercr/321086532</t>
  </si>
  <si>
    <t>https://www.homedepot.com/p/Boral-8-in-x-36-in-Versetta-Stone-Flat-Ledgestone-Sterling-Siding-6-Bundles-Per-Case-4210530/205604516</t>
  </si>
  <si>
    <t>mrgraysoncrate</t>
  </si>
  <si>
    <t>https://www.homedepot.com/p/M-Rock-P-Series-5-in-x-20-in-Grayson-Ledge-Stone-Concret-Stone-Veneer-100-sq-ft-Crate-mrgraysoncrate/313368615</t>
  </si>
  <si>
    <t>https://www.homedepot.com/p/Boral-8-in-x-36-in-Versetta-Stone-Tight-Cut-Flat-Terra-Rosa-Siding-6-Bundles-4210635/205603341</t>
  </si>
  <si>
    <t>mrshilohbx</t>
  </si>
  <si>
    <t>https://www.homedepot.com/p/M-Rock-Traditional-1-5-in-to-4-in-x-5-in-to-9-in-Shiloh-Ledge-Stone-Concrete-stone-Veneer-8-sq-ft-bx-mrshilohbx/313353245</t>
  </si>
  <si>
    <t>MIXTURE OF BEIGE AND WHITE</t>
  </si>
  <si>
    <t>https://www.homedepot.com/p/LiteStone-YUMA-PRIMARY-FLAT-STONE-3962/321299801</t>
  </si>
  <si>
    <t>mrgrayhillbx</t>
  </si>
  <si>
    <t>https://www.homedepot.com/p/M-Rock-Traditional-1-5-in-to-4-in-x-5-in-to-9-in-Gray-Hill-Field-Stone-Concrete-Stone-Veneer-8-sq-ft-bx-mrgrayhillbx/313353308</t>
  </si>
  <si>
    <t>montgomeryflatc</t>
  </si>
  <si>
    <t>Montgomery</t>
  </si>
  <si>
    <t>https://www.homedepot.com/p/M-Rock-P-Series-5-in-x-20-in-Montgomery-Ledge-Stone-Concrete-Stone-Veneer-100-sq-ft-Crate-montgomeryflatc/321086528</t>
  </si>
  <si>
    <t>ClipStone</t>
  </si>
  <si>
    <t>mrcopperhillbx</t>
  </si>
  <si>
    <t>Brown Base with Brown, black, ochre, chestnut, burgundy, and neutral</t>
  </si>
  <si>
    <t>https://www.homedepot.com/p/M-Rock-P-Series-5-in-x-20-in-Copper-Hill-Ledge-Stone-Concrete-Stone-Veneer-4-9-sq-ft-bx-mrcopperhillbx/313353336</t>
  </si>
  <si>
    <t>mrcloverdalecra</t>
  </si>
  <si>
    <t>https://www.homedepot.com/p/M-Rock-P-Series-5-in-x-20-in-Clover-Dale-Ledge-Stone-Concrete-Stone-Veneer-100-sq-ft-Crate-mrcloverdalecra/313368692</t>
  </si>
  <si>
    <t>https://www.homedepot.com/p/Boral-8-in-x-36-in-Versetta-Stone-Ledgestone-Corner-Mission-Siding-6-Bundles-Per-Box-4210559/206855025</t>
  </si>
  <si>
    <t>mrelkcreekcrate</t>
  </si>
  <si>
    <t>https://www.homedepot.com/p/M-Rock-P-Series-5-in-x-20-in-Elk-Creek-Ledge-Stone-Concrete-Stone-Veneer-100-sq-ft-Crate-mrelkcreekcrate/313368693</t>
  </si>
  <si>
    <t>mrgrayhillcra</t>
  </si>
  <si>
    <t>multiple colors/finshes</t>
  </si>
  <si>
    <t>https://www.homedepot.com/p/M-Rock-Traditional-1-5-in-to-4-in-x-5-in-to-9-in-Gray-Hill-Field-Stone-Concrete-Stone-Veneer-150-sq-ft-Crate-mrgrayhillcra/313368382</t>
  </si>
  <si>
    <t>https://www.homedepot.com/p/Boral-8-in-x-36-in-Versetta-Stone-Flat-Ledgestone-Terra-Rosa-Siding-6-Bundles-4210535/205604528</t>
  </si>
  <si>
    <t>https://www.homedepot.com/p/Boral-8-in-x-36-in-Versetta-Stone-Corner-Ledgestone-Sterling-Siding-6-Bundles-4210583/205603420</t>
  </si>
  <si>
    <t>nottowaycr</t>
  </si>
  <si>
    <t>https://www.homedepot.com/p/M-Rock-P-Series-5-in-x-20-in-Nottoway-Ledge-Stone-Concrete-Stone-Veneer-100-sq-ft-Crate-nottowaycr/326597646</t>
  </si>
  <si>
    <t>mrrapidanriverc</t>
  </si>
  <si>
    <t>Rapidan</t>
  </si>
  <si>
    <t>https://www.homedepot.com/p/M-Rock-Traditional-7-5-in-x-9-in-Rapidan-River-Stone-Concrete-Stone-Veneer-150-sq-ft-Crate-mrrapidanriverc/321086533</t>
  </si>
  <si>
    <t>mrgraysonbx</t>
  </si>
  <si>
    <t>https://www.homedepot.com/p/M-Rock-P-Series-5-in-x-20-in-Grayson-Ledge-Stone-Concrete-Stone-Veneer-4-9-sq-ft-bx-mrgraysonbx/313353225</t>
  </si>
  <si>
    <t>https://www.homedepot.com/p/Boral-8-in-x-36-in-Versetta-Stone-Tight-Cut-Flat-Mission-Siding-6-Bundles-per-Case-4210624/206855027</t>
  </si>
  <si>
    <t>Walnut</t>
  </si>
  <si>
    <t>mrcloverdalebx</t>
  </si>
  <si>
    <t>https://www.homedepot.com/p/M-Rock-P-Series-5-in-x-20-in-Clover-Dale-Ledge-Stone-Concrete-Stone-Veneer-4-9-sq-ft-bx-mrcloverdalebx/313353249</t>
  </si>
  <si>
    <t>WHITE WITH ORANGE HIGHLIGHTS</t>
  </si>
  <si>
    <t>https://www.homedepot.com/p/LiteStone-ARTIK-PRIMARY-FLAT-STONE-3960/321299803</t>
  </si>
  <si>
    <t>https://www.homedepot.com/p/Boral-8-in-x-36-in-Versetta-Stone-Tight-Cut-Corner-Terra-Rosa-Siding-6-Bundles-Per-Case-4210710/205603345</t>
  </si>
  <si>
    <t>https://www.homedepot.com/p/Boral-8-in-x-36-in-Versetta-Stone-Corner-Ledgestone-Terra-Rosa-Siding-6-Bundles-Per-Case-4210586/205603415</t>
  </si>
  <si>
    <t>mrelkcreekbx</t>
  </si>
  <si>
    <t>https://www.homedepot.com/p/M-Rock-P-Series-5-in-x-20-in-Elk-Creek-Ledge-Stone-Concrete-Stone-Veneer-4-9-sq-ft-bx-mrelkcreekbx/313353244</t>
  </si>
  <si>
    <t>Koni Stone</t>
  </si>
  <si>
    <t>KBWS-401MCHA</t>
  </si>
  <si>
    <t>Mocha</t>
  </si>
  <si>
    <t>https://www.homedepot.com/p/Koni-Stone-Woodstone-Mocha-35-50-in-x-8-in-Manufactured-Stone-Panel-Siding-8-40-sq-ft-Flats-KBWS-401MCHA/302617772</t>
  </si>
  <si>
    <t>MIXTURE OF GREY AND WHITE</t>
  </si>
  <si>
    <t>https://www.homedepot.com/p/LiteStone-SHADOW-GREY-PRIMARY-FLAT-STONE-3954/321299797</t>
  </si>
  <si>
    <t>mrshilohcrate</t>
  </si>
  <si>
    <t>Brown Base with brown, gray, black, tan, Maroon, and Neutral stone</t>
  </si>
  <si>
    <t>https://www.homedepot.com/p/M-Rock-Traditional-1-5-to-4-in-x-5-in-to-9-in-Shiloh-Ledge-Stone-Concrete-Stone-Veneer-150-sq-ft-Crate-mrshilohcrate/313368851</t>
  </si>
  <si>
    <t>BROWN, BEIGE AND GREY</t>
  </si>
  <si>
    <t>https://www.homedepot.com/p/LiteStone-HIMALAYA-PRIMARY-FLAT-STONE-3956/321299799</t>
  </si>
  <si>
    <t>mrhamptonbx</t>
  </si>
  <si>
    <t>https://www.homedepot.com/p/M-Rock-P-Series-5-in-x-20-in-Hampton-Ledge-Stone-Concrete-Stone-Veneer-4-9-sq-ft-bx-mrhamptonbx/313353246</t>
  </si>
  <si>
    <t>glenvarcr</t>
  </si>
  <si>
    <t>https://www.homedepot.com/p/M-Rock-Traditional-2-5-in-to-5-in-x-8-in-to-14-in-Glenvar-Dry-Stack-Stone-Concrete-Stone-Veneer-150-sq-ft-Crate-glenvarcr/326597703</t>
  </si>
  <si>
    <t>https://www.homedepot.com/p/Boral-8-in-x-36-in-Versetta-Stone-Tight-Cut-Corner-Mission-Siding-6-Bundles-Box-4210664/206855029</t>
  </si>
  <si>
    <t>montgomeryfltbx</t>
  </si>
  <si>
    <t>https://www.homedepot.com/p/M-Rock-P-Series-5-in-x-20-in-Montgomery-Ledge-Stone-Concrete-Stone-Veneer-4-9-sq-ft-bx-montgomeryfltbx/321084722</t>
  </si>
  <si>
    <t>mrhighlandbx</t>
  </si>
  <si>
    <t>https://www.homedepot.com/p/M-Rock-Traditional-1-5-in-to-4-in-x-5-in-to-9-in-Highland-Ledge-Stone-Concrete-stone-Veneer-8-sq-ft-bx-mrhighlandbx/313353345</t>
  </si>
  <si>
    <t>nottowayflatbx</t>
  </si>
  <si>
    <t>Nottoway</t>
  </si>
  <si>
    <t>https://www.homedepot.com/p/M-Rock-P-Series-5-in-x-20-in-Nottoway-Ledge-Stone-Concrete-Stone-Veneer-4-9-sq-ft-bx-nottowayflatbx/321084724</t>
  </si>
  <si>
    <t>CSS.13.205.40</t>
  </si>
  <si>
    <t>Niagara</t>
  </si>
  <si>
    <t>https://www.homedepot.com/p/ClipStone-ProPanel-7-25-in-x-16-in-to-24-in-Niagara-Northernledge-Manufactured-Stone-Veneer-Flats-5-25-sq-ft-CSS-13-205-40/324728668</t>
  </si>
  <si>
    <t>KSTNEMRA-152BLC</t>
  </si>
  <si>
    <t>https://www.homedepot.com/p/Maria-10-12-in-x-1-22-in-x-1-18-in-Blanc-Stone-Manufactured-Stone-Veneer-Flats-6-45-sq-ft-KSTNEMRA-152BLC/325669197</t>
  </si>
  <si>
    <t>rapidanrivflbx</t>
  </si>
  <si>
    <t>https://www.homedepot.com/p/M-Rock-Traditional-6-in-x-6-in-Rapidan-River-Stone-Concrete-Stone-Veneer-8-sq-ft-bx-rapidanrivflbx/321084728</t>
  </si>
  <si>
    <t>MIXTURE OF BROWN AND BEIGE</t>
  </si>
  <si>
    <t>https://www.homedepot.com/p/LiteStone-DESERT-PRIMARY-FLAT-STONE-3958/321299802</t>
  </si>
  <si>
    <t>auburnbx</t>
  </si>
  <si>
    <t>https://www.homedepot.com/p/M-Rock-Traditional-2-5-to-5-in-x-8-in-to-14-in-Auburn-Dry-Stack-Stone-Concrete-Stone-Veneer-8-sq-ft-bx-auburnbx/326597925</t>
  </si>
  <si>
    <t>DS-BL-XX-UL</t>
  </si>
  <si>
    <t>https://www.homedepot.com/p/Silvermine-Stone-6-in-x-24-in-Stone-Veneer-Ledgestone-Pre-Cut-Corners-Dakota-Sunset-Box-of-8-DS-BL-XX-UL/314173155</t>
  </si>
  <si>
    <t>KBWS-425CAFE</t>
  </si>
  <si>
    <t>Medium Brown</t>
  </si>
  <si>
    <t>https://www.homedepot.com/p/Koni-Stone-Woodstone-Cafe-35-50-in-x-8-in-Manufactured-Stone-Panel-Siding-8-40-sq-ft-Flats-KBWS-425CAFE/302617739</t>
  </si>
  <si>
    <t>GenStone</t>
  </si>
  <si>
    <t>G2DSL</t>
  </si>
  <si>
    <t>Desert Sunrise</t>
  </si>
  <si>
    <t>https://www.homedepot.com/p/GenStone-Stacked-Stone-2-in-x-3-5-in-x-42-in-Desert-Sunrise-Faux-Stone-Siding-Ledger-G2DSL/309651031</t>
  </si>
  <si>
    <t>G2DST</t>
  </si>
  <si>
    <t>https://www.homedepot.com/p/GenStone-Stacked-Stone-1-25-in-x-3-5-in-x-42-in-Desert-Sunrise-Faux-Stone-Siding-Trim-G2DST/309651046</t>
  </si>
  <si>
    <t>G2SSDSS</t>
  </si>
  <si>
    <t>https://www.homedepot.com/p/GenStone-Stacked-Stone-Desert-Sunrise-12-in-x-12-in-Faux-Stone-Siding-Sample-G2SSDSS/309651044</t>
  </si>
  <si>
    <t>Ekena Millwork</t>
  </si>
  <si>
    <t>Smokey Ridge</t>
  </si>
  <si>
    <t>Novik</t>
  </si>
  <si>
    <t>EACBS</t>
  </si>
  <si>
    <t>Pink</t>
  </si>
  <si>
    <t>Chicago Brick</t>
  </si>
  <si>
    <t>https://www.homedepot.com/p/GenStone-Chicago-Brick-12-in-x-12-in-Brick-Veneer-Siding-Sample-EACBS/309651489</t>
  </si>
  <si>
    <t>LP SmartSide</t>
  </si>
  <si>
    <t>Tan</t>
  </si>
  <si>
    <t>https://www.homedepot.com/p/LP-SmartSide-SmartSide-440-Series-Cedar-Texture-Trim-Engineered-Treated-Wood-Siding-Application-As-4-in-x-8-ft-25879/300015533</t>
  </si>
  <si>
    <t>https://www.homedepot.com/p/LP-SmartSide-7-84-in-x-144-in-Lap-Engineered-Treated-Composite-Siding-28869/310260863</t>
  </si>
  <si>
    <t>https://www.homedepot.com/p/LP-SmartSide-SmartSide-38-Series-8-in-Application-as-4-ft-x-8-ft-Cedar-Texture-OC-Panel-Engineered-Treated-Wood-Siding-27874/100055901</t>
  </si>
  <si>
    <t>https://www.homedepot.com/p/LP-SmartSide-SmartSide-76-Series-8-in-Application-as-4-ft-x-8-ft-Cedar-Texture-Panel-OC-Engineered-Treated-Wood-Siding-42135/100043403</t>
  </si>
  <si>
    <t>NewTechWood</t>
  </si>
  <si>
    <t>UH46-8-CE</t>
  </si>
  <si>
    <t>Japanese Cedar</t>
  </si>
  <si>
    <t>https://www.homedepot.com/p/NewTechWood-European-Siding-System-4-8-in-x-96-in-Composite-Norwegian-Board-Siding-in-Japanese-Cedar-UH46-8-CE/322996082</t>
  </si>
  <si>
    <t>US09-8-CE-14</t>
  </si>
  <si>
    <t>https://www.homedepot.com/p/NewTechWood-All-Weather-System-5-5-in-x-96-in-Japanese-Cedar-Composite-Siding-Board-14-Pack-US09-8-CE-14/323886578</t>
  </si>
  <si>
    <t>Brazilian Ipe</t>
  </si>
  <si>
    <t>US09-8-SW-14</t>
  </si>
  <si>
    <t>Icelandic Smoke White</t>
  </si>
  <si>
    <t>https://www.homedepot.com/p/NewTechWood-All-Weather-System-5-5-in-x-96-in-Icelandic-Smoke-White-Composite-Siding-Board-14-Pack-US09-8-SW-14/323886579</t>
  </si>
  <si>
    <t>US20-8-IP</t>
  </si>
  <si>
    <t>https://www.homedepot.com/p/NewTechWood-All-Purpose-L-Trim-1-57-in-x-96-in-Composite-Siding-in-Brazilian-Ipe-US20-8-IP/314615676</t>
  </si>
  <si>
    <t>US09-8-SW</t>
  </si>
  <si>
    <t>https://www.homedepot.com/p/NewTechWood-All-Weather-System-5-5-in-x-96-in-Composite-Siding-Board-in-Icelandic-Smoke-White-US09-8-SW/322996075</t>
  </si>
  <si>
    <t>UH46-8-TK</t>
  </si>
  <si>
    <t>Teak</t>
  </si>
  <si>
    <t>https://www.homedepot.com/p/NewTechWood-European-Siding-System-4-8-in-x-96-in-Composite-Norwegian-Board-Siding-in-Peruvian-Teak-UH46-8-TK/312481484</t>
  </si>
  <si>
    <t>Peruvian Teak</t>
  </si>
  <si>
    <t>UH58-8-TK-10</t>
  </si>
  <si>
    <t>https://www.homedepot.com/p/NewTechWood-European-Siding-System-7-7-in-x-96-in-Composite-Belgian-Board-Siding-in-Peruvian-Teak-10-Piece-UH58-8-TK-10/315303783</t>
  </si>
  <si>
    <t>Ejoy</t>
  </si>
  <si>
    <t>OutdoorCladdingPanel_JE23-TeakB</t>
  </si>
  <si>
    <t>TeakB</t>
  </si>
  <si>
    <t>US09-8-CH-14</t>
  </si>
  <si>
    <t>Hawaiian Charcoal</t>
  </si>
  <si>
    <t>https://www.homedepot.com/p/NewTechWood-All-Weather-System-5-5-in-x-96-in-Hawaiian-Charcoal-Composite-Siding-Board-14-Pack-US09-8-CH-14/323886582</t>
  </si>
  <si>
    <t>UH46-8-IP</t>
  </si>
  <si>
    <t>https://www.homedepot.com/p/NewTechWood-European-Siding-System-4-8-in-x-96-in-Composite-Norwegian-Board-Siding-in-Brazilian-Ipe-UH46-8-IP/312483447</t>
  </si>
  <si>
    <t>UH58-16-CH-10</t>
  </si>
  <si>
    <t>https://www.homedepot.com/p/NewTechWood-European-Siding-System-7-7-in-x-192-in-Composite-Belgian-Board-Siding-in-Hawaiian-Charcoal-10-Piece-UH58-16-CH-10/325569267</t>
  </si>
  <si>
    <t>UH58-16-TK-10</t>
  </si>
  <si>
    <t>https://www.homedepot.com/p/NewTechWood-European-Siding-System-7-7-in-x-192-in-Composite-Belgian-Board-Siding-in-Peruvian-Teak-10-Piece-UH58-16-TK-10/312429699</t>
  </si>
  <si>
    <t>US09-16-TK-49</t>
  </si>
  <si>
    <t>https://www.homedepot.com/p/NewTechWood-All-Weather-System-5-5-in-x-192-in-Composite-Siding-in-Peruvian-Teak-49-Piece-US09-16-TK-49/305166845</t>
  </si>
  <si>
    <t>UH58-8-TK</t>
  </si>
  <si>
    <t>https://www.homedepot.com/p/NewTechWood-European-Siding-System-7-7-in-x-96-in-Composite-Belgian-Board-Siding-in-Peruvian-Teak-UH58-8-TK/315304432</t>
  </si>
  <si>
    <t>US09-16-TK-14</t>
  </si>
  <si>
    <t>https://www.homedepot.com/p/NewTechWood-All-Weather-System-5-5-in-x-192-in-Composite-Siding-in-Peruvian-Teak-14-Piece-US09-16-TK-14/305166821</t>
  </si>
  <si>
    <t>UH46-8-TK-10</t>
  </si>
  <si>
    <t>https://www.homedepot.com/p/NewTechWood-European-Siding-System-4-8-in-x-96-in-Composite-Norwegian-Board-Siding-in-Peruvian-Teak-10-Piece-UH46-8-TK-10/310103383</t>
  </si>
  <si>
    <t>US09-8-IP</t>
  </si>
  <si>
    <t>https://www.homedepot.com/p/NewTechWood-All-Weather-System-5-5-in-x-96-in-Composite-Siding-Board-in-Brazilian-IPE-US09-8-IP/304798160</t>
  </si>
  <si>
    <t>UH46-16-IP-14</t>
  </si>
  <si>
    <t>Ipe</t>
  </si>
  <si>
    <t>https://www.homedepot.com/p/NewTechWood-European-Siding-System-4-8-in-x-192-in-Composite-Norwegian-Board-Siding-in-Brazilian-Ipe-14-Piece-UH46-16-IP-14/310103377</t>
  </si>
  <si>
    <t>UH58-16-IP-10</t>
  </si>
  <si>
    <t>https://www.homedepot.com/p/NewTechWood-European-Siding-System-7-7-in-x-192-in-Composite-Belgian-Board-Siding-in-Brazilian-Ipe-10-Piece-UH58-16-IP-10/312429382</t>
  </si>
  <si>
    <t>US09-8-TK-14</t>
  </si>
  <si>
    <t>https://www.homedepot.com/p/NewTechWood-All-Weather-System-5-5-in-x-96-in-Peruvian-Teak-Composite-Siding-Board-14-Pack-US09-8-TK-14/323886586</t>
  </si>
  <si>
    <t>UH46-8-CE-10</t>
  </si>
  <si>
    <t>https://www.homedepot.com/p/NewTechWood-European-Siding-System-4-8-in-x-96-in-Japanese-Cedar-Composite-Norwegian-Board-Siding-10-Pack-UH46-8-CE-10/323886566</t>
  </si>
  <si>
    <t>UH58-8-SW</t>
  </si>
  <si>
    <t>https://www.homedepot.com/p/NewTechWood-European-Siding-System-7-7-in-x-96-in-Composite-Belgian-Board-Siding-in-Icelandic-Smoke-White-UH58-8-SW/325574625</t>
  </si>
  <si>
    <t>UH68-8-IP</t>
  </si>
  <si>
    <t>https://www.homedepot.com/p/NewTechWood-Shadowline-All-Weather-System-6-7-in-x-96-in-Composite-Siding-in-Brazilian-Ipe-UH68-8-IP/322996078</t>
  </si>
  <si>
    <t>UH46-16-SW-14</t>
  </si>
  <si>
    <t>https://www.homedepot.com/p/NewTechWood-4-8-in-x-192-in-European-Siding-System-Composite-Norwegian-Board-Siding-in-Icelandic-Smoke-White-14-Piece-UH46-16-SW-14/322992393</t>
  </si>
  <si>
    <t>UH58-8-CH</t>
  </si>
  <si>
    <t>https://www.homedepot.com/p/NewTechWood-European-Siding-System-7-7-in-x-96-in-Composite-Belgian-Board-Siding-in-Hawaiian-Charcoal-UH58-8-CH/325574858</t>
  </si>
  <si>
    <t>US09-6-SSG</t>
  </si>
  <si>
    <t>Shou Sugi Ban</t>
  </si>
  <si>
    <t>https://www.homedepot.com/p/NewTechWood-All-Weather-System-5-5-in-x-72-in-Composite-Siding-Board-in-Shou-Sugi-Ban-US09-6-SSG/322996074</t>
  </si>
  <si>
    <t>US09-8-IP-14</t>
  </si>
  <si>
    <t>https://www.homedepot.com/p/NewTechWood-All-Weather-System-5-5-in-x-96-in-Brazilian-Ipe-Composite-Siding-Board-14-Pack-US09-8-IP-14/323886584</t>
  </si>
  <si>
    <t>US09-8-CE</t>
  </si>
  <si>
    <t>https://www.homedepot.com/p/NewTechWood-All-Weather-System-5-5-in-x-96-in-Composite-Siding-Board-in-Japanese-Cedar-US09-8-CE/322996076</t>
  </si>
  <si>
    <t>UH58-16-CE-10</t>
  </si>
  <si>
    <t>https://www.homedepot.com/p/NewTechWood-European-Siding-System-7-7-in-x-192-in-Composite-Belgian-Board-Siding-in-Japanese-Cedar-10-Piece-UH58-16-CE-10/325569081</t>
  </si>
  <si>
    <t>OutdoorCladding_JE23-TeakA</t>
  </si>
  <si>
    <t>TeakA</t>
  </si>
  <si>
    <t>https://www.homedepot.com/p/Ejoy-8-5-in-x-94-5-in-x-1-in-Composite-Cladding-Siding-Outdoor-Wall-Panel-Board-in-Light-Teak-Color-Set-of-3-Piece-OutdoorCladding-JE23-TeakA/326392994</t>
  </si>
  <si>
    <t>UH68-8-CH</t>
  </si>
  <si>
    <t>https://www.homedepot.com/p/NewTechWood-Shadowline-All-Weather-System-6-7-in-x-96-in-Composite-Siding-in-Hawaiian-Charcoal-UH68-8-CH/322996079</t>
  </si>
  <si>
    <t>NextStone</t>
  </si>
  <si>
    <t>US09-8-AT-14</t>
  </si>
  <si>
    <t>Roman Antique</t>
  </si>
  <si>
    <t>https://www.homedepot.com/p/NewTechWood-All-Weather-System-5-5-in-x-96-in-Roman-Antique-Composite-Siding-Board-14-Pack-US09-8-AT-14/323886580</t>
  </si>
  <si>
    <t>UH58-8-AT</t>
  </si>
  <si>
    <t>https://www.homedepot.com/p/NewTechWood-European-Siding-System-7-7-in-x-96-in-Composite-Belgian-Board-Siding-in-Roman-Antique-UH58-8-AT/325574985</t>
  </si>
  <si>
    <t>UH68-16-IP-12</t>
  </si>
  <si>
    <t>https://www.homedepot.com/p/NewTechWood-6-7-in-x-192-in-Shadowline-All-Weather-System-Composite-Siding-in-Brazilian-Ipe-12-Piece-UH68-16-IP-12/322992589</t>
  </si>
  <si>
    <t>UH58-16-IP-S</t>
  </si>
  <si>
    <t>https://www.homedepot.com/p/NewTechWood-European-Siding-System-4-8-in-x-12-in-Composite-Belgian-Board-Siding-Sample-Board-in-Brazilian-Ipe-UH58-16-IP-S/315307712</t>
  </si>
  <si>
    <t>UH58-8-CE</t>
  </si>
  <si>
    <t>https://www.homedepot.com/p/NewTechWood-European-Siding-System-7-7-in-x-96-in-Composite-Belgian-Board-Siding-in-Japanese-Cedar-UH58-8-CE/325574741</t>
  </si>
  <si>
    <t>UH46-8-SW</t>
  </si>
  <si>
    <t>https://www.homedepot.com/p/NewTechWood-European-Siding-System-4-8-in-x-96-in-Composite-Norwegian-Board-Siding-in-Icelandic-Smoke-White-UH46-8-SW/322996081</t>
  </si>
  <si>
    <t>OutdoorCladdingPanel_JE23-TeakA</t>
  </si>
  <si>
    <t>https://www.homedepot.com/p/Ejoy-8-5-in-x-94-5-in-x-1-in-Composite-Cladding-Siding-Outdoor-Wall-Panel-Board-Set-of-3-Piece-OutdoorCladdingPanel-JE23-TeakA/326393115</t>
  </si>
  <si>
    <t>US09-16-WN-S</t>
  </si>
  <si>
    <t>https://www.homedepot.com/p/NewTechWood-All-Weather-System-0-5-in-x-5-5-in-x-1-ft-Spanish-Walnut-Composite-Siding-Sample-Board-US09-16-WN-S/305218604</t>
  </si>
  <si>
    <t>Onyx</t>
  </si>
  <si>
    <t>Brown / Tan</t>
  </si>
  <si>
    <t>https://www.homedepot.com/p/LP-SmartSide-SmartSide-76-Series-Cedar-Texture-Panel-8-in-OC-Engineered-Treated-Wood-Siding-Application-As-4-ft-x-8-ft-810721800000000/202298256</t>
  </si>
  <si>
    <t>G2SSVBHP</t>
  </si>
  <si>
    <t>Vanilla Bean</t>
  </si>
  <si>
    <t>https://www.homedepot.com/p/GenStone-12-in-x-42-in-Stacked-Stone-Vanilla-Bean-Faux-Stone-Siding-Panel-G2SSVBHP/313982290</t>
  </si>
  <si>
    <t>G2SSKIHP</t>
  </si>
  <si>
    <t>Kenai</t>
  </si>
  <si>
    <t>https://www.homedepot.com/p/GenStone-Stacked-Stone-Kenai-12-in-x-42-in-Faux-Stone-Siding-Panel-G2SSKIHP/309651154</t>
  </si>
  <si>
    <t>Carbon</t>
  </si>
  <si>
    <t>https://www.homedepot.com/p/NovikStone-AC-Artisan-Cut-20-3-in-x-45-in-Stone-Siding-in-Carbon-10-Panels-Per-Box-49-3-sq-ft-100145006/320688649</t>
  </si>
  <si>
    <t>TRITAN BP</t>
  </si>
  <si>
    <t>HL-4843-VAH</t>
  </si>
  <si>
    <t>Volcanic Ash</t>
  </si>
  <si>
    <t>https://www.homedepot.com/p/TRITAN-BP-Ledge-Stone-48-in-x-24-25-in-Polyurethane-Interlocking-Siding-Panel-in-Volcanic-Ash-HL-4843-VAH/316730173</t>
  </si>
  <si>
    <t>PNU24X48CNSR</t>
  </si>
  <si>
    <t>https://www.homedepot.com/p/Ekena-Millwork-45-3-4-in-x-24-1-2-in-Canyon-Ridge-Stacked-Stone-Stonewall-Faux-Stone-Siding-Panel-PNU24X48CNSR/309938958</t>
  </si>
  <si>
    <t>PNU24X48CASR</t>
  </si>
  <si>
    <t>https://www.homedepot.com/p/Ekena-Millwork-48-5-8-in-x-24-3-4-in-Cascade-Stacked-Stone-StoneWall-Faux-Stone-Siding-Panel-PNU24X48CASR/309418348</t>
  </si>
  <si>
    <t>Smoke Gray</t>
  </si>
  <si>
    <t>https://www.homedepot.com/p/Novik-Stacked-Stone-45-in-x-20-1-4-in-Polymer-Smoke-Gray-Vinyl-Siding-10-Pack-100140002/303743185</t>
  </si>
  <si>
    <t>https://www.homedepot.com/p/Novik-NovikStone-SK-Stacked-Stone-20-3-in-x-45-in-Stone-Siding-in-Onyx-10-panels-per-box-49-3-sq-ft-100140005/303743200</t>
  </si>
  <si>
    <t>https://www.homedepot.com/p/NovikShake-10-in-x-32-in-HR-Half-Round-Polymer-Siding-in-White-22-Panels-Per-Box-32-2-sq-ft-100030001/320688708</t>
  </si>
  <si>
    <t>G2SSCHP</t>
  </si>
  <si>
    <t>Coffee</t>
  </si>
  <si>
    <t>https://www.homedepot.com/p/GenStone-Stacked-Stone-Coffee-12-in-x-42-in-Faux-Stone-Siding-Panel-G2SSCHP/309651443</t>
  </si>
  <si>
    <t>Basalt</t>
  </si>
  <si>
    <t>https://www.homedepot.com/p/Novik-NovikStone-Dry-Stack-Stone-13-1-in-x-41-5-in-Stone-Siding-in-Basalt-10-Panels-Per-Box-25-2-sq-ft-100540002/320688669</t>
  </si>
  <si>
    <t>PSSDSPP</t>
  </si>
  <si>
    <t>https://www.homedepot.com/p/GenStone-Stacked-Stone-11-25-in-x-48-in-Desert-Sunrise-Faux-Pillar-Panel-Siding-PSSDSPP/315977129</t>
  </si>
  <si>
    <t>Grigio</t>
  </si>
  <si>
    <t>https://www.homedepot.com/p/NovikStone-Carrara-19-1-in-x-50-in-Stone-Siding-in-Grigio-10-Panels-Per-Box-25-2-sq-ft-100546001/320688683</t>
  </si>
  <si>
    <t>G2SSKHP</t>
  </si>
  <si>
    <t>Keystone</t>
  </si>
  <si>
    <t>https://www.homedepot.com/p/GenStone-Stacked-Stone-Keystone-12-in-x-42-in-Faux-Stone-Siding-Panel-G2SSKHP/309749848</t>
  </si>
  <si>
    <t>https://www.homedepot.com/p/NovikShake-16-6-in-x-47-in-NP-Northern-Perfection-Polymer-Siding-in-Heritage-Gray-11-Panels-Per-Box-48-8-sq-ft-100185006/320688736</t>
  </si>
  <si>
    <t>SLSPL-BB-4</t>
  </si>
  <si>
    <t>Brunswick Brown</t>
  </si>
  <si>
    <t>https://www.homedepot.com/p/NextStone-Slatestone-Large-43-in-x-15-5-in-Polyurethane-Faux-Stone-Panel-in-Brunswick-Brown-SLSPL-BB-4/312443683</t>
  </si>
  <si>
    <t>G2SSDSC</t>
  </si>
  <si>
    <t>https://www.homedepot.com/p/GenStone-Stacked-Stone-Desert-Sunrise-24-in-x-12-in-Faux-Stone-Siding-Outside-Corner-Panel-G2SSDSC/309651052</t>
  </si>
  <si>
    <t>Windsor Blue</t>
  </si>
  <si>
    <t>https://www.homedepot.com/p/NovikShake-14-5-in-x-48-75-in-RS-RoughSawn-Shake-Polymer-Siding-in-Windsor-Blue-12-Panels-Per-Box-48-8-sq-ft-100060127/320688778</t>
  </si>
  <si>
    <t>BB-4324-TCA</t>
  </si>
  <si>
    <t>Orange</t>
  </si>
  <si>
    <t>Terracotta</t>
  </si>
  <si>
    <t>https://www.homedepot.com/p/TRITAN-BP-43-5-in-x-24-in-Polyurethane-Interlocking-Siding-Panel-in-Terracotta-BB-4324-TCA/316729846</t>
  </si>
  <si>
    <t>CLP-HMB-4</t>
  </si>
  <si>
    <t>Himalayan Brown</t>
  </si>
  <si>
    <t>https://www.homedepot.com/p/NextStone-Country-Ledgestone-43-5-in-x-15-5-in-Faux-Stone-Siding-Panel-in-Himalayan-Brown-4-Pack-CLP-HMB-4/302652326</t>
  </si>
  <si>
    <t>https://www.homedepot.com/p/NovikShake-18-8-in-x-48-4-in-HS-Hand-Split-Shake-Polymer-Siding-in-White-9-Panels-Per-Box-49-4-sq-ft-100070006/320688727</t>
  </si>
  <si>
    <t>Aspen</t>
  </si>
  <si>
    <t>https://www.homedepot.com/p/NovikStone-20-3-in-x-45-in-SK-Stacked-Stone-Siding-in-Aspen-10-Panels-Per-Box-49-3-sq-ft-100140001/320688790</t>
  </si>
  <si>
    <t>PNU24X48ALSR</t>
  </si>
  <si>
    <t>https://www.homedepot.com/p/Ekena-Millwork-49-in-x-25-1-2-in-Acadia-Ledge-Stacked-Stone-StoneWall-Faux-Stone-Siding-Panel-PNU24X48ALSR/309418335</t>
  </si>
  <si>
    <t>https://www.homedepot.com/p/NovikShake-16-6-in-x-47-in-NP-Northern-Perfection-Polymer-Siding-in-White-11-Panels-Per-Box-48-8-sq-ft-100185004/320688749</t>
  </si>
  <si>
    <t>PNU24X48CRSD</t>
  </si>
  <si>
    <t>Sandstone</t>
  </si>
  <si>
    <t>https://www.homedepot.com/p/Ekena-Millwork-49-in-x-24-1-2-in-Castle-Rock-Stacked-Stone-StoneWall-Faux-Stone-Siding-Panel-PNU24X48CRSD/309418356</t>
  </si>
  <si>
    <t>AB-4323-RAR</t>
  </si>
  <si>
    <t>Rusty Amber</t>
  </si>
  <si>
    <t>https://www.homedepot.com/p/TRITAN-BP-Faux-Brick-43-5-in-x-23-75-in-Polyurethane-Interlocking-Siding-Panel-in-Rusty-Amber-AB-4323-RAR/316729681</t>
  </si>
  <si>
    <t>Adirondacks</t>
  </si>
  <si>
    <t>https://www.homedepot.com/p/NovikStone-FS-Fieldstone-19-1-in-x-50-in-Stone-Siding-in-Adirondacks-10-Panels-Per-Box-49-6-sq-ft-100340002/320688673</t>
  </si>
  <si>
    <t>EACBHP</t>
  </si>
  <si>
    <t>https://www.homedepot.com/p/GenStone-Chicago-Brick-22-5-in-x-22-5-in-Brick-Veneer-Siding-Full-Panel-EACBHP/309651477</t>
  </si>
  <si>
    <t>https://www.homedepot.com/p/NovikShake-14-5-in-x-48-75-in-RS-RoughSawn-Shake-Polymer-Siding-in-White-12-Panels-Per-Box-48-8-sq-ft-100060001/320688777</t>
  </si>
  <si>
    <t>Khaki</t>
  </si>
  <si>
    <t>https://www.homedepot.com/p/NovikShake-14-5-in-x-48-75-in-RS-RoughSawn-Shake-Polymer-Siding-in-Khaki-12-Panels-Per-Box-48-8-sq-ft-100060048/320688763</t>
  </si>
  <si>
    <t>EACHP</t>
  </si>
  <si>
    <t>Classic Brick</t>
  </si>
  <si>
    <t>https://www.homedepot.com/p/GenStone-Classic-Brick-22-1-2-in-x-22-1-4-in-Veneer-Siding-Full-Panel-EACHP/309750243</t>
  </si>
  <si>
    <t>Rocky Mountain</t>
  </si>
  <si>
    <t>https://www.homedepot.com/p/NovikStone-FS-Fieldstone-19-1-in-x-50-in-Stone-Siding-in-Rocky-Mountains-10-Panels-Per-Box-49-6-sq-ft-100340003/320688652</t>
  </si>
  <si>
    <t>Urestone</t>
  </si>
  <si>
    <t>ul2600pk-70</t>
  </si>
  <si>
    <t>Old Town</t>
  </si>
  <si>
    <t>https://www.homedepot.com/p/Urestone-Old-Town-24-in-x-46-3-8-in-Faux-Used-Brick-Panel-4-Pack-ul2600pk-70/206677842</t>
  </si>
  <si>
    <t>https://www.homedepot.com/p/NovikShake-16-6-in-x-47-in-NP-Northern-Perfection-Polymer-Siding-in-Brunswick-Green-11-panels-box-48-8-sq-ft-100185018/320688744</t>
  </si>
  <si>
    <t>EAMHP</t>
  </si>
  <si>
    <t>Multi Color</t>
  </si>
  <si>
    <t>https://www.homedepot.com/p/GenStone-Multi-Color-Brick-22-1-2-in-x-22-1-4-in-Brick-Veneer-Siding-Full-Panel-EAMHP/310701803</t>
  </si>
  <si>
    <t>RRP-TG-4</t>
  </si>
  <si>
    <t>Tri Gray</t>
  </si>
  <si>
    <t>https://www.homedepot.com/p/NextStone-Random-Rock-15-5-in-x-48-in-Faux-Stone-Siding-Panel-in-Tri-Gray-4-Pack-RRP-TG-4/206722516</t>
  </si>
  <si>
    <t>EACQP</t>
  </si>
  <si>
    <t>https://www.homedepot.com/p/GenStone-Classic-Brick-12-in-x-22-1-4-in-Brick-Veneer-Siding-Half-Panel-EACQP/309750255</t>
  </si>
  <si>
    <t>30 4PC-CL-CW-TTB</t>
  </si>
  <si>
    <t>BEIGE</t>
  </si>
  <si>
    <t>https://www.homedepot.com/p/NextStone-Country-Ledgestone-30-in-x-16-in-Teton-Buff-Faux-Polyurethane-Stone-Column-Siding-Wrap-4-Piece-30-4PC-CL-CW-TTB/316142661</t>
  </si>
  <si>
    <t>https://www.homedepot.com/p/NovikStone-FS-Fieldstone-19-1-in-x-50-in-Stone-Siding-in-Grand-Canyon-10-Panels-Per-Box-49-6-sq-ft-100340001/320688656</t>
  </si>
  <si>
    <t>BKP-AR-4</t>
  </si>
  <si>
    <t>Antique Red</t>
  </si>
  <si>
    <t>https://www.homedepot.com/p/NextStone-Brick-Antique-Red-15-25-in-x-43-5-in-Polyurethane-Faux-Stone-Siding-Panel-4-Pack-BKP-AR-4/301462037</t>
  </si>
  <si>
    <t>CRP-TUB-4</t>
  </si>
  <si>
    <t>Tuscan Brown</t>
  </si>
  <si>
    <t>https://www.homedepot.com/p/NextStone-Castle-Rock-Tuscan-Brown-15-25-in-x-43-25-in-Faux-Stone-Siding-Panel-4-Pack-CRP-TUB-4/206722192</t>
  </si>
  <si>
    <t>https://www.homedepot.com/p/NovikShake-HR-Half-Round-10-in-x-32-in-Polymer-Siding-in-Heritage-Gray-22-Panels-Per-Box-32-2-sq-ft-100030023/320688692</t>
  </si>
  <si>
    <t>https://www.homedepot.com/p/NovikShake-HR-Half-Round-10-in-x-32-in-Polymer-Siding-in-Sandstone-22-Panels-Per-Box-32-2-sq-ft-100030025/320688686</t>
  </si>
  <si>
    <t>https://www.homedepot.com/p/NovikShake-18-8-in-x-48-4-in-HS-Hand-Split-Shake-Polymer-Siding-in-Brunswick-Green-9-Panels-Per-Box-49-4-sq-ft-100070083/320688702</t>
  </si>
  <si>
    <t>https://www.homedepot.com/p/NovikShake-HR-Half-Round-10-in-x-32-in-Polymer-Siding-in-Rockaway-Gray-22-Panels-Per-Box-32-2-sq-ft-100030150/320688685</t>
  </si>
  <si>
    <t>EACL</t>
  </si>
  <si>
    <t>https://www.homedepot.com/p/GenStone-42-in-x-3-in-x-3-75-in-Classic-Brick-Veneer-Siding-Ledger-EACL/316183231</t>
  </si>
  <si>
    <t>EACBQP</t>
  </si>
  <si>
    <t>https://www.homedepot.com/p/GenStone-Chicago-Brick-22-5-in-x-11-75-in-Brick-Veneer-Siding-Half-Panel-EACBQP/309651479</t>
  </si>
  <si>
    <t>https://www.homedepot.com/p/NovikShake-HR-Half-Round-10-in-x-32-in-Polymer-Siding-in-Brunswick-Green-22-Panels-Per-Box-32-2-sq-ft-100030149/320688688</t>
  </si>
  <si>
    <t>EARQP</t>
  </si>
  <si>
    <t>Deep Red</t>
  </si>
  <si>
    <t>https://www.homedepot.com/p/GenStone-12-in-x-22-1-4-in-Deep-Red-Brick-Veneer-Siding-Half-Panel-EARQP/310701777</t>
  </si>
  <si>
    <t>https://www.homedepot.com/p/NovikShake-HR-Half-Round-10-in-x-32-in-Polymer-Siding-in-Coventry-Gray-22-Panels-Per-Box-32-2-sq-ft-100030147/320688690</t>
  </si>
  <si>
    <t>UL2612pk-65</t>
  </si>
  <si>
    <t>Mountain Country</t>
  </si>
  <si>
    <t>https://www.homedepot.com/p/Urestone-Ledgestone-Wainscot-65-Mountain-Country-48-in-x-24-in-Stone-Veneer-Panel-4-Pack-UL2612pk-65/308144340</t>
  </si>
  <si>
    <t>https://www.homedepot.com/p/NovikShake-HR-Half-Round-10-in-x-32-in-Polymer-Siding-in-Khaki-22-Panels-Per-Box-32-2-sq-ft-100030062/320688684</t>
  </si>
  <si>
    <t>https://www.homedepot.com/p/NovikStone-PHC-Premium-Hand-Cut-Stone-18-5-in-x-48-in-Stone-Siding-in-Onyx-9-Panels-Per-Box-46-sq-ft-100440203/320688653</t>
  </si>
  <si>
    <t>https://www.homedepot.com/p/NovikShake-14-5-in-x-48-75-in-RS-RoughSawn-Shake-Polymer-Siding-in-Basalt-12-Panels-Per-Box-48-8-sq-ft-100060086/320688762</t>
  </si>
  <si>
    <t>https://www.homedepot.com/p/NovikStone-18-5-in-x-48-in-PHC-Premium-Hand-Cut-Stone-Siding-in-Smoke-White-9-Panels-Per-Box-46-sq-ft-100440200/320688791</t>
  </si>
  <si>
    <t>G2NSICL</t>
  </si>
  <si>
    <t>Northern Slate</t>
  </si>
  <si>
    <t>https://www.homedepot.com/p/GenStone-12-in-x-2-in-x-3-5-in-Stacked-Stone-Northern-Slate-Faux-Stone-Siding-Inside-Corner-Ledger-G2NSICL/313995114</t>
  </si>
  <si>
    <t>G2SSDSHP</t>
  </si>
  <si>
    <t>https://www.homedepot.com/p/GenStone-Stacked-Stone-Desert-Sunrise-12-in-x-42-in-Composite-Faux-Stone-Siding-Panel-G2SSDSHP/309651076</t>
  </si>
  <si>
    <t>G2SSNSHP</t>
  </si>
  <si>
    <t>https://www.homedepot.com/p/GenStone-42-in-x-12-in-Stacked-Stone-Northern-Slate-Faux-Stone-Siding-Panel-G2SSNSHP/313993719</t>
  </si>
  <si>
    <t>EARHP</t>
  </si>
  <si>
    <t>https://www.homedepot.com/p/GenStone-22-1-2-in-x-22-1-4-in-Deep-Red-Brick-Veneer-Siding-Full-Panel-EARHP/310701802</t>
  </si>
  <si>
    <t>EAMQP</t>
  </si>
  <si>
    <t>https://www.homedepot.com/p/GenStone-12-in-x-22-1-4-in-Multi-Color-Brick-Veneer-Siding-Half-Panel-EAMQP/310701760</t>
  </si>
  <si>
    <t>Mortar Gray</t>
  </si>
  <si>
    <t>Veranda</t>
  </si>
  <si>
    <t>PVC</t>
  </si>
  <si>
    <t>https://www.homedepot.com/p/Veranda-5-1-2-in-x-96-in-White-PVC-Bead-Board-Siding-8-Piece-8272548/302975059</t>
  </si>
  <si>
    <t>Prestige Stone &amp; Granite</t>
  </si>
  <si>
    <t>TSAL-F-2</t>
  </si>
  <si>
    <t>Stone</t>
  </si>
  <si>
    <t>Alaska White</t>
  </si>
  <si>
    <t>https://www.homedepot.com/p/Prestige-Stone-Granite-Alaska-White-6-x-24-in-Natural-Stacked-Stone-Veneer-Panel-Siding-Exterior-Interior-Wall-Tile-2-Boxes-12-84-sq-ft-TSAL-F-2/312247755</t>
  </si>
  <si>
    <t>Limestone</t>
  </si>
  <si>
    <t>https://www.homedepot.com/p/Novik-Stone-DS-13-13-in-x-41-5-in-Dry-Stack-Stone-in-Flint-25-18-sq-ft-per-Box-Vinyl-Siding-100540010/308658067</t>
  </si>
  <si>
    <t>https://www.homedepot.com/p/Novik-Stone-SK-Stacked-Stone-20-250-in-x-45-in-in-Sand-Blend-49-32-sq-ft-per-Box-Vinyl-Siding-100140006/308658058</t>
  </si>
  <si>
    <t>https://www.homedepot.com/p/Novik-Shake-RS-14-5-in-x-48-75-in-Rough-Sawn-Shake-in-Anthracite-48-84-sq-ft-per-Box-Plastic-Shake-Vinyl-Siding-100060088/308658060</t>
  </si>
  <si>
    <t>VinylWallCladding_ACP_LightColdOak94x24</t>
  </si>
  <si>
    <t>Light Cold Oak</t>
  </si>
  <si>
    <t>https://www.homedepot.com/p/Ejoy-94-in-x-23-6-in-x-0-8-in-Acoustic-Vinyl-Wall-Cladding-Siding-Board-Set-of-1-piece-VinylWallCladding-ACP-LightColdOak94x24/323327354</t>
  </si>
  <si>
    <t>VinylCladding_ACP_LightMaple94x24</t>
  </si>
  <si>
    <t>Warm Light Oak</t>
  </si>
  <si>
    <t>https://www.homedepot.com/p/Ejoy-94-in-x-23-6-in-x-0-8-in-Acoustic-Vinyl-Wall-Cladding-Siding-Board-in-Warm-Light-Oak-Color-Set-of-1-piece-VinylCladding-ACP-LightMaple94x24/323327117</t>
  </si>
  <si>
    <t>VinylCladding_ACP_020_94x24</t>
  </si>
  <si>
    <t>American Oak</t>
  </si>
  <si>
    <t>https://www.homedepot.com/p/Ejoy-94-in-x-23-6-in-x-0-8-in-Acoustic-Vinyl-Wall-Cladding-Siding-Board-in-American-Oak-Color-Set-of-1-Piece-VinylCladding-ACP-020-94x24/324604305</t>
  </si>
  <si>
    <t>VinylCladding_ACP_022_94x24</t>
  </si>
  <si>
    <t>https://www.homedepot.com/p/Ejoy-94-in-x-23-6-in-x-0-8-in-Acoustic-Vinyl-Wall-Cladding-Siding-Board-in-Black-Color-Set-of-1-Piece-VinylCladding-ACP-022-94x24/324604306</t>
  </si>
  <si>
    <t>https://www.homedepot.com/p/Novik-Shake-HS-18-75-in-x-48-38-in-Hand-Split-Shake-in-Weathered-Blend-49-36-sq-ft-per-Box-Plastic-Shake-Vinyl-Siding-100070009/308658042</t>
  </si>
  <si>
    <t>VinylCladding_ACP_LightColdOak94x24</t>
  </si>
  <si>
    <t>https://www.homedepot.com/p/Ejoy-94-in-x-23-6-in-x-0-8-in-Acoustic-Vinyl-Wall-Cladding-Siding-Board-in-Light-Cold-Oak-Color-Set-of-1-piece-VinylCladding-ACP-LightColdOak94x24/323327116</t>
  </si>
  <si>
    <t>VinylWallCladding_VWC_G71312</t>
  </si>
  <si>
    <t>Dark Walnut</t>
  </si>
  <si>
    <t>https://www.homedepot.com/p/Ejoy-94-5-in-x-4-8-in-x-0-5-in-Acoustic-Vinyl-Wall-Cladding-Siding-Board-Set-of-6-Piece-VinylWallCladding-VWC-G71312/321509897</t>
  </si>
  <si>
    <t>CladdingPanel_VWC_S046</t>
  </si>
  <si>
    <t>Light Oak</t>
  </si>
  <si>
    <t>https://www.homedepot.com/p/Ejoy-94-5-in-x-4-8-in-x-0-5-in-Acoustic-Vinyl-Wall-Cladding-Siding-Board-in-Light-Oak-Wood-Color-Set-of-6-Piece-CladdingPanel-VWC-S046/321434013</t>
  </si>
  <si>
    <t>https://www.homedepot.com/p/Novik-Shake-HS-18-75-in-x-48-38-in-Hand-Split-Shake-in-Cedar-Blend-49-36-sq-ft-per-Box-Plastic-Shake-Vinyl-Siding-100070007/308658052</t>
  </si>
  <si>
    <t>VinylCladding_LACP_022_EmbossBlack</t>
  </si>
  <si>
    <t>Emboss Black</t>
  </si>
  <si>
    <t>https://www.homedepot.com/p/Ejoy-12-6-in-x-106-in-x-0-8-in-Acoustic-Vinyl-Wall-Cladding-Siding-Board-in-Emboss-Black-Color-Set-of-2-Piece-VinylCladding-LACP-022-EmbossBlack/326295929</t>
  </si>
  <si>
    <t>VinylCladding_ACP_011_94x24</t>
  </si>
  <si>
    <t>Dark Chestnut</t>
  </si>
  <si>
    <t>https://www.homedepot.com/p/Ejoy-94-in-x-23-6-in-x-0-8-in-Acoustic-Vinyl-Wall-Cladding-Siding-Board-in-Dark-Chestnut-Color-Set-of-1-Piece-VinylCladding-ACP-011-94x24/324604303</t>
  </si>
  <si>
    <t>VinylWallCladding_VWC_S045</t>
  </si>
  <si>
    <t>Charcoal Grey</t>
  </si>
  <si>
    <t>https://www.homedepot.com/p/Ejoy-94-5-in-x-4-8-in-x-0-5-in-Acoustic-Vinyl-Wall-Cladding-Siding-Panel-Set-of-6-Piece-VinylWallCladding-VWC-S045/321509992</t>
  </si>
  <si>
    <t>VinylCladding_LACP_021_AmericanOak_WhB</t>
  </si>
  <si>
    <t>https://www.homedepot.com/p/Ejoy-12-6-in-x-106-in-x-0-8-in-Acoustic-Vinyl-Wall-Cladding-Siding-Board-in-American-Oak-Color-Set-of-2-Piece-VinylCladding-LACP-021-AmericanOak-WhB/326295928</t>
  </si>
  <si>
    <t>VinylSiding_LACP_022_EmbossBlack</t>
  </si>
  <si>
    <t>https://www.homedepot.com/p/Ejoy-12-6-in-x-106-in-x-0-8-in-Acoustic-Vinyl-Wall-Cladding-Siding-Board-Set-of-2-Piece-VinylSiding-LACP-022-EmbossBlack/326296410</t>
  </si>
  <si>
    <t>Grayne</t>
  </si>
  <si>
    <t>https://www.homedepot.com/p/Grayne-8-1-2-in-x-60-3-4-in-Treated-Cedar-Engineered-Rigid-PVC-Shingle-Panel-7-5-in-Exposure-32-per-Box-2546026/302975454</t>
  </si>
  <si>
    <t>VinylWallCladding_VWC_NX-5029</t>
  </si>
  <si>
    <t>Oak Brown</t>
  </si>
  <si>
    <t>https://www.homedepot.com/p/Ejoy-96-in-x-6-in-x-0-8-in-Acoustic-Vin-yl-Wall-Claddin-g-Sidin-g-Board-Set-of-4-Piece-VinylWallCladding-VWC-NX-5029/321479903</t>
  </si>
  <si>
    <t>CladdingPanel_VWC_G5900</t>
  </si>
  <si>
    <t>Light Walnut</t>
  </si>
  <si>
    <t>https://www.homedepot.com/p/Ejoy-94-5-in-x-4-8-in-x-0-5-in-Acoustic-Vinyl-Wall-Cladding-Siding-Board-in-Light-Walnut-Color-Set-of-6-Piece-CladdingPanel-VWC-G5900/321434014</t>
  </si>
  <si>
    <t>https://www.homedepot.com/p/Grayne-8-1-2-in-x-60-3-4-in-Mountain-Ash-Engineered-Rigid-PVC-Shingle-Panel-7-5-in-Exposure-32-per-Box-2546030/313511677</t>
  </si>
  <si>
    <t>https://www.homedepot.com/p/Grayne-6-1-2-in-x-60-1-2-in-Lakeside-Blue-Engineered-Rigid-PVC-Shingle-Panel-5-in-Exposure-24-per-Box-2546003/206192544</t>
  </si>
  <si>
    <t>https://www.homedepot.com/p/Novik-Stone-PHC-48-in-x-18-5-in-Premium-Hand-Cut-Stone-in-Shadow-Gray-46-sq-ft-per-Box-Vinyl-Siding-100440201/308658047</t>
  </si>
  <si>
    <t>VinylCladding_LACP_013_DriftWood</t>
  </si>
  <si>
    <t>Drift Wood</t>
  </si>
  <si>
    <t>https://www.homedepot.com/p/Ejoy-12-6-in-x-106-in-x-0-8-in-Acoustic-Vinyl-Wall-Cladding-Siding-Board-in-Drift-Wood-Color-Set-of-2-Piece-VinylCladding-LACP-013-DriftWood/326295927</t>
  </si>
  <si>
    <t>CladdingPanel_VWC_G71312</t>
  </si>
  <si>
    <t>https://www.homedepot.com/p/Ejoy-94-5-in-x-4-8-in-x-0-5-in-Acoustic-Vinyl-Wall-Cladding-Siding-Board-in-Dark-Walnut-Color-Set-of-6-Piece-CladdingPanel-VWC-G71312/321434018</t>
  </si>
  <si>
    <t>CladdingPanel_VWC_G127A-1119</t>
  </si>
  <si>
    <t>Brown Oak Wood</t>
  </si>
  <si>
    <t>https://www.homedepot.com/p/Ejoy-94-5-in-x-4-8-in-x-0-5-in-Acoustic-Vinyl-Wall-Cladding-Siding-Board-in-Brown-Oak-Wood-Color-Set-of-6-Piece-CladdingPanel-VWC-G127A-1119/323117671</t>
  </si>
  <si>
    <t>https://www.homedepot.com/p/Grayne-8-1-2-in-x-60-3-4-in-Rustic-Slate-Engineered-Rigid-PVC-Shingle-Panel-7-5-in-Exposure-32-per-Box-2546031/313511684</t>
  </si>
  <si>
    <t>CladdingPanel_VWC_NX-5029</t>
  </si>
  <si>
    <t>https://www.homedepot.com/p/Ejoy-96-in-x-6-in-x-0-8-in-Acoustic-Vin-yl-Wall-Claddin-g-Sidin-g-Board-in-Brown-Oak-Wood-Color-Set-of-4-Piece-CladdingPanel-VWC-NX-5029/321434010</t>
  </si>
  <si>
    <t>VinylCladding_ACP_030_94x24</t>
  </si>
  <si>
    <t>Light Gray Walnut</t>
  </si>
  <si>
    <t>https://www.homedepot.com/p/Ejoy-94-in-x-23-6-in-x-0-8-in-Acoustic-Vinyl-Wall-Cladding-Siding-Board-in-Light-Gray-Walnut-Color-Set-of-1-Piece-VinylCladding-ACP-030-94x24/324604304</t>
  </si>
  <si>
    <t>CladdingPanel_VWC_G160-70282</t>
  </si>
  <si>
    <t>Dark Walnut Wood</t>
  </si>
  <si>
    <t>https://www.homedepot.com/p/Ejoy-94-5-in-x-6-4-in-x-0-5-in-Acoustic-Vinyl-Wall-Cladding-Siding-Board-in-Dark-Walnut-Wood-Color-Set-of-6-piece-CladdingPanel-VWC-G160-70282/323117561</t>
  </si>
  <si>
    <t>https://www.homedepot.com/p/Novik-Ledge-4-13-in-x-30-75-in-Premium-Ledge-in-Mortar-Gray-10-04-lin-ft-per-Box-Trim-Siding-267000001/308658039</t>
  </si>
  <si>
    <t>CladdingPanel_VWC_S045</t>
  </si>
  <si>
    <t>https://www.homedepot.com/p/Ejoy-94-5-in-x-4-8-in-x-0-5-in-Acoustic-Vinyl-Wall-Cladding-Siding-Board-in-Charcoal-Grey-Color-Set-of-6-Piece-CladdingPanel-VWC-S045/321434011</t>
  </si>
  <si>
    <t>VinylCladding_LACP_050_SpaceGrey</t>
  </si>
  <si>
    <t>Space Grey</t>
  </si>
  <si>
    <t>https://www.homedepot.com/p/Ejoy-12-6-in-x-106-in-x-0-8-in-Acoustic-Vinyl-Wall-Cladding-Siding-Board-in-Space-Grey-Color-Set-of-2-Piece-VinylCladding-LACP-050-SpaceGrey/326295923</t>
  </si>
  <si>
    <t>CladdingPanel_VWC_G150-92B</t>
  </si>
  <si>
    <t>White Birch</t>
  </si>
  <si>
    <t>https://www.homedepot.com/p/Ejoy-96-in-x-6-in-x-0-8-in-Acoustic-Vin-yl-Wall-Claddin-g-Sidin-g-Board-in-White-Birch-Wood-Color-Set-of-4-Piece-CladdingPanel-VWC-G150-92B/321434016</t>
  </si>
  <si>
    <t>DI40SAMPLE M4</t>
  </si>
  <si>
    <t>https://www.homedepot.com/p/Ply-Gem-Take-Home-Sample-Dimensions-Double-4-in-x-24-in-Vinyl-Siding-in-Sand-DI40SAMPLE-M4/204723958</t>
  </si>
  <si>
    <t>VinylCladding_ACP_022_94x24_10inSAMPLE</t>
  </si>
  <si>
    <t>https://www.homedepot.com/p/Ejoy-SAMPLE-10-in-x-6-in-x-0-8-in-Acoustic-Vinyl-Wall-Cladding-Siding-Board-in-Black-Sample-1-piece-VinylCladding-ACP-022-94x24-10inSAMPLE/324651424</t>
  </si>
  <si>
    <t>CladdingPanel_VWC_G150-1218-92B</t>
  </si>
  <si>
    <t>Metasequoia Grey</t>
  </si>
  <si>
    <t>https://www.homedepot.com/p/Ejoy-94-5-in-x-4-8-in-x-0-5-in-Acoustic-Vinyl-Wall-Cladding-Siding-Board-in-Metasequoia-Grey-Color-Set-of-4-Piece-CladdingPanel-VWC-G150-1218-92B/323209604</t>
  </si>
  <si>
    <t>PG40SAMPLE 53</t>
  </si>
  <si>
    <t>Almond</t>
  </si>
  <si>
    <t>https://www.homedepot.com/p/Ply-Gem-Take-Home-Sample-Progressions-Double-4-in-x-24-in-Vinyl-Siding-in-Almond-PG40SAMPLE-53/204723990</t>
  </si>
  <si>
    <t>CladdingPanel_VWC_G58924</t>
  </si>
  <si>
    <t>Grey Driftwood</t>
  </si>
  <si>
    <t>https://www.homedepot.com/p/Ejoy-94-5-in-x-4-8-in-x-0-5-in-Acoustic-Vinyl-Wall-Cladding-Siding-Board-in-Grey-Driftwood-Color-Set-of-6-Piece-CladdingPanel-VWC-G58924/321434015</t>
  </si>
  <si>
    <t>LACP_022_EmbossBlack_Sample</t>
  </si>
  <si>
    <t>https://www.homedepot.com/p/Ejoy-SAMPLE-6-in-x-10-in-x-0-8-in-Acoustic-Vinyl-Wall-Siding-Board-in-Emboss-Black-Color-1-Pieces-LACP-022-EmbossBlack-Sample/326514654</t>
  </si>
  <si>
    <t>PGD45SAMPLE N3</t>
  </si>
  <si>
    <t>Ivory</t>
  </si>
  <si>
    <t>https://www.homedepot.com/p/Ply-Gem-Take-Home-Sample-Progressions-Double-4-5-in-x-24-in-Dutch-Lap-Vinyl-Siding-in-Ivory-PGD45SAMPLE-N3/204724036</t>
  </si>
  <si>
    <t>VinylCladding_ACP_LightMaple_10inSAMPLE</t>
  </si>
  <si>
    <t>https://www.homedepot.com/p/Ejoy-SAMPLE-10-in-x-6-in-x-0-8-in-Acoustic-Vinyl-Wall-Cladding-Siding-Board-in-Warm-Light-Oak-Sample-1-piece-VinylCladding-ACP-LightMaple-10inSAMPLE/324651427</t>
  </si>
  <si>
    <t>CladdingPanel_VWC_G1209A-29</t>
  </si>
  <si>
    <t>https://www.homedepot.com/p/Ejoy-94-5-in-x-4-8-in-x-0-5-in-Acoustic-Vinyl-Wall-Cladding-Siding-Board-in-Black-Color-Set-of-6-piece-CladdingPanel-VWC-G1209A-29/323683273</t>
  </si>
  <si>
    <t>DID45SAMPLE M4</t>
  </si>
  <si>
    <t>https://www.homedepot.com/p/Ply-Gem-Take-Home-Sample-Dimensions-Double-4-5-in-x-24-in-Dutch-Lap-Vinyl-Siding-in-Sand-DID45SAMPLE-M4/204723981</t>
  </si>
  <si>
    <t>TR5SAMPLA7</t>
  </si>
  <si>
    <t>Wicker</t>
  </si>
  <si>
    <t>https://www.homedepot.com/p/Ply-Gem-Take-Home-Sample-Transformations-Double-5-in-x-24-in-Vinyl-Siding-in-Wicker-TR5SAMPLA7/303867363</t>
  </si>
  <si>
    <t>CEDAR7SAMPLE 04</t>
  </si>
  <si>
    <t>https://www.homedepot.com/p/Ply-Gem-Take-Home-Sample-Cedar-Dimensions-Shingle-24-in-Polypropylene-Siding-in-White-CEDAR7SAMPLE-04/204723901</t>
  </si>
  <si>
    <t>CladdingPanel_VWC_G1206A-LBZ</t>
  </si>
  <si>
    <t>Pure White</t>
  </si>
  <si>
    <t>https://www.homedepot.com/p/Ejoy-94-5-in-x-4-8-in-x-0-5-in-Acoustic-Vinyl-Wall-Cladding-Siding-Board-in-Pure-White-Color-Set-of-6-Piece-CladdingPanel-VWC-G1206A-LBZ/323117670</t>
  </si>
  <si>
    <t>PBB80WSAMPLE M4</t>
  </si>
  <si>
    <t>https://www.homedepot.com/p/Ply-Gem-Take-Home-Sample-Board-and-Batten-24-in-Vinyl-Siding-in-Sand-PBB80WSAMPLE-M4/204724143</t>
  </si>
  <si>
    <t>TR4SAMPLA7</t>
  </si>
  <si>
    <t>https://www.homedepot.com/p/Ply-Gem-Take-Home-Sample-Transformations-Double-4-in-x-24-in-Vinyl-Siding-in-Wicker-TR4SAMPLA7/303866796</t>
  </si>
  <si>
    <t>CladdingPanel_VWC_G1209A-28</t>
  </si>
  <si>
    <t>https://www.homedepot.com/p/Ejoy-94-5-in-x-4-8-in-x-0-5-in-Acoustic-Vinyl-Wall-Cladding-Siding-Board-in-White-Color-Set-of-6-piece-CladdingPanel-VWC-G1209A-28/323683274</t>
  </si>
  <si>
    <t>VinylCladding_ACP_020_94x24_10inSAMPLE</t>
  </si>
  <si>
    <t>https://www.homedepot.com/p/Ejoy-SAMPLE-10-in-x-6-in-x-0-8-in-Acoustic-Vinyl-Wall-Cladding-Siding-Board-in-American-Oak-Sample-1-piece-VinylCladding-ACP-020-94x24-10inSAMPLE/324651426</t>
  </si>
  <si>
    <t>CladdingPanel_VWC_G126-6008</t>
  </si>
  <si>
    <t>Walnut Wood</t>
  </si>
  <si>
    <t>https://www.homedepot.com/p/Ejoy-94-5-in-x-4-8-in-x-0-5-in-Acoustic-Vinyl-Wall-Cladding-Siding-Board-in-Walnut-Wood-Color-Set-of-6-piece-CladdingPanel-VWC-G126-6008/323683276</t>
  </si>
  <si>
    <t>ACP60_030_LightWalnut</t>
  </si>
  <si>
    <t>https://www.homedepot.com/p/Ejoy-24-in-x-24-in-x-0-8-in-Light-Walnut-Color-Acoustic-Vinyl-Wall-Cladding-Siding-Board-Set-of-4-Piece-ACP60-030-LightWalnut/326469404</t>
  </si>
  <si>
    <t>PGD50SAMPLE NS</t>
  </si>
  <si>
    <t>Stone Gray</t>
  </si>
  <si>
    <t>https://www.homedepot.com/p/Ply-Gem-Take-Home-Sample-Progressions-Double-5-in-x-24-in-Dutch-Lap-Vinyl-Siding-in-Stone-Gray-PGD50SAMPLE-NS/204724062</t>
  </si>
  <si>
    <t>DCHR65SAMPLE A7</t>
  </si>
  <si>
    <t>https://www.homedepot.com/p/Ply-Gem-Take-Home-Sample-Cedar-Dimensions-Round-Cut-24-in-Polypropylene-Siding-in-Wicker-DCHR65SAMPLE-A7/204723942</t>
  </si>
  <si>
    <t>PG50SAMPLE 510</t>
  </si>
  <si>
    <t>Thistle</t>
  </si>
  <si>
    <t>https://www.homedepot.com/p/Ply-Gem-Take-Home-Sample-Progressions-Double-5-in-x-24-in-Vinyl-Siding-in-Thistle-PG50SAMPLE-510/204724028</t>
  </si>
  <si>
    <t>PG30SAMPLE IQ</t>
  </si>
  <si>
    <t>Sunrise Yellow</t>
  </si>
  <si>
    <t>https://www.homedepot.com/p/Ply-Gem-Take-Home-Sample-Progressions-Triple-3-in-x-24-in-Vinyl-Siding-in-Sunrise-Yellow-PG30SAMPLE-IQ/204724079</t>
  </si>
  <si>
    <t>CladdingPanel_VWC_G122B-1172-6</t>
  </si>
  <si>
    <t>Brown Walnut Wood</t>
  </si>
  <si>
    <t>https://www.homedepot.com/p/Ejoy-94-5-in-x-4-8-in-x-0-5-in-Acoustic-Vinyl-Wall-Cladding-Siding-Board-in-Brown-Walnut-Wood-Color-Set-of-6-Piece-CladdingPanel-VWC-G122B-1172-6/323117669</t>
  </si>
  <si>
    <t>VinylCladding_ACP_011_94x24_10inSAMPLE</t>
  </si>
  <si>
    <t>https://www.homedepot.com/p/Ejoy-SAMPLE-10-in-x-6-in-x-0-8-in-Acoustic-Vinyl-Wall-Cladding-Siding-Board-in-Dark-Chestnut-Sample-1-piece-VinylCladding-ACP-011-94x24-10inSAMPLE/324651428</t>
  </si>
  <si>
    <t>Kimberly Bay</t>
  </si>
  <si>
    <t>BPAFP9160807B</t>
  </si>
  <si>
    <t>https://www.homedepot.com/p/Kimberly-Bay-7-1-4-in-x-9-16-in-x-7-ft-Primed-Wood-Nickel-Gap-Ship-Lap-Board-6-Pieces-Per-Box-BPAFP9160807B/312433454</t>
  </si>
  <si>
    <t>TruWood</t>
  </si>
  <si>
    <t>7POMSP</t>
  </si>
  <si>
    <t>Beige Primer</t>
  </si>
  <si>
    <t>https://www.homedepot.com/p/TruWood-Sturdy-Panel-48-x-96-Engineered-Wood-Panel-Siding-7POMSP/202531838</t>
  </si>
  <si>
    <t>DuraTemp</t>
  </si>
  <si>
    <t>https://www.homedepot.com/p/DuraTemp-0-563-in-x-48-in-x-96-in-Primed-8-in-OC-T1-11-Plywood-Siding-Panel-871934/204855074</t>
  </si>
  <si>
    <t>PTP23010</t>
  </si>
  <si>
    <t>primed</t>
  </si>
  <si>
    <t>https://www.homedepot.com/p/1-in-x-8-in-x-10-ft-Primed-Treated-Pine-Tongue-Groove-Board-PTP23010/202180027</t>
  </si>
  <si>
    <t>PTP2308</t>
  </si>
  <si>
    <t>https://www.homedepot.com/p/1-in-x-8-in-x-8-ft-Primed-Treated-Tongue-Groove-Board-PTP2308/202180029</t>
  </si>
  <si>
    <t>PTP22910</t>
  </si>
  <si>
    <t>https://www.homedepot.com/p/1-in-x-6-in-x-10-ft-Primed-Treated-Pine-Tongue-Groove-Board-PTP22910/202180024</t>
  </si>
  <si>
    <t>PTP22916</t>
  </si>
  <si>
    <t>https://www.homedepot.com/p/1-in-x-6-in-x-16-ft-Primed-Treated-Tongue-Groove-Board-PTP22916/202180025</t>
  </si>
  <si>
    <t>CladdingPanel_WC7G_013</t>
  </si>
  <si>
    <t>Driftwood</t>
  </si>
  <si>
    <t>https://www.homedepot.com/p/Ejoy-106-in-x-6-in-x-0-5-in-Solid-Wood-Wall-7-Grid-Cladding-Siding-Board-in-Driftwood-Color-Set-of-4-Piece-CladdingPanel-WC7G-013/322824003</t>
  </si>
  <si>
    <t>CladdingPanel_WWC_0011</t>
  </si>
  <si>
    <t>https://www.homedepot.com/p/Ejoy-93-in-x-6-in-x-0-8-in-Wood-Solid-Wall-Cladding-Siding-Board-in-Oak-Brown-Color-Set-of-3-piece-CladdingPanel-WWC-0011/318775439</t>
  </si>
  <si>
    <t>WoodWallCladdingPanel_WWC_0011</t>
  </si>
  <si>
    <t>https://www.homedepot.com/p/Ejoy-6-in-x-93-in-x-0-8-in-Wood-Solid-Wall-Cladding-Siding-Board-Set-of-3-Piece-WoodWallCladdingPanel-WWC-0011/318775660</t>
  </si>
  <si>
    <t>WoodWallCladdingPanel_WC7G_020</t>
  </si>
  <si>
    <t>https://www.homedepot.com/p/Ejoy-106-in-x-6-in-x-0-5-in-Solid-Wood-Wall-7-Grid-Cladding-Siding-Board-Set-of-4-Piece-WoodWallCladdingPanel-WC7G-020/322841496</t>
  </si>
  <si>
    <t>CladdingPanel_WC7G_020</t>
  </si>
  <si>
    <t>https://www.homedepot.com/p/Ejoy-106-in-x-6-in-x-0-5-in-Solid-Wood-Wall-7-Grid-Cladding-Siding-Board-in-Light-Oak-Color-Set-of-4-Piece-CladdingPanel-WC7G-020/322824005</t>
  </si>
  <si>
    <t>CladdingPanel_WC7G_011</t>
  </si>
  <si>
    <t>https://www.homedepot.com/p/Ejoy-106-in-x-6-in-x-0-5-in-Solid-Wood-Wall-7-Grid-Cladding-Siding-Board-in-Oak-Brown-Color-Set-of-4-Piece-CladdingPanel-WC7G-011/322824007</t>
  </si>
  <si>
    <t>CladdingPanel_WC7G_004</t>
  </si>
  <si>
    <t>Off White</t>
  </si>
  <si>
    <t>https://www.homedepot.com/p/Ejoy-106-in-x-6-in-x-0-5-in-Solid-Wood-Wall-7-Grid-Cladding-Siding-Board-in-Off-White-Color-Set-of-4-Piece-CladdingPanel-WC7G-004/322823999</t>
  </si>
  <si>
    <t>CladdingPanel_WWC_0030</t>
  </si>
  <si>
    <t>WalnutWood</t>
  </si>
  <si>
    <t>https://www.homedepot.com/p/Ejoy-6-in-x-93-in-x-0-8-in-Wood-Solid-Wall-Cladding-Siding-Board-in-Walnut-Wood-Color-Set-of-3-piece-CladdingPanel-WWC-0030/322517316</t>
  </si>
  <si>
    <t>CladdingPanel_WC7G_31</t>
  </si>
  <si>
    <t>Light Chestnut</t>
  </si>
  <si>
    <t>https://www.homedepot.com/p/Ejoy-106-in-x-6-in-x-0-5-in-Solid-Wood-Wall-7-Grid-Cladding-Siding-Board-in-Light-Chestnut-Color-Set-of-4-Piece-CladdingPanel-WC7G-31/322824004</t>
  </si>
  <si>
    <t>CladdingPanel_LWC_0011</t>
  </si>
  <si>
    <t>Fairfield Walnut</t>
  </si>
  <si>
    <t>https://www.homedepot.com/p/Ejoy-106-in-x-6-in-x-0-7-in-Solid-Wood-Wall-Cladding-Siding-Board-in-Fairfield-Walnut-Color-Set-of-4-piece-CladdingPanel-LWC-0011/327023776</t>
  </si>
  <si>
    <t>CladdingPanel_WC7G_016</t>
  </si>
  <si>
    <t>https://www.homedepot.com/p/Ejoy-106-in-x-6-in-x-0-5-in-Solid-Wood-Wall-7-Grid-Cladding-Siding-Board-in-Dark-Chestnut-Color-Set-of-4-Piece-CladdingPanel-WC7G-016/322824001</t>
  </si>
  <si>
    <t>CladdingPanel_WC7G_033</t>
  </si>
  <si>
    <t>Beige Gray</t>
  </si>
  <si>
    <t>https://www.homedepot.com/p/Ejoy-106-in-x-6-in-x-0-5-in-Solid-Wood-Wall-7-Grid-Cladding-Siding-Board-in-Beige-Gray-Color-Set-of-4-Piece-CladdingPanel-WC7G-033/322823998</t>
  </si>
  <si>
    <t>CladdingPanel_WWC_0011_Sample</t>
  </si>
  <si>
    <t>https://www.homedepot.com/p/Ejoy-SAMPLE-10-in-x-6-in-x-0-8-in-Wood-Solid-Wall-Cladding-Siding-Board-in-Oak-Brown-Sample-1-Piece-CladdingPanel-WWC-0011-Sample/324553736</t>
  </si>
  <si>
    <t>CladdingPanel_WC7G_035</t>
  </si>
  <si>
    <t>Rose Red</t>
  </si>
  <si>
    <t>https://www.homedepot.com/p/Ejoy-106-in-x-6-in-x-0-5-in-Solid-Wood-Wall-7-Grid-Cladding-Siding-Board-in-Rose-Red-Color-Set-of-4-Piece-CladdingPanel-WC7G-035/322824000</t>
  </si>
  <si>
    <t>CladdingPanel_WWC_0030_Sample</t>
  </si>
  <si>
    <t>https://www.homedepot.com/p/Ejoy-SAMPLE-6-in-x-10-in-x-0-8-in-Wood-Solid-Wall-Cladding-Siding-Board-in-Walnut-Wood-Sample-1-Piece-CladdingPanel-WWC-0030-Sample/324553732</t>
  </si>
  <si>
    <t>CladdingPanel_WWC_0016_Sample</t>
  </si>
  <si>
    <t>Smoked Oak</t>
  </si>
  <si>
    <t>https://www.homedepot.com/p/Ejoy-SAMPLE-10-in-x-6-in-x-0-8-in-Wood-Solid-Wall-Cladding-Siding-Board-in-Smoked-Oak-Sample-1-Piece-CladdingPanel-WWC-0016-Sample/324553630</t>
  </si>
  <si>
    <t>CladdingPanel_WWC_0000_Sample</t>
  </si>
  <si>
    <t>Unpolished Natural</t>
  </si>
  <si>
    <t>https://www.homedepot.com/p/Ejoy-SAMPLE-10-in-x-6-in-x-0-8-in-Wood-Solid-Wall-Cladding-Siding-Board-in-Unpolished-Natural-Sample-1-Piece-CladdingPanel-WWC-0000-Sample/324553629</t>
  </si>
  <si>
    <t>WoodCladdingPanel_LWC_0011</t>
  </si>
  <si>
    <t>https://www.homedepot.com/p/Ejoy-106-in-x-6-in-x-0-7-in-Solid-Wood-Wall-Cladding-Siding-Board-Set-of-4-piece-WoodCladdingPanel-LWC-0011/327024029</t>
  </si>
  <si>
    <t>CladdingPanel_WWC_0020_Sample</t>
  </si>
  <si>
    <t>LightOak</t>
  </si>
  <si>
    <t>https://www.homedepot.com/p/Ejoy-SAMPLE-10-in-x-6-in-x-0-8-in-Solid-Wood-Wall-Cladding-Siding-Board-in-Light-Oak-Sample-1-Piece-CladdingPanel-WWC-0020-Sample/324553631</t>
  </si>
  <si>
    <t>CladdingPanel_WWC_013_Sample</t>
  </si>
  <si>
    <t>DriftWood</t>
  </si>
  <si>
    <t>https://www.homedepot.com/p/Ejoy-SAMPLE-10-in-x-6-in-x-0-8-in-Solid-Wood-Wall-Cladding-Siding-Board-in-Drift-Wood-Sample-1-Piece-CladdingPanel-WWC-013-Sample/324553737</t>
  </si>
  <si>
    <t>Plytanium</t>
  </si>
  <si>
    <t>https://www.homedepot.com/p/Plytanium-Plywood-Siding-Panel-T1-11-8-IN-OC-Nominal-19-32-in-x-4-ft-x-8-ft-Actual-0-563-in-x-48-in-x-96-in-113699/100000016</t>
  </si>
  <si>
    <t>https://www.homedepot.com/p/Pattern-Stock-Shiplap-Board-Nominal-1-in-x-6-in-x-12-ft-Actual-0-625-in-x-5-37-in-x-144-in-905178/202180060</t>
  </si>
  <si>
    <t>https://www.homedepot.com/p/15-32-in-x-4-ft-x-8-ft-Plywood-Siding-Panel-399067/202526444</t>
  </si>
  <si>
    <t>1682CPRNGBSL</t>
  </si>
  <si>
    <t>https://www.homedepot.com/p/1-in-x-6-in-x-8-ft-Pine-Resawn-Nickel-Gap-Back-Shiplap-Siding-1682CPRNGBSL/313328668</t>
  </si>
  <si>
    <t>16122CPRNGBSL</t>
  </si>
  <si>
    <t>https://www.homedepot.com/p/1-in-x-6-in-x-12-ft-Pine-Resawn-Nickel-Gap-Back-Shiplap-Siding-16122CPRNGBSL/313328681</t>
  </si>
  <si>
    <t>LR-4824-NST</t>
  </si>
  <si>
    <t>Nature Spirit</t>
  </si>
  <si>
    <t>https://www.homedepot.com/p/TRITAN-BP-Lightning-Ridge-48-in-x-24-in-Class-A-Fire-Rated-Faux-Stone-Siding-Panel-Finished-Nature-Spirit-LR-4824-NST/311889099</t>
  </si>
  <si>
    <t>Everbilt</t>
  </si>
  <si>
    <t>UNKNOWN</t>
  </si>
  <si>
    <t>TDS-4824-VAH</t>
  </si>
  <si>
    <t>https://www.homedepot.com/p/TRITAN-BP-Stack-Stone-48-in-x-24-25-in-Polyurethane-Interlocking-Siding-Panel-Finished-in-Volcanic-Ash-TDS-4824-VAH/316730257</t>
  </si>
  <si>
    <t>CSS.11.004.40</t>
  </si>
  <si>
    <t>Ash / Smoke</t>
  </si>
  <si>
    <t>https://www.homedepot.com/p/ClipStone-Ash-Ledgestone-Flats-4-x-6-to-17-Siding-5-SF-CSS-11-004-40/305042047</t>
  </si>
  <si>
    <t>CSS.11.012.40</t>
  </si>
  <si>
    <t>https://www.homedepot.com/p/ClipStone-Osceola-Ledgestone-Flats-4-in-x-6-in-to-17-in-Siding-5-SF-CSS-11-012-40/316537226</t>
  </si>
  <si>
    <t>CSS.10.004.40</t>
  </si>
  <si>
    <t>https://www.homedepot.com/p/ClipStone-Ash-ProStack-Flats-4-x-6-to-17-Siding-5-SF-CSS-10-004-40/304977426</t>
  </si>
  <si>
    <t>Natural Concrete Products Co</t>
  </si>
  <si>
    <t>FBSW112</t>
  </si>
  <si>
    <t>https://www.homedepot.com/p/Natural-Concrete-Products-Co-112-in-Fossill-Brown-Outdoor-Decorative-Concrete-Seat-Wall-FBSW112/203110004</t>
  </si>
  <si>
    <t>CSS.10.011.40</t>
  </si>
  <si>
    <t>Brown/Black</t>
  </si>
  <si>
    <t>https://www.homedepot.com/p/ClipStone-Walnut-ProStack-Flats-4-in-x-8-in-to-20-in-Siding-5-SF-CSS-10-011-40/316537227</t>
  </si>
  <si>
    <t>CSS.10.013.40</t>
  </si>
  <si>
    <t>https://www.homedepot.com/p/ClipStone-Teton-Grey-ProStack-Flats-4-in-x-8-in-to-20-in-Siding-5-SF-CSS-10-013-40/316537118</t>
  </si>
  <si>
    <t>LFLAT</t>
  </si>
  <si>
    <t>https://www.homedepot.com/p/ADORN-23-5-in-x-6-in-Stone-Shadowledge-Limestone-Veneer-Siding-Flats-LFLAT/311020895</t>
  </si>
  <si>
    <t>CSS.11.013.40</t>
  </si>
  <si>
    <t>https://www.homedepot.com/p/ClipStone-Teton-Grey-Ledgestone-Flats-4-in-x-6-in-to-17-in-Siding-5-SF-CSS-11-013-40/316537219</t>
  </si>
  <si>
    <t>CGPillar</t>
  </si>
  <si>
    <t>Colorado Gray</t>
  </si>
  <si>
    <t>https://www.homedepot.com/p/ADORN-18-in-x-6-in-Ledge-Stone-Colorado-Gray-Stone-Veneer-Siding-Pillar-Stone-CGPillar/307600413</t>
  </si>
  <si>
    <t>SLSP-ON-8</t>
  </si>
  <si>
    <t>https://www.homedepot.com/p/NextStone-Slatestone-Onyx-8-25-in-x-43-in-Faux-Stone-Siding-Panel-8-Pack-SLSP-ON-8/206727003</t>
  </si>
  <si>
    <t>RBSW112</t>
  </si>
  <si>
    <t>https://www.homedepot.com/p/Natural-Concrete-Products-Co-112-in-Random-Brown-Seat-Wall-RBSW112/203109996</t>
  </si>
  <si>
    <t>CSS.10.009.40</t>
  </si>
  <si>
    <t>Black/Brown</t>
  </si>
  <si>
    <t>https://www.homedepot.com/p/ClipStone-Black-Creek-ProStack-Flats-4-in-x-8-in-to-20-in-Siding-5-SF-CSS-10-009-40/316537216</t>
  </si>
  <si>
    <t>CSS.11.011.40</t>
  </si>
  <si>
    <t>https://www.homedepot.com/p/ClipStone-Walnut-Ledgestone-Flats-4-in-x-6-in-to-17-in-Siding-5-SF-CSS-11-011-40/316537264</t>
  </si>
  <si>
    <t>CSS.10.012.40</t>
  </si>
  <si>
    <t>https://www.homedepot.com/p/ClipStone-Osceola-ProStack-Flats-4-in-x-8-in-to-20-in-Siding-5-SF-CSS-10-012-40/316537262</t>
  </si>
  <si>
    <t>Royal Mouldings</t>
  </si>
  <si>
    <t>https://www.homedepot.com/p/Royal-Mouldings-12-ft-x-1-3-4-in-x-3-4-in-Vinyl-Shingle-Molding-0259912003/100028728</t>
  </si>
  <si>
    <t>FBSW64</t>
  </si>
  <si>
    <t>https://www.homedepot.com/p/Natural-Concrete-Products-Co-64-in-Fossill-Brown-Outdoor-Decorative-Seat-Wall-FBSW64/203110008</t>
  </si>
  <si>
    <t>Horizontal lap hardboard siding</t>
  </si>
  <si>
    <t>Product Description</t>
  </si>
  <si>
    <t>Length (ft)</t>
  </si>
  <si>
    <t>Area (sq ft)</t>
  </si>
  <si>
    <t>Radiant Barrier</t>
  </si>
  <si>
    <t>Reflectix</t>
  </si>
  <si>
    <t>RSBW24100</t>
  </si>
  <si>
    <t>Reflectix® R-2.8 Single Reflective/White Single Bubble Insulation 2' x 100'</t>
  </si>
  <si>
    <t>https://www.menards.com/main/building-materials/insulation/radiant-barrier/reflectix-reg-r-2-8-single-reflective-white-single-bubble-insulation-2-x-100/rsbw24100/p-1444452048604-c-5778.htm?tid=4377731523762632554&amp;ipos=11</t>
  </si>
  <si>
    <t>RDBW24100</t>
  </si>
  <si>
    <t>Reflectix® R-3.2 Single Reflective/White Double Bubble Insulation 2' x 100'</t>
  </si>
  <si>
    <t>https://www.menards.com/main/building-materials/insulation/radiant-barrier/reflectix-reg-r-3-2-single-reflective-white-double-bubble-insulation-2-x-100/rdbw24100/p-1444452049359-c-5778.htm?tid=768005287546730626&amp;ipos=12</t>
  </si>
  <si>
    <t>rFOIL</t>
  </si>
  <si>
    <t>4x100DB</t>
  </si>
  <si>
    <t>rFOIL Bubble Reflective Insulation 5/16" x 4' x 100'</t>
  </si>
  <si>
    <t>https://www.menards.com/main/building-materials/insulation/radiant-barrier/rfoil-bubble-reflective-insulation-5-16-x-4-x-100/4x100db/p-1525329034613-c-5778.htm?tid=-312250221899690604&amp;ipos=19</t>
  </si>
  <si>
    <t>DBWEF48100</t>
  </si>
  <si>
    <t>Reflectix® R-1.1 Concrete Slab Insulation 4' x 50'</t>
  </si>
  <si>
    <t>https://www.menards.com/main/building-materials/insulation/radiant-barrier/reflectix-reg-r-1-1-concrete-slab-insulation-4-x-50/dbwef48050/p-1444452049180-c-5778.htm?tid=6173589164407728779&amp;ipos=17</t>
  </si>
  <si>
    <t>DBWEF48051</t>
  </si>
  <si>
    <t>Reflectix® R-1.1 Concrete Slab Insulation 4' x 100'</t>
  </si>
  <si>
    <t>https://www.menards.com/main/building-materials/insulation/radiant-barrier/reflectix-reg-r-1-1-concrete-slab-insulation-4-x-100/dbwef48100/p-1444452048201-c-5778.htm?tid=-8250231397117999504&amp;ipos=18</t>
  </si>
  <si>
    <t>48X125DBLRFL</t>
  </si>
  <si>
    <t>48 in. x 125 ft. Double Reflective Insulation Radiant Barrier</t>
  </si>
  <si>
    <t>https://www.homedepot.com/p/Everbilt-48-in-x-125-ft-Double-Reflective-Insulation-Radiant-Barrier-48X125DBLRFL/319738988</t>
  </si>
  <si>
    <t>BP48100</t>
  </si>
  <si>
    <t>Reflectix® R-3.7 Double Reflective Insulation 4' x 100'</t>
  </si>
  <si>
    <t>https://www.menards.com/main/building-materials/insulation/radiant-barrier/reflectix-reg-r-3-7-double-reflective-insulation-4-x-100/bp48100/p-1444452049254-c-5778.htm?tid=-8417826187127045349&amp;ipos=5</t>
  </si>
  <si>
    <t>12X100DBLRFL</t>
  </si>
  <si>
    <t xml:space="preserve">
16 in. x 100 ft. Double Reflective Insulation Radiant Barrier</t>
  </si>
  <si>
    <t>https://www.homedepot.com/p/Everbilt-16-in-x-100-ft-Double-Reflective-Insulation-Radiant-Barrier-12X100DBLRFL/319739001</t>
  </si>
  <si>
    <t>ST16100</t>
  </si>
  <si>
    <t>Reflectix® R-3.7 Double Reflective Insulation with Staple Tab 16" x 100'</t>
  </si>
  <si>
    <t>https://www.menards.com/main/building-materials/insulation/radiant-barrier/reflectix-reg-r-3-7-double-reflective-insulation-with-staple-tab-16-x-100/st16100/p-1444452048452-c-5778.htm?tid=7697804935726865368&amp;ipos=6</t>
  </si>
  <si>
    <t>Relectix</t>
  </si>
  <si>
    <t>RDBW16100</t>
  </si>
  <si>
    <t>Reflectix® R-3.2 Single Reflective/White Double Bubble Insulation 16" x 100'</t>
  </si>
  <si>
    <t>https://www.menards.com/main/building-materials/insulation/radiant-barrier/reflectix-reg-r-3-2-single-reflective-white-double-bubble-insulation-16-x-100/rdbw16100/p-1444452048369-c-5778.htm?tid=6926802383487384841&amp;ipos=10</t>
  </si>
  <si>
    <t>BP24100</t>
  </si>
  <si>
    <t>Reflectix® R-3.7 Double Reflective Insulation 2' x 100'</t>
  </si>
  <si>
    <t>https://www.menards.com/main/building-materials/insulation/radiant-barrier/reflectix-reg-r-3-7-double-reflective-insulation-2-x-100/bp24100/p-1444452048724-c-5778.htm?tid=-3972285793587187234&amp;ipos=4</t>
  </si>
  <si>
    <t>ST24100</t>
  </si>
  <si>
    <t>Reflectix® R-3.7 Double Reflective Insulation with Staple Tab 2' x 100'</t>
  </si>
  <si>
    <t>https://www.menards.com/main/building-materials/insulation/radiant-barrier/reflectix-reg-r-3-7-double-reflective-insulation-with-staple-tab-2-x-100/st24100/p-1444452048793-c-5778.htm?tid=-6119177527934768233&amp;ipos=7</t>
  </si>
  <si>
    <t>ST48100</t>
  </si>
  <si>
    <t>Reflectix® R-3.7 Double Reflective Insulation with Staple Tab 4' x 100'</t>
  </si>
  <si>
    <t>https://www.menards.com/main/building-materials/insulation/radiant-barrier/reflectix-reg-r-3-7-double-reflective-insulation-with-staple-tab-4-x-100/st48100/p-1444452048523-c-5778.htm?tid=-727801652860037214&amp;ipos=8</t>
  </si>
  <si>
    <t>RSBW48100</t>
  </si>
  <si>
    <t>Reflectix® R-2.8 Single Reflective/White Single Bubble Insulation 4' x 100'</t>
  </si>
  <si>
    <t>https://www.menards.com/main/building-materials/insulation/radiant-barrier/reflectix-reg-r-2-8-single-reflective-white-single-bubble-insulation-4-x-100/rsbw48100/p-1444452048122-c-5778.htm?tid=-8376514018850613698&amp;ipos=13</t>
  </si>
  <si>
    <t>BP48025</t>
  </si>
  <si>
    <t>Reflectix® R-3.7 Reflective Insulation 4' x 25'</t>
  </si>
  <si>
    <t>https://www.menards.com/main/building-materials/insulation/radiant-barrier/reflectix-reg-r-3-7-reflective-insulation-4-x-25/bp48025/p-1444452048953-c-5778.htm?tid=4855025226262374286&amp;ipos=3</t>
  </si>
  <si>
    <t>24X100DBLRFL</t>
  </si>
  <si>
    <t>24 in. x 100 ft. Double Reflective Insulation Radiant Barrier</t>
  </si>
  <si>
    <t>https://www.homedepot.com/p/Everbilt-24-in-x-100-ft-Double-Reflective-Insulation-Radiant-Barrier-24X100DBLRFL/319738992</t>
  </si>
  <si>
    <t>BP24025</t>
  </si>
  <si>
    <t>Reflectix® R-3.7 Reflective Insulation 24" x 25' 50 SF</t>
  </si>
  <si>
    <t>https://www.menards.com/main/building-materials/insulation/radiant-barrier/reflectix-reg-r-3-7-reflective-insulation-24-x-25-50-sf/bp24025/p-1444452049106-c-5778.htm?tid=694f1fb3-fbbc-4d27-a122-1a442256f2ab&amp;ipos=1&amp;exp=false</t>
  </si>
  <si>
    <t>24x10DRI</t>
  </si>
  <si>
    <t>Everbilt 24 in. x 10 ft. Double Reflective Insulation 24x10DRI - The Home Depot</t>
  </si>
  <si>
    <t>https://www.homedepot.com/p/Everbilt-24-in-x-10-ft-Double-Reflective-Insulation-24x10DRI/314983628</t>
  </si>
  <si>
    <t>RDBW48100</t>
  </si>
  <si>
    <t>Reflectix® R-3.2 Single Reflective/White Double Bubble Insulation 4' x 100'</t>
  </si>
  <si>
    <t>https://www.menards.com/main/building-materials/insulation/radiant-barrier/reflectix-reg-r-3-2-single-reflective-white-double-bubble-insulation-4-x-100/rdbw48100/p-1444452048012-c-5778.htm?tid=2545332814842779680&amp;ipos=14</t>
  </si>
  <si>
    <t>48x25RI</t>
  </si>
  <si>
    <t>48 in. x 25 ft. Double Reflective Insulation</t>
  </si>
  <si>
    <t>https://www.homedepot.com/p/Everbilt-48-in-x-25-ft-Double-Reflective-Insulation-48x25RI/315103268</t>
  </si>
  <si>
    <t>ST16025</t>
  </si>
  <si>
    <t>Reflectix® R-3.7 Reflective Bubble Insulation 16" x 25'</t>
  </si>
  <si>
    <t>https://www.menards.com/main/building-materials/insulation/radiant-barrier/reflectix-reg-r-3-7-reflective-bubble-insulation-16-x-25/st16025/p-1444452049026-c-5778.htm?tid=-1734852903269249177&amp;ipos=1</t>
  </si>
  <si>
    <t>8X100RFLINS</t>
  </si>
  <si>
    <t>8 in. x 100 ft. Double Reflective Insulation</t>
  </si>
  <si>
    <t>https://www.homedepot.com/p/Everbilt-8-in-x-100-ft-Double-Reflective-Insulation-8X100RFLINS/321998259</t>
  </si>
  <si>
    <t>24x25RI-SE</t>
  </si>
  <si>
    <t>24 in. x 25 ft. Double Reflective Insulation Staple Tab</t>
  </si>
  <si>
    <t>https://www.homedepot.com/p/Everbilt-24-in-x-25-ft-Double-Reflective-Insulation-Staple-Tab-24x25RI-SE/315103185</t>
  </si>
  <si>
    <t>16x25RI-SE</t>
  </si>
  <si>
    <t>16 in. x 25 ft. Double Reflective Insulation Staple Tab</t>
  </si>
  <si>
    <t>https://www.homedepot.com/p/Everbilt-16-in-x-25-ft-Double-Reflective-Insulation-Staple-Tab-16x25RI-SE/315103182</t>
  </si>
  <si>
    <t>DW12025</t>
  </si>
  <si>
    <t>Reflectix® R-4.2 Duct Wrap Insulation 12" x 25'</t>
  </si>
  <si>
    <t>https://www.menards.com/main/building-materials/insulation/radiant-barrier/reflectix-reg-r-4-2-duct-wrap-insulation-12-x-25/dw12025/p-1444452048269-c-5778.htm?tid=7189641983552778055&amp;ipos=9</t>
  </si>
  <si>
    <t>Home Guide</t>
  </si>
  <si>
    <t>https://homeguide.com/costs/radiant-barrier-cost</t>
  </si>
  <si>
    <t>$/sqft for Radiant Barrier</t>
  </si>
  <si>
    <t>Drywall</t>
  </si>
  <si>
    <t>USG Sheetrock Brand</t>
  </si>
  <si>
    <t>14211011308</t>
  </si>
  <si>
    <t>5/8</t>
  </si>
  <si>
    <t>https://www.homedepot.com/p/USG-Sheetrock-Brand-5-8-in-x-4-ft-x-8-ft-Firecode-X-Drywall-14211011308/100321591</t>
  </si>
  <si>
    <t>14113411708</t>
  </si>
  <si>
    <t>1/2</t>
  </si>
  <si>
    <t>https://www.homedepot.com/p/USG-Sheetrock-Brand-1-2-in-x-4-ft-x-8-ft-UltraLight-Drywall-14113411708/202530243</t>
  </si>
  <si>
    <t>14302111708</t>
  </si>
  <si>
    <t>https://www.homedepot.com/p/USG-Sheetrock-Brand-1-2-in-x-4-ft-x-8-ft-UltraLight-Mold-Tough-Drywall-14302111708/203768542</t>
  </si>
  <si>
    <t>14113411712</t>
  </si>
  <si>
    <t>https://www.homedepot.com/p/USG-Sheetrock-Brand-1-2-in-x-4-ft-x-12-ft-UltraLight-Drywall-14113411712/202530306</t>
  </si>
  <si>
    <t>DRICORE</t>
  </si>
  <si>
    <t>FG10026</t>
  </si>
  <si>
    <t>https://www.homedepot.com/p/DRICORE-SMARTWALL-4-in-x-2-ft-x-8-ft-All-in-One-Wall-Panel-with-Light-Switch-Box-FG10026/205351516</t>
  </si>
  <si>
    <t>14109012208</t>
  </si>
  <si>
    <t>3/8</t>
  </si>
  <si>
    <t>https://www.homedepot.com/p/USG-Sheetrock-Brand-3-8-in-x-4-ft-x-8-ft-Drywall-14109012208/100321594</t>
  </si>
  <si>
    <t>FG10019</t>
  </si>
  <si>
    <t>https://www.homedepot.com/p/DRICORE-SMARTWALL-4-in-x-2-ft-x-8-ft-All-in-One-Wall-Panel-FG10019/205351492</t>
  </si>
  <si>
    <t>14313211308</t>
  </si>
  <si>
    <t>https://www.homedepot.com/p/USG-Sheetrock-Brand-5-8-in-x-4-ft-x-8-ft-Mold-Tough-Firecode-X-Drywall-14313211308/202263275</t>
  </si>
  <si>
    <t>American Gypsum</t>
  </si>
  <si>
    <t>4000121</t>
  </si>
  <si>
    <t>https://www.homedepot.com/p/American-Gypsum-FireBloc-5-8-in-x-4-ft-x-12-ft-Gypsum-Wallboard-4000121/100584932</t>
  </si>
  <si>
    <t>Gold Bond</t>
  </si>
  <si>
    <t>50002294</t>
  </si>
  <si>
    <t>https://www.homedepot.com/p/Gold-Bond-Fire-Shield-5-8-in-x-4-ft-x-12-ft-Fire-Resistant-Drywall-Sheet-50002294/100320247</t>
  </si>
  <si>
    <t>694576</t>
  </si>
  <si>
    <t>https://www.homedepot.com/p/American-Gypsum-5-8-in-x-4-ft-x-12-ft-FireBloc-Gypsum-Wallboard-694576/325371285</t>
  </si>
  <si>
    <t>000126</t>
  </si>
  <si>
    <t>https://www.homedepot.com/p/5-8-in-x-4-ft-x-12-ft-Gypsum-Wallboard-000126/100322702</t>
  </si>
  <si>
    <t>419109</t>
  </si>
  <si>
    <t>https://www.homedepot.com/p/American-Gypsum-5-8-in-x-4-ft-x-8-ft-Regular-Gypsum-Board-419109/325371299</t>
  </si>
  <si>
    <t>Sheathing</t>
  </si>
  <si>
    <t>386081</t>
  </si>
  <si>
    <t>7/16</t>
  </si>
  <si>
    <t>https://www.homedepot.com/p/OSB-7-16-Application-as-4ft-X-8-ft-Sheathing-Panel-386081/202106230</t>
  </si>
  <si>
    <t>691459</t>
  </si>
  <si>
    <t>19/32</t>
  </si>
  <si>
    <t>https://www.homedepot.com/p/Oriented-Strand-Board-Common-19-32-in-x-4-ft-x-8-ft-Actual-0-578-in-x-47-75-in-x-95-75-in-691459/205821485</t>
  </si>
  <si>
    <t>Sanded</t>
  </si>
  <si>
    <t>Handprint</t>
  </si>
  <si>
    <t>300853</t>
  </si>
  <si>
    <t>11/32</t>
  </si>
  <si>
    <t>https://www.homedepot.com/p/Handprint-11-32-in-x-2-ft-x-4-ft-BCX-Sanded-Plywood-Actual-0-322-in-x-23-75-in-x-47-75-in-300853/202093831</t>
  </si>
  <si>
    <t>20159</t>
  </si>
  <si>
    <t>15/32</t>
  </si>
  <si>
    <t>https://www.homedepot.com/p/15-32-in-x-4-ft-x-8-ft-Sheathing-Plywood-Actual-0-438-in-x-48-in-x-96-in-20159/206827282</t>
  </si>
  <si>
    <t>Glasliner</t>
  </si>
  <si>
    <t>MFTF12IXA480009600</t>
  </si>
  <si>
    <t>1/8</t>
  </si>
  <si>
    <t>https://www.homedepot.com/p/Glasliner-4-ft-x-8-ft-White-090-FRP-Wall-Board-MFTF12IXA480009600/100389836</t>
  </si>
  <si>
    <t>920924</t>
  </si>
  <si>
    <t>23/32</t>
  </si>
  <si>
    <t>https://www.homedepot.com/p/23-32-in-T-G-OSB-Subfloor-Common-23-32-in-x-4-ft-x-8-ft-Actual-0-703-in-x-47-875-in-x-95-875-in-920924/100054132</t>
  </si>
  <si>
    <t>Project Panels</t>
  </si>
  <si>
    <t>300918</t>
  </si>
  <si>
    <t>https://www.homedepot.com/p/Handprint-15-32-in-x-4-ft-x-4-ft-Sanded-Plywood-Project-Panel-300918/202093834</t>
  </si>
  <si>
    <t>512977</t>
  </si>
  <si>
    <t>https://www.homedepot.com/p/15-32-in-OSB-Sheathing-Common-15-32-in-x-4-ft-x-8-ft-Actual-0-451-in-x-47-875-in-x-95-875-in-512977/202084681</t>
  </si>
  <si>
    <t>EUCATILE</t>
  </si>
  <si>
    <t>975-759</t>
  </si>
  <si>
    <t>3/16</t>
  </si>
  <si>
    <t>https://www.homedepot.com/p/EUCATILE-32-sq-ft-3-16-in-x-48-in-x-96-in-Beadboard-White-True-Bead-Panel-975-759/205669196</t>
  </si>
  <si>
    <t>300969</t>
  </si>
  <si>
    <t>https://www.homedepot.com/p/Handprint-23-32-in-x-2-ft-x-4-ft-Sanded-Plywood-Project-Panel-300969/202093836</t>
  </si>
  <si>
    <t>211799</t>
  </si>
  <si>
    <t>https://www.homedepot.com/p/Handprint-23-32-in-x-4-ft-x-4-ft-BCX-Sanded-Plywood-Actual-0-703-in-x-47-75-in-x-47-75-in-211799/205723975</t>
  </si>
  <si>
    <t>300950</t>
  </si>
  <si>
    <t>https://www.homedepot.com/p/Handprint-23-32-in-x-2-ft-x-2-ft-Sanded-Plywood-Project-Panel-300950/202093835</t>
  </si>
  <si>
    <t>300810</t>
  </si>
  <si>
    <t>1/4</t>
  </si>
  <si>
    <t>https://www.homedepot.com/p/Handprint-1-4-in-x-2-ft-x-2-ft-Sanded-Plywood-Project-Panel-300810/202093828</t>
  </si>
  <si>
    <t>300888</t>
  </si>
  <si>
    <t>https://www.homedepot.com/p/Handprint-15-32-in-x-2-ft-x-2-ft-Sanded-Plywood-Project-Panel-300888/202093832</t>
  </si>
  <si>
    <t>439592</t>
  </si>
  <si>
    <t>https://www.homedepot.com/p/15-32-in-x-4-ft-x-8-ft-Sheathing-Plywood-Actual-0-438-in-x-48-in-X-96-in-439592/100086654</t>
  </si>
  <si>
    <t>300896</t>
  </si>
  <si>
    <t>https://www.homedepot.com/p/Handprint-1-2-in-x-2-ft-x-4-ft-BCX-Sanded-Plywood-Actual-0-451-in-x-23-75-in-x-47-75-in-300896/202093833</t>
  </si>
  <si>
    <t>439614</t>
  </si>
  <si>
    <t>https://www.homedepot.com/p/23-32-in-x-4-ft-x-8-ft-Fir-Sheathing-Plywood-Actual-0-688-in-x-48-in-x-96-in-439614/100034683</t>
  </si>
  <si>
    <t>407735</t>
  </si>
  <si>
    <t>https://www.homedepot.com/p/19-32-in-x-4-ft-x-8-ft-Sheathing-Plywood-Actual-0-563-in-x-48-in-x-96-in-407735/206821342</t>
  </si>
  <si>
    <t>724092</t>
  </si>
  <si>
    <t>1-1/8</t>
  </si>
  <si>
    <t>https://www.homedepot.com/p/1-1-8-in-x-4-ft-x-8-ft-T-G-Sheathing-Plywood-724092/202088752</t>
  </si>
  <si>
    <t>31122</t>
  </si>
  <si>
    <t>https://www.homedepot.com/p/Radiant-Barrier-15-32-Application-as-4-x-8-Roof-Sheathing-Panel-31122/202106240</t>
  </si>
  <si>
    <t>Key Metric</t>
  </si>
  <si>
    <t>Product Name</t>
  </si>
  <si>
    <t>Board Feet Yield (1" Thick)</t>
  </si>
  <si>
    <t>More Product Info</t>
  </si>
  <si>
    <t>Type</t>
  </si>
  <si>
    <t>R-value per inch</t>
  </si>
  <si>
    <t>Cost</t>
  </si>
  <si>
    <t>$/Board Ft Yield</t>
  </si>
  <si>
    <t>Open Foam %</t>
  </si>
  <si>
    <t>Weight (lbs)</t>
  </si>
  <si>
    <t>Cured Volume: 112.5 ft³</t>
  </si>
  <si>
    <t>Polyurethane</t>
  </si>
  <si>
    <t>Energy Efficient Solutions</t>
  </si>
  <si>
    <t>https://www.energyefficientsolutions.com/Open_Cell.asp?item=FOAM1350-OC</t>
  </si>
  <si>
    <t>Cured Volume: 37.5 ft³</t>
  </si>
  <si>
    <t>https://www.energyefficientsolutions.com/Open_Cell.asp?item=FOAM450-OC</t>
  </si>
  <si>
    <t>Manufacturer: Touch 'N Seal</t>
  </si>
  <si>
    <t>&gt; 90%</t>
  </si>
  <si>
    <t>Conservation Mart</t>
  </si>
  <si>
    <t>https://www.conservationmart.com/touch-n-seal-spray-foam-insulation-kit-1000-open-cell-low-gwp/?setCurrencyId=1&amp;sku=12442</t>
  </si>
  <si>
    <t>Open cell 0.75 PCF Density</t>
  </si>
  <si>
    <t>Best Materials</t>
  </si>
  <si>
    <t>https://www.bestmaterials.com/detail.aspx?ID=18580&amp;utm_source=google&amp;utm_medium=organic&amp;utm_campaign=surfaces-across-google&amp;utm_term=18580&amp;srsltid=AfmBOoqumINUIE6TTBzWzuLeS_aF4sRFcOBAcK1Bd8SHCGByhZEnjC6fPNo</t>
  </si>
  <si>
    <t>https://www.bestmaterials.com/detail.aspx?ID=19287</t>
  </si>
  <si>
    <t>DAP® Touch ‘n Seal ® 1.0 PCF Low GWP Spray Foam </t>
  </si>
  <si>
    <t>https://www.dap.com/media/6981/tds-tns-1-0-pcf-low-gwp.pdf</t>
  </si>
  <si>
    <t>https://www.conservationmart.com/touch-n-seal-low-gwp-foam-kit-1-0-pcf-fr/?setCurrencyId=1&amp;sku=19942</t>
  </si>
  <si>
    <t>Density: .00 +/- 0.15 pcf</t>
  </si>
  <si>
    <t>Industrial Products</t>
  </si>
  <si>
    <t>https://www.industrialproducts.com/dap-7565011000-touch-n-seal-1000-low-gwp-1-0-pcf-fr-open-cell-spray-foam-kit.html</t>
  </si>
  <si>
    <t xml:space="preserve">Walmart </t>
  </si>
  <si>
    <t>https://www.walmart.com/ip/DAP-Low-GWP-1000-Kit-1-0-PCF-FR-Open-Cell/2792249675?wmlspartner=wlpa&amp;selectedSellerId=101105839</t>
  </si>
  <si>
    <t>Density: 0.75 lb/ft3</t>
  </si>
  <si>
    <t>https://www.conservationmart.com/handi-foam-1350-open-cell-low-density-spray-foam-kit/?setCurrencyId=1&amp;sku=16345</t>
  </si>
  <si>
    <t>Expanded Volume: 112.5 ft³</t>
  </si>
  <si>
    <t>Ebay</t>
  </si>
  <si>
    <t>https://www.ebay.com/itm/381868694147?chn=ps&amp;mkevt=1&amp;mkcid=28&amp;srsltid=AfmBOop0ba_4g_ABFmJzRzvZ0RBYBsDmCTTqvrrHb6fgc6NbO2zShusPqRk&amp;com_cvv=d30042528f072ba8a22b19c81250437cd47a2f30330f0ed03551c4efdaf3409e</t>
  </si>
  <si>
    <t>https://tigerfoam.com/sprayfoaminsulation/open-cell-vs-closed-cell-foam-which-should-i-choose/</t>
  </si>
  <si>
    <t>1. Most open cell foam has a density of about .5 pounds per cubic foot. Closed cell foam can be over three times that, with a density of  1.75 pounds per cubic foot or more</t>
  </si>
  <si>
    <t>2. Closed cell foam has a higher R-value than open cell foam, usually about 6.0 per inch. But some closed cell foams, like Tiger Foam’s E84 Closed Cell formula, have even higher ratings that go up to almost 7 per inch. Open cell foams have an R-value of around 3.5 per inch</t>
  </si>
  <si>
    <t>3. This is one of the most important differences from an application standpoint. Closed cell foam is designed to expand to about 1″ of thickness when sprayed. With each inch offering an r-value of 7, multiple applications can be applied to achieve higher total r-values. Open cell foam is designed to expand to 3″ of thickness, meaning only one application is possible in most standard walls</t>
  </si>
  <si>
    <t>4. One of the biggest benefits of open cell foam is that it expands so much after it has been applied, meaning it can insulate hard to reach nooks and crannies in a home. These types of areas can be hard to insulate with closed cell foam. Open cell foam is excellent for soundproofing where a single application can completly fill the area between stud</t>
  </si>
  <si>
    <t>5. Open cell foam is also much more affordable than closed cell foam, however this foam won’t insulate a house as well as closed cell foam</t>
  </si>
  <si>
    <t>6. Closed cell foam is the best choice for robust insulating where space is an issue, as it can achieve 2x the R-Value of  open cell inside a standard wall. Its rigid nature also adds to the structural integrity of the building and E84 fire rated versions are available. The closed cell also acts as a vapor barrier, so water and moisture will be less likely to get inside the home, and the foam itself is unharmed by water damage</t>
  </si>
  <si>
    <t>https://www.thisoldhouse.com/roofing/reviews/spray-foam-insulation-cost</t>
  </si>
  <si>
    <t xml:space="preserve">1. Closed-cell spray foam is more dense and protects against both moisture and hot and cold air. Open-cell has better fire protection qualities, but it doesn’t protect against moisture. Closed-cell spray foam costs $1.25 to $1.50 per square foot, while open-cell spray foam runs closer to $1.50 per square foot. </t>
  </si>
  <si>
    <t>2. A typical 1,500-square-foot house could cost $4,125 to $9,750 for open-cell insulation, or $4,725 to $11,250 for closed-cell</t>
  </si>
  <si>
    <t>3. Insulation most commonly requires two workers who work together on one wall. Labor plus materials cost an average of $1,700 to $3,000.</t>
  </si>
  <si>
    <t>Calculated Results based on R-value per inch for Open Cell Spray Foam</t>
  </si>
  <si>
    <t>Thickness</t>
  </si>
  <si>
    <t>Calculated R-value</t>
  </si>
  <si>
    <t>CLIMATE ZONE</t>
  </si>
  <si>
    <r>
      <t>FENESTRATION </t>
    </r>
    <r>
      <rPr>
        <b/>
        <i/>
        <sz val="10"/>
        <color theme="0"/>
        <rFont val="Arial"/>
        <family val="2"/>
      </rPr>
      <t>U</t>
    </r>
    <r>
      <rPr>
        <b/>
        <sz val="10"/>
        <color theme="0"/>
        <rFont val="Arial"/>
        <family val="2"/>
      </rPr>
      <t>-FACTORb, i</t>
    </r>
  </si>
  <si>
    <r>
      <t>SKYLIGHTb </t>
    </r>
    <r>
      <rPr>
        <b/>
        <i/>
        <sz val="10"/>
        <color theme="0"/>
        <rFont val="Arial"/>
        <family val="2"/>
      </rPr>
      <t>U</t>
    </r>
    <r>
      <rPr>
        <b/>
        <sz val="10"/>
        <color theme="0"/>
        <rFont val="Arial"/>
        <family val="2"/>
      </rPr>
      <t>-FACTOR</t>
    </r>
  </si>
  <si>
    <t>GLAZED FENESTRATION SHGCb, e</t>
  </si>
  <si>
    <r>
      <t>CEILING </t>
    </r>
    <r>
      <rPr>
        <b/>
        <i/>
        <sz val="10"/>
        <color theme="0"/>
        <rFont val="Arial"/>
        <family val="2"/>
      </rPr>
      <t>R</t>
    </r>
    <r>
      <rPr>
        <b/>
        <sz val="10"/>
        <color theme="0"/>
        <rFont val="Arial"/>
        <family val="2"/>
      </rPr>
      <t>-VALUE</t>
    </r>
  </si>
  <si>
    <r>
      <t>WOOD FRAME WALL </t>
    </r>
    <r>
      <rPr>
        <b/>
        <i/>
        <sz val="10"/>
        <color theme="0"/>
        <rFont val="Arial"/>
        <family val="2"/>
      </rPr>
      <t>R</t>
    </r>
    <r>
      <rPr>
        <b/>
        <sz val="10"/>
        <color theme="0"/>
        <rFont val="Arial"/>
        <family val="2"/>
      </rPr>
      <t>-VALUEg</t>
    </r>
  </si>
  <si>
    <r>
      <t>MASS WALL </t>
    </r>
    <r>
      <rPr>
        <b/>
        <i/>
        <sz val="10"/>
        <color theme="0"/>
        <rFont val="Arial"/>
        <family val="2"/>
      </rPr>
      <t>R</t>
    </r>
    <r>
      <rPr>
        <b/>
        <sz val="10"/>
        <color theme="0"/>
        <rFont val="Arial"/>
        <family val="2"/>
      </rPr>
      <t>-VALUEh</t>
    </r>
  </si>
  <si>
    <r>
      <t>FLOOR </t>
    </r>
    <r>
      <rPr>
        <b/>
        <i/>
        <sz val="10"/>
        <color theme="0"/>
        <rFont val="Arial"/>
        <family val="2"/>
      </rPr>
      <t>R</t>
    </r>
    <r>
      <rPr>
        <b/>
        <sz val="10"/>
        <color theme="0"/>
        <rFont val="Arial"/>
        <family val="2"/>
      </rPr>
      <t>-VALUE</t>
    </r>
  </si>
  <si>
    <r>
      <t>BASEMENTc,g WALL </t>
    </r>
    <r>
      <rPr>
        <b/>
        <i/>
        <sz val="10"/>
        <color theme="0"/>
        <rFont val="Arial"/>
        <family val="2"/>
      </rPr>
      <t>R</t>
    </r>
    <r>
      <rPr>
        <b/>
        <sz val="10"/>
        <color theme="0"/>
        <rFont val="Arial"/>
        <family val="2"/>
      </rPr>
      <t>-VALUE</t>
    </r>
  </si>
  <si>
    <r>
      <t>SLABd </t>
    </r>
    <r>
      <rPr>
        <b/>
        <i/>
        <sz val="10"/>
        <color theme="0"/>
        <rFont val="Arial"/>
        <family val="2"/>
      </rPr>
      <t>R</t>
    </r>
    <r>
      <rPr>
        <b/>
        <sz val="10"/>
        <color theme="0"/>
        <rFont val="Arial"/>
        <family val="2"/>
      </rPr>
      <t>-VALUE &amp; DEPTH</t>
    </r>
  </si>
  <si>
    <r>
      <t>CRAWL SPACEc,g WALL </t>
    </r>
    <r>
      <rPr>
        <b/>
        <i/>
        <sz val="10"/>
        <color theme="0"/>
        <rFont val="Arial"/>
        <family val="2"/>
      </rPr>
      <t>R</t>
    </r>
    <r>
      <rPr>
        <b/>
        <sz val="10"/>
        <color theme="0"/>
        <rFont val="Arial"/>
        <family val="2"/>
      </rPr>
      <t>-VALUE</t>
    </r>
  </si>
  <si>
    <t>NR</t>
  </si>
  <si>
    <t>13 or 0 + 10</t>
  </si>
  <si>
    <t>13 or 0 + 10</t>
  </si>
  <si>
    <t>20 or 13 + 5ci</t>
  </si>
  <si>
    <t>5ci or 13f</t>
  </si>
  <si>
    <t>10ci, 2 ft</t>
  </si>
  <si>
    <t>or 0 + 15</t>
  </si>
  <si>
    <t>4 except Marine</t>
  </si>
  <si>
    <t>20+5 or 13 + 10ci or 0 + 15</t>
  </si>
  <si>
    <t>10ci or 13</t>
  </si>
  <si>
    <t>10ci, 4 ft</t>
  </si>
  <si>
    <t>5 and Marine 4</t>
  </si>
  <si>
    <t>0.30i</t>
  </si>
  <si>
    <t>13/17</t>
  </si>
  <si>
    <t>15ci or 19 or 13 + 5ci</t>
  </si>
  <si>
    <t>20 + 5ci or 13 + 10ci or 0 + 20</t>
  </si>
  <si>
    <t>15/20</t>
  </si>
  <si>
    <t>10ci, 4 ft</t>
  </si>
  <si>
    <t>7 and 8</t>
  </si>
  <si>
    <t>19/21</t>
  </si>
  <si>
    <t>t</t>
  </si>
  <si>
    <t>1-2</t>
  </si>
  <si>
    <t>https://www.homeadvancement.com/doors/exterior-door-materials/aluminum#:~:text=Because%20of%20its%20thermal%20conductivity,%2D1%20and%20R%2D2.</t>
  </si>
  <si>
    <t>5-6</t>
  </si>
  <si>
    <t>https://www.energy.gov/energysaver/doors#:~:text=The%20R%2Dvalues%20of%20most,door%20of%20the%20same%20size.</t>
  </si>
  <si>
    <t>Steel?</t>
  </si>
  <si>
    <t xml:space="preserve">2-3  </t>
  </si>
  <si>
    <t>https://www.homeadvancement.com/doors/exterior-door-materials/pine</t>
  </si>
  <si>
    <t>Vinyl?</t>
  </si>
  <si>
    <t>4.25-5.1</t>
  </si>
  <si>
    <t>https://www.zdoubleb.com/single-post/2019/08/21/fiberglass-windows-vs-vinyl</t>
  </si>
  <si>
    <t>https://www.ahfc.us/iceimages/manuals/building_manual_ap_1.pdf</t>
  </si>
  <si>
    <t>Wood?</t>
  </si>
  <si>
    <t>https://www.brickface.com/blog/understanding-the-r-value-of-siding/#:~:text=Regular%20vinyl%20siding%20R%2Dvalue,Fiber%20cement%20%E2%80%93%200.37</t>
  </si>
  <si>
    <t>Plastic, glass and wood. Fiberglass&gt;composite&gt;vinyl/PVC</t>
  </si>
  <si>
    <t>Vinyl/PVC?</t>
  </si>
  <si>
    <t>0.77-0.93</t>
  </si>
  <si>
    <t>Insulation</t>
  </si>
  <si>
    <t>Fiberglass Batt/Board</t>
  </si>
  <si>
    <t>2.5-4</t>
  </si>
  <si>
    <t>https://basc.pnnl.gov/information/typical-r-values-and-vapor-retarder-classifications-common-insulation-materials</t>
  </si>
  <si>
    <t>Mineral Wool Rigid Board</t>
  </si>
  <si>
    <t>3-4</t>
  </si>
  <si>
    <t>3.8-4.4</t>
  </si>
  <si>
    <t>Polyurethane spray foam</t>
  </si>
  <si>
    <t>Material O&amp;P</t>
  </si>
  <si>
    <t>Equipment O&amp;P</t>
  </si>
  <si>
    <t>Total O&amp;P</t>
  </si>
  <si>
    <t>Polypropylene siding, shake profile, straight butt, double 7"</t>
  </si>
  <si>
    <t xml:space="preserve"> $               -  </t>
  </si>
  <si>
    <t xml:space="preserve"> $              -  </t>
  </si>
  <si>
    <t>Polypropylene siding, accessories, j channel, 5/8" pocket</t>
  </si>
  <si>
    <t>Vinyl siding, soffit and fascia, vented panels, 2' overhang</t>
  </si>
  <si>
    <t>Polypropylene siding, shake profile, straight butt, cornerpost for above</t>
  </si>
  <si>
    <t>1 Carp</t>
  </si>
  <si>
    <t>Polypropylene siding, accessories, j channel, 3/4" pocket</t>
  </si>
  <si>
    <t>Polypropylene siding, shingle profile, staggered butt, cornerpost for above</t>
  </si>
  <si>
    <t>Vinyl siding, soffit and fascia, solid panels, 1' overhang</t>
  </si>
  <si>
    <t>Polypropylene siding, shake profile, staggered butt, double 9"</t>
  </si>
  <si>
    <t>Polypropylene siding, shingle profile, random grooves, double 7", cornerpost for above</t>
  </si>
  <si>
    <t>Polypropylene siding, shingle profile, staggered butt, double 7"</t>
  </si>
  <si>
    <t>Polypropylene siding, shingle profile, half round, double 6-1/4"</t>
  </si>
  <si>
    <t>Polypropylene siding, shake profile, staggered butt, cornerpost for above</t>
  </si>
  <si>
    <t>Polypropylene siding, shingle profile, random grooves, triple 5", cornerpost for above</t>
  </si>
  <si>
    <t>Vinyl siding, colors for accessories and trim, add</t>
  </si>
  <si>
    <t xml:space="preserve"> $             -  </t>
  </si>
  <si>
    <t>Polypropylene siding, shingle profile, random grooves, triple 5"</t>
  </si>
  <si>
    <t>Polypropylene siding, shingle profile, random grooves, double 7"</t>
  </si>
  <si>
    <t>Vinyl siding, soffit and fascia, solid panels, 3' overhang</t>
  </si>
  <si>
    <t>Vinyl siding, soffit and fascia, vented panels, 1' overhang</t>
  </si>
  <si>
    <t>Vinyl siding, soffit and fascia, solid panels, 2' overhang</t>
  </si>
  <si>
    <t>Vinyl siding, colors for siding and soffit, add</t>
  </si>
  <si>
    <t>Vinyl siding, soffit and fascia, vented panels, 18" overhang</t>
  </si>
  <si>
    <t>Vinyl siding, soffit and fascia, vented panels, 3' overhang</t>
  </si>
  <si>
    <t>Vinyl siding, soffit and fascia, solid panels, 18" overhang</t>
  </si>
  <si>
    <t>Vinyl siding, accessories, outside corner, smooth finish, 4" face, 1-1/4" pocket</t>
  </si>
  <si>
    <t>Vinyl siding, accessories, outside corner, smooth finish, 4" face, 7/8" pocket</t>
  </si>
  <si>
    <t>Vinyl siding, accessories, outside corner, smooth finish, 4" face, 3/4" pocket</t>
  </si>
  <si>
    <t>Polypropylene siding, accessories, j channel, 1-1/4" pocket</t>
  </si>
  <si>
    <t>Polypropylene siding, accessories, aluminum starter strip</t>
  </si>
  <si>
    <t>Fiber cement siding, lap siding, smooth texture, 5/16" thick x 6" wide, 4-3/4" exposure</t>
  </si>
  <si>
    <t>Fiber cement siding, lap siding, woodgrain texture, 5/16" thick x 6" wide, 4-3/4" exposure</t>
  </si>
  <si>
    <t>Fiber cement siding, lap siding, smooth texture, 5/16" thick x 7-1/2" wide, 6-1/4" exposure</t>
  </si>
  <si>
    <t>Fiber cement siding, lap siding, woodgrain texture, 5/16" thick x 7-1/2" wide, 6-1/4" exposure</t>
  </si>
  <si>
    <t>Fiber cement siding, lap siding, smooth texture, 5/16" thick x 8" wide, 6-3/4" exposure</t>
  </si>
  <si>
    <t>Fiber cement siding, lap siding, rough sawn texture, 5/16" thick x 8" wide, 6-3/4" exposure</t>
  </si>
  <si>
    <t>Fiber cement siding, lap siding, smooth texture, 5/16" thick x 9-1/2" wide, 8-1/4" exposure</t>
  </si>
  <si>
    <t>Fiber cement siding, lap siding, woodgrain texture, 5/16" thick x 9-1/2" wide, 8-1/4" exposure</t>
  </si>
  <si>
    <t>Fiber cement siding, lap siding, smooth texture, 5/16" thick x 12" wide, 10-3/8" exposure</t>
  </si>
  <si>
    <t>Fiber cement siding, lap siding, woodgrain texture, 5/16" thick x 12" wide, 10-3/8" exposure</t>
  </si>
  <si>
    <t>Fiber cement siding, panel siding, smooth texture, 5/16" thick</t>
  </si>
  <si>
    <t>Fiber cement siding, panel siding, stucco texture, 5/16" thick</t>
  </si>
  <si>
    <t>Fiber cement siding, panel siding, grooved woodgrain texture, 5/16" thick</t>
  </si>
  <si>
    <t>Fiber cement siding, shingle siding, 48" x 15-1/4" panels, 7" exposure</t>
  </si>
  <si>
    <t>Fiber cement siding, wood starter strip</t>
  </si>
  <si>
    <t>Fiber cement siding, accessories, fascia, 5/4" x 3-1/2"</t>
  </si>
  <si>
    <t>Fiber cement siding, accessories, fascia, 5/4" x 5-1/2"</t>
  </si>
  <si>
    <t>Fiber cement siding, accessories, fascia, 5/4" x 7-1/2"</t>
  </si>
  <si>
    <t>Fiber cement siding, accessories, fascia, 5/4" x 9-1/2"</t>
  </si>
  <si>
    <t>Soffit, aluminum, residential, stock units, .020" thick</t>
  </si>
  <si>
    <t>Soffit, baked enamel on steel, 16 or 18 gauge</t>
  </si>
  <si>
    <t>Soffit, PVC, white, solid</t>
  </si>
  <si>
    <t>Soffit, vinyl, perforated, 12" wide, with 6" fascia</t>
  </si>
  <si>
    <t>Soffit, polyvinyl chloride, for colors, add</t>
  </si>
  <si>
    <t>Wood siding, boards, board &amp; batten, cedar, "B" grade, 1" x 10"</t>
  </si>
  <si>
    <t>Wood siding, boards, board &amp; batten, redwood, clear, vertical grain, 1" x 10"</t>
  </si>
  <si>
    <t>Wood siding, boards, board &amp; batten, white pine, #2 &amp; better, 1" x 10"</t>
  </si>
  <si>
    <t>Wood siding, boards, board &amp; batten, white pine, #2, 1" x 12"</t>
  </si>
  <si>
    <t>Wood siding, boards, cedar bevel, "A" grade, 1/2" x 6"</t>
  </si>
  <si>
    <t>Cedar clapboard siding, "A" grade, 1/2" x 8"</t>
  </si>
  <si>
    <t>Cedar clapboard siding, clear grade, 3/4" x 10"</t>
  </si>
  <si>
    <t>Wood siding, boards, cedar, rough sawn, "A" grade, natural, 1" x 4"</t>
  </si>
  <si>
    <t>Wood siding, boards, cedar bevel, clapboards, "B" grade, 3/4" x 10", 3' to 16'</t>
  </si>
  <si>
    <t>Wood siding, boards, cedar, rough sawn, "A" grade, stained, 1" x 4"</t>
  </si>
  <si>
    <t>Wood siding, boards, cedar, board &amp; batten, #3 &amp; better, natural, 1" x 12"</t>
  </si>
  <si>
    <t>Wood siding, boards, cedar, channel siding, #3 &amp; better, natural, 1" x 8"</t>
  </si>
  <si>
    <t>Wood siding, boards, cedar, channel siding, #3 &amp; better, stained, 1" x 8"</t>
  </si>
  <si>
    <t>Wood siding, boards, cedar, board &amp; batten, #3 &amp; better, stained, 1" x 12"</t>
  </si>
  <si>
    <t>Wood siding, boards, redwood, clear, beveled, vertical grain, 1/2" x 8"</t>
  </si>
  <si>
    <t>Wood siding, boards, redwood, clear, beveled, vertical grain, 1/2" x 4"</t>
  </si>
  <si>
    <t>Wood siding, boards, redwood, clear, beveled, vertical grain, 1/2" x 6"</t>
  </si>
  <si>
    <t>Wood siding, boards, redwood, channel siding, "B" grade, 1" x 10"</t>
  </si>
  <si>
    <t>Wood siding, boards, redwood, clear, beveled, vertical grain, 3/4" x 10"</t>
  </si>
  <si>
    <t>Wood siding, boards, white pine, rough sawn, natural, 1" x 8"</t>
  </si>
  <si>
    <t>Wood siding, boards, redwood, tongue &amp; groove, "B" grade, 1" x 4"</t>
  </si>
  <si>
    <t>Wood siding, boards, redwood, tongue &amp; groove, "B" grade, 1" x 8"</t>
  </si>
  <si>
    <t>Wood siding, boards, white pine, rough sawn, stained, 1" x 8"</t>
  </si>
  <si>
    <t>Wood siding, boards, white pine, rough sawn, T&amp;G, 1" x 8"</t>
  </si>
  <si>
    <t>Wood product siding, plywood, medium density overlaid, 3/8" thick</t>
  </si>
  <si>
    <t>Wood product siding, plywood, medium density overlaid, 1/2" thick</t>
  </si>
  <si>
    <t>Wood product siding, plywood, medium density overlaid, 3/4" thick</t>
  </si>
  <si>
    <t>Plywood siding, texture 1-11, cedar, natural, 5/8" thick</t>
  </si>
  <si>
    <t>Wood product siding, plywood, Texture 1-11, cedar, factory stained, 5/8" thick</t>
  </si>
  <si>
    <t>Wood product siding, plywood, Texture 1-11, southern yellow pine, natural, 5/8" thick</t>
  </si>
  <si>
    <t>Wood product siding, plywood, rough sawn fir, factory stained, 3/8" thick</t>
  </si>
  <si>
    <t>Wood product siding, plywood, Texture 1-11, southern yellow pine, factory stained, 5/8" thick</t>
  </si>
  <si>
    <t>Wood product siding, plywood, Texture 1-11, fir, factory stained, 5/8" thick</t>
  </si>
  <si>
    <t>Wood product siding, plywood, rough sawn cedar, factory stained, 3/8" thick</t>
  </si>
  <si>
    <t>Wood product siding, plywood, rough sawn fir, natural, 3/8" thick</t>
  </si>
  <si>
    <t>Plywood siding, texture 1-11, fir, natural, 5/8" thick</t>
  </si>
  <si>
    <t>Wood product siding, plywood, rough sawn cedar, natural, 3/8" thick</t>
  </si>
  <si>
    <t>Wood product siding, plywood, redwood textured panels, 5/8" thick</t>
  </si>
  <si>
    <t>Vinyl siding, clapboard profile, woodgrain texture, .048 thick, double 5"</t>
  </si>
  <si>
    <t>Vinyl siding, clapboard profile, woodgrain texture, .048 thick, single 8"</t>
  </si>
  <si>
    <t>Vinyl siding, clapboard profile, woodgrain texture, .048 thick, single 10"</t>
  </si>
  <si>
    <t>Vinyl siding, cross sawn texture, .040 mm thick, double 5"</t>
  </si>
  <si>
    <t>Vinyl siding, smooth texture, .042 mm thick, single 8"</t>
  </si>
  <si>
    <t>Vinyl siding, cross sawn texture, .040 thick, double 4"</t>
  </si>
  <si>
    <t>Vinyl siding, clapboard profile, woodgrain texture, .042 thick, double 4"</t>
  </si>
  <si>
    <t>Vinyl siding, cedar texture, .044 thick, double 6"</t>
  </si>
  <si>
    <t>Vinyl siding, clapboard profile, woodgrain texture, .042 thick, double 5"</t>
  </si>
  <si>
    <t>Vinyl siding, smooth texture, .042 thick, double 5"</t>
  </si>
  <si>
    <t>Vinyl siding, clapboard profile, woodgrain texture, .044 thick, double 5"</t>
  </si>
  <si>
    <t>Vinyl siding, clapboard profile, woodgrain texture, .044 thick, double 4"</t>
  </si>
  <si>
    <t>Vinyl siding, cedar texture, .044 thick, double 4"</t>
  </si>
  <si>
    <t>Vinyl siding, smooth texture, .042 thick, double 4"</t>
  </si>
  <si>
    <t>Vinyl siding, vertical pattern, .040 thick, triple 4"</t>
  </si>
  <si>
    <t>Vinyl siding, dutch lap profile, woodgrain texture, .042 thick, double 4.5"</t>
  </si>
  <si>
    <t>Vinyl siding, accessories, j channel, flexible, 3/4" pocket</t>
  </si>
  <si>
    <t>Vinyl siding, insulation, fan folded extruded polystyrene, 3/8"</t>
  </si>
  <si>
    <t>Vinyl siding, accessories, vinyl starter strip</t>
  </si>
  <si>
    <t>Vinyl siding, accessories, under sill finish trim</t>
  </si>
  <si>
    <t>Vinyl siding, dutch lap profile, woodgrain texture, .044 thick, double 4.5"</t>
  </si>
  <si>
    <t>Vinyl siding, vertical pattern, .040 thick, triple 2.66"</t>
  </si>
  <si>
    <t>Vinyl siding, dutch lap profile, woodgrain texture, .040 thick, double 4.5"</t>
  </si>
  <si>
    <t>Vinyl siding, shake profile, 10" wide</t>
  </si>
  <si>
    <t>Vinyl siding, vertical pattern, .044 thick, triple 3"</t>
  </si>
  <si>
    <t>Vinyl siding, accessories, window casing, 2-1/2" wide, 3/4" pocket</t>
  </si>
  <si>
    <t>Vinyl siding, vertical pattern, .046 thick, double 5"</t>
  </si>
  <si>
    <t>Vinyl siding, accessories, j channel, 5/8" pocket</t>
  </si>
  <si>
    <t>Vinyl siding, accessories, j channel, 3/4" pocket</t>
  </si>
  <si>
    <t>Vinyl siding, accessories, aluminum starter strip</t>
  </si>
  <si>
    <t>Vinyl siding, insulation, fan folded extruded polystyrene, 1/4"</t>
  </si>
  <si>
    <t>Vinyl siding, clapboard profile, woodgrain texture, .048 thick, double 4"</t>
  </si>
  <si>
    <t>Vinyl siding, accessories, outside corner, woodgrain finish, 4" face, 5/8" pocket</t>
  </si>
  <si>
    <t>Vinyl siding, accessories, j channel, 1-1/4" pocket</t>
  </si>
  <si>
    <t>Vinyl siding, accessories, outside corner, woodgrain finish, 4" face, 3/4" pocket</t>
  </si>
  <si>
    <t>Vinyl siding, dutch lap profile, woodgrain texture, .048 thick, double 5"</t>
  </si>
  <si>
    <t>Duct thermal insulation, blanket type, fiberglass, flexible, fire rated for grease ducts, 1-1/2" thick</t>
  </si>
  <si>
    <t>Q14</t>
  </si>
  <si>
    <t>Duct thermal insulation, blanket type, fiberglass, flexible, fire rated for plenums, 1-1/2 lb. density, 1/2"thick x 24" x 25', per roll</t>
  </si>
  <si>
    <t>Roll</t>
  </si>
  <si>
    <t>Duct thermal insulation, blanket type, fiberglass, flexible, fire rated for plenums, 1/2"thick x 24" x 25', per S.F.</t>
  </si>
  <si>
    <t>Duct thermal insulation, blanket type, fiberglass, flexible, fire rated for plenums, 1/2"thick x 48" x 25', per roll</t>
  </si>
  <si>
    <t>Duct thermal insulation, blanket type, fiberglass, flexible, fire rated for plenums, 1/2"thick x 48" x 25', per S.F.</t>
  </si>
  <si>
    <t>Duct thermal insulation, blanket type, fiberglass, flexible, FSK vapor barrier wrap, .75 lb. density, 1" thick</t>
  </si>
  <si>
    <t>Duct thermal insulation, blanket type, fiberglass, flexible, FSK vapor barrier wrap, .75 lb. density, 1-1/2" thick</t>
  </si>
  <si>
    <t>Insulation, pipe covering (price copper tube one size less than I.P.S.), rubber tubing flexible closed cell foam, 1/2" wall, 1/2" iron pipe size</t>
  </si>
  <si>
    <t>1 Asbe</t>
  </si>
  <si>
    <t>Insulation, pipe covering (price copper tube one size less than I.P.S.), rubber tubing flexible closed cell foam, 1/2" wall, 1" iron pipe size</t>
  </si>
  <si>
    <t>Insulation, insulated protectors (ADA), for exposed piping under sinks or lavatories, vinyl coated foam, velcro tabs, tailpiece offset (wheelchair), 1-1/4" pipe size</t>
  </si>
  <si>
    <t>1 Plum</t>
  </si>
  <si>
    <t>Insulation, pipe covering (price copper tube one size less than I.P.S.), rubber tubing flexible closed cell foam, 1/2" wall, 3/4" iron pipe size</t>
  </si>
  <si>
    <t>Insulation, pipe covering (price copper tube one size less than I.P.S.), fiberglass with all service jacket, 1" wall, 1" iron pipe size</t>
  </si>
  <si>
    <t>Insulation, pipe covering (price copper tube one size less than I.P.S.), fiberglass with all service jacket, 1" wall, 3/4" iron pipe size</t>
  </si>
  <si>
    <t>Insulation, pipe covering (price copper tube one size less than I.P.S.), rubber tubing flexible closed cell foam, 1/2" wall, 1/4" iron pipe size</t>
  </si>
  <si>
    <t>Insulation, pipe covering (price copper tube one size less than I.P.S.), fiberglass with all service jacket, 1" wall, 1/2" iron pipe size</t>
  </si>
  <si>
    <t>Insulation, pipe covering (price copper tube one size less than I.P.S.), rubber tubing flexible closed cell foam, 1" wall, 2" iron pipe size</t>
  </si>
  <si>
    <t>Insulation, pipe covering (price copper tube one size less than I.P.S.), rubber tubing flexible closed cell foam, 3/4" wall, 1" iron pipe size</t>
  </si>
  <si>
    <t>Insulation, pipe covering (price copper tube one size less than I.P.S.), rubber tubing flexible closed cell foam, 1" wall, 1" iron pipe size</t>
  </si>
  <si>
    <t>Insulation, pipe covering (price copper tube one size less than I.P.S.), rubber tubing flexible closed cell foam, 1" wall, 1-1/2" iron pipe size</t>
  </si>
  <si>
    <t>Insulation, pipe covering (price copper tube one size less than I.P.S.), rubber tubing flexible closed cell foam, 1" wall, 1-1/4" iron pipe size</t>
  </si>
  <si>
    <t>Insulation, pipe covering (price copper tube one size less than I.P.S.), rubber tubing flexible closed cell foam, 1" wall, 1/2" iron pipe size</t>
  </si>
  <si>
    <t>Insulation, pipe covering (price copper tube one size less than I.P.S.), rubber insulation tape, 1/8" x 2" x 30'</t>
  </si>
  <si>
    <t>Insulation, pipe covering (price copper tube one size less than I.P.S.), rubber tubing flexible closed cell foam, 1" wall, 2-1/2" iron pipe size</t>
  </si>
  <si>
    <t>Insulation, pipe covering (price copper tube one size less than I.P.S.), rubber tubing flexible closed cell foam, 1" wall, 3/4" iron pipe size</t>
  </si>
  <si>
    <t>Insulation, pipe covering (price copper tube one size less than I.P.S.), rubber tubing flexible closed cell foam, 1/2" wall, 1-1/2" iron pipe size</t>
  </si>
  <si>
    <t>Insulation, pipe covering (price copper tube one size less than I.P.S.), rubber tubing flexible closed cell foam, 1/2" wall, 2" iron pipe size</t>
  </si>
  <si>
    <t>Insulation, insulated protectors (ADA), for exposed piping under sinks or lavatories, vinyl coated foam, velcro tabs, valve and supply cover, 1/2", 3/8", and 7/16" pipe size</t>
  </si>
  <si>
    <t>Insulation, pipe covering (price copper tube one size less than I.P.S.), rubber tubing flexible closed cell foam, 3/4" wall, 1/2" iron pipe size</t>
  </si>
  <si>
    <t>Insulation, pipe covering (price copper tube one size less than I.P.S.), rubber tubing flexible closed cell foam, 3/4" wall, 3/4" iron pipe size</t>
  </si>
  <si>
    <t>Insulation, insulated protectors (ADA), for exposed piping under sinks or lavatories, vinyl coated foam, velcro tabs, p trap, 1-1/4" or 1-1/2"</t>
  </si>
  <si>
    <t>Insulation, pipe covering (price copper tube one size less than I.P.S.), fiberglass with all service jacket, 1" wall, 2" iron pipe size</t>
  </si>
  <si>
    <t>Insulation, pipe covering (price copper tube one size less than I.P.S.), rubber tubing flexible closed cell foam, 3/4" wall, 1/4" iron pipe size</t>
  </si>
  <si>
    <t>Insulation, pipe covering (price copper tube one size less than I.P.S.), rubber tubing flexible closed cell foam, 3/4" wall, 2" iron pipe size</t>
  </si>
  <si>
    <t>Roof deck insulation, asphaltic cover board, fiberglass lined, 1/4" thick, fastening excluded</t>
  </si>
  <si>
    <t>1 Rofc</t>
  </si>
  <si>
    <t>Roof deck insulation, fastening alternatives, 6" OC beads, low-rise polyurethane</t>
  </si>
  <si>
    <t>Sq.</t>
  </si>
  <si>
    <t>Roof deck insulation, asphaltic cover board, fiberglass lined, 1/8" thick, fastening excluded</t>
  </si>
  <si>
    <t>Roof deck insulation, fastening alternatives, 12" OC beads, low-rise polyurethane</t>
  </si>
  <si>
    <t>Roof deck insulation, fastening alternatives, full mop asphalt</t>
  </si>
  <si>
    <t>G1</t>
  </si>
  <si>
    <t>Roof deck insulation, fastening alternatives, 3" galvanized deck plates</t>
  </si>
  <si>
    <t>Roof deck insulation, composites, 2" thick EPS, 1/2" thick plywood, fastening excluded</t>
  </si>
  <si>
    <t>Roof deck insulation, fastening alternatives, 4" OC beads, low-rise polyurethane</t>
  </si>
  <si>
    <t>Roof deck insulation, fastening alternatives, pre-drill and drive wedge spike, 2-1/2"</t>
  </si>
  <si>
    <t>Polyisocyanurate insulation, for roof decks, 2-1/2" thick, 2#/CF density, fastening excluded</t>
  </si>
  <si>
    <t>Roof deck insulation, fastening alternatives, pre-drill and drive wedge spike, 3-1/2"</t>
  </si>
  <si>
    <t>Roof deck insulation, fiberboard high density, 1/2" thick, R1.3, fastening excluded</t>
  </si>
  <si>
    <t>Roof deck insulation, composites, 2" thick EPS, 1" thick fiberboard, fastening excluded</t>
  </si>
  <si>
    <t>Roof deck insulation, composites, 1-1/2" thick polyisocyanurate, 1" thick fiberboard, fastening excluded</t>
  </si>
  <si>
    <t>Roof deck insulation, fiberboard high density, 1-1/2" thick, R3.8, fastening excluded</t>
  </si>
  <si>
    <t>Roof deck insulation, fastening alternatives, spot mop asphalt</t>
  </si>
  <si>
    <t>Roof deck insulation, extruded polystyrene, 4" thick, R20, 25 psi compressive strength, fastening excluded</t>
  </si>
  <si>
    <t>Roof deck insulation, fastening alternatives, coated screws, 4"</t>
  </si>
  <si>
    <t>Roof deck insulation, fastening alternatives, coated screws, 6"</t>
  </si>
  <si>
    <t>Roof deck insulation, fastening alternatives, coated screws, 8"</t>
  </si>
  <si>
    <t>Roof deck insulation, fastening alternatives, pre-drill and drive wedge spike, 4-1/2"</t>
  </si>
  <si>
    <t>Roof deck insulation, extruded polystyrene, 3" thick, R15, 60 psi compressive strength, fastening excluded</t>
  </si>
  <si>
    <t>Roof deck insulation, composites, 1-1/2" thick polyisocyanurate, 7/16" thick OSB, fastening excluded</t>
  </si>
  <si>
    <t>Roof deck insulation, extruded polystyrene, tapered for drainage, 25 psi compressive strength, fastening excluded</t>
  </si>
  <si>
    <t>B.F.</t>
  </si>
  <si>
    <t>Roof deck insulation, expanded polystyrene, 1" thick, R3.85, 1#/CF density, fastening excluded</t>
  </si>
  <si>
    <t>Roof deck insulation, composites, 1-1/2" thick polyisocyanurate, 1" thick perlite, fastening excluded</t>
  </si>
  <si>
    <t>Roof deck insulation, fastening alternatives, coated screws, 10"</t>
  </si>
  <si>
    <t>Polyisocyanurate insulation, for roof decks, 1-1/2" thick, 2#/CF density, fastening excluded</t>
  </si>
  <si>
    <t>Roof deck insulation, fastening alternatives, coated screws, 2"</t>
  </si>
  <si>
    <t>Extruded polystyrene insulation, for roof decks, 1" thick, R5, 15 psi compressive strength, fastening excluded</t>
  </si>
  <si>
    <t>Roof deck insulation, expanded polystyrene, 2" thick, R7.69, 1#/CF density, fastening excluded</t>
  </si>
  <si>
    <t>Roof deck insulation, expanded polystyrene, 6" thick, R23.26, 1#/CF density, fastening excluded</t>
  </si>
  <si>
    <t>Roof deck insulation, extruded polystyrene, 2" thick, R10, 25 psi compressive strength, fastening excluded</t>
  </si>
  <si>
    <t>Roof deck insulation, extruded polystyrene, 3" thick, R15, 40 psi compressive strength, fastening excluded</t>
  </si>
  <si>
    <t>Roof deck insulation, expanded polystyrene, 3" thick, R11.49, 1#/CF density, fastening excluded</t>
  </si>
  <si>
    <t>Roof deck insulation, expanded polystyrene, 4" thick, R15.38, 1#/CF density, fastening excluded</t>
  </si>
  <si>
    <t>Roof deck insulation, extruded polystyrene, 1" thick, R5, 40 psi compressive strength, fastening excluded</t>
  </si>
  <si>
    <t>Roof deck insulation, extruded polystyrene, 2" thick, R10, 60 psi compressive strength, fastening excluded</t>
  </si>
  <si>
    <t>Roof deck insulation, extruded polystyrene, 3" thick, R15, 25 psi compressive strength, fastening excluded</t>
  </si>
  <si>
    <t>Extruded polystyrene insulation, for roof decks, fastening excluded</t>
  </si>
  <si>
    <t xml:space="preserve"> $                   -  </t>
  </si>
  <si>
    <t>Roof deck insulation, extruded polystyrene, 1" thick, R5, 60 psi compressive strength, fastening excluded</t>
  </si>
  <si>
    <t>Roof deck insulation, extruded polystyrene, 60 psi compressive strength, fastening excluded</t>
  </si>
  <si>
    <t>Roof deck insulation, install polystyrene insulation, tapered for drainage, 2" thick, fastening excluded</t>
  </si>
  <si>
    <t>Roof deck insulation, install polystyrene insulation, 4" thick, R20, 15 psi compressive strength, fastening excluded</t>
  </si>
  <si>
    <t>Roof deck insulation, extruded polystyrene, 2" thick, R10, 40 psi compressive strength, fastening excluded</t>
  </si>
  <si>
    <t>Polyisocyanurate insulation, for roof decks, 2" thick, 2#/CF density, fastening excluded</t>
  </si>
  <si>
    <t>Extruded polystyrene insulation, for roof decks, 3" thick, R15, 15 psi compressive strength, fastening excluded</t>
  </si>
  <si>
    <t>Roof deck insulation, perlite, tapered for drainage, fastening excluded</t>
  </si>
  <si>
    <t>Roof deck insulation, polyisocyanurate, 3-1/2" thick, 2#/CF density, fastening excluded</t>
  </si>
  <si>
    <t>Roof deck insulation, gypsum cover board, primed fiberglass mat faced, 5/8" thick, fastening excluded</t>
  </si>
  <si>
    <t>Polyisocyanurate insulation, for roof decks, 3" thick, 2#/CF density, fastening excluded</t>
  </si>
  <si>
    <t>Roof deck insulation, gypsum cover board, fiberglass mat faced, 1/4" thick, fastening excluded</t>
  </si>
  <si>
    <t>Roof deck insulation, extruded polystyrene, 1" thick, R5, 25 psi compressive strength, fastening excluded</t>
  </si>
  <si>
    <t>Extruded polystyrene insulation, for roof decks, 2" thick, R10, 15 psi compressive strength, fastening excluded</t>
  </si>
  <si>
    <t>Perlite insulation, for roof decks, 2" thick, R5.56, fastening excluded</t>
  </si>
  <si>
    <t>Roof deck insulation, ceiling sound board, 1" thick, R2.78, fastening excluded</t>
  </si>
  <si>
    <t>Roof deck insulation, gypsum cover board, fiberglass mat faced, 1/2" thick, fastening excluded</t>
  </si>
  <si>
    <t>Roof deck insulation, perlite, 1/2" thick, R1.32, fastening excluded</t>
  </si>
  <si>
    <t>Roof deck insulation, install perlite insulation, 2-1/2" thick R6.67, fastening excluded</t>
  </si>
  <si>
    <t>Roof deck insulation, polyisocyanurate, tapered for drainage, fastening excluded</t>
  </si>
  <si>
    <t>Polyisocyanurate insulation, for roof decks, 3/4" thick, 2#/CF density, fastening excluded</t>
  </si>
  <si>
    <t>Polyisocyanurate insulation, for roof decks, 1" thick, 2#/CF density, fastening excluded</t>
  </si>
  <si>
    <t>Roof deck insulation, fiberglass, 3/4" thick, R2.78, fastening excluded</t>
  </si>
  <si>
    <t>Roof deck insulation, ceiling sound board, 1 1/2" thick, R4.17, fastening excluded</t>
  </si>
  <si>
    <t>Perlite insulation, for roof decks, 1" thick, R2.78, fastening excluded</t>
  </si>
  <si>
    <t>Roof deck insulation, fiberglass, 2-1/16" thick, R8.33, fastening excluded</t>
  </si>
  <si>
    <t>Roof deck insulation, gypsum cover board, primed fiberglass mat faced, 1/4" thick, fastening excluded</t>
  </si>
  <si>
    <t>Roof deck insulation, perlite, 1-1/2" thick, R4.17, fastening excluded</t>
  </si>
  <si>
    <t>Roof deck insulation, gypsum cover board, fiberglass mat faced, 5/8" thick, fastening excluded</t>
  </si>
  <si>
    <t>Roof deck insulation, gypsum cover board, primed fiberglass mat faced, 1/2" thick, fastening excluded</t>
  </si>
  <si>
    <t>Roof deck insulation, perlite, 3/4" thick, R2.08, fastening excluded</t>
  </si>
  <si>
    <t>Roof deck insulation, fiberglass, 1-1/16" thick, R4.17, fastening excluded</t>
  </si>
  <si>
    <t>Roof deck insulation, fiberglass, 2-7/16" thick, R10, fastening excluded</t>
  </si>
  <si>
    <t>Roof deck insulation, fiberglass, 1-5/16" thick, R5.26, fastening excluded</t>
  </si>
  <si>
    <t>Roof deck insulation, fiberboard low density, 1/2" thick, R1.39, fastening excluded</t>
  </si>
  <si>
    <t>Roof deck insulation, ceiling sound board, 2" thick, R5.56, fastening excluded</t>
  </si>
  <si>
    <t>Roof deck insulation, fiberboard high density, 1" thick, R2.5, fastening excluded</t>
  </si>
  <si>
    <t>Roof deck insulation, fiberglass, 15/16" thick, R3.70, fastening excluded</t>
  </si>
  <si>
    <t>Roof deck insulation, extruded polystyrene, 4" thick, R20, 40 psi compressive strength, fastening excluded</t>
  </si>
  <si>
    <t>Roof deck insulation, extruded polystyrene, tapered for drainage, 40 psi compressive strength, fastening excluded</t>
  </si>
  <si>
    <t>Roof deck insulation, extruded polystyrene, 4" thick, R20, 60 psi compressive strength, fastening excluded</t>
  </si>
  <si>
    <t>Roof deck insulation, expanded polystyrene, 3/4" thick R2.89, 1#/CF density, fastening excluded</t>
  </si>
  <si>
    <t>Roof deck insulation, expanded polystyrene, 5" thick, R19.23, 1#/CF density, fastening excluded</t>
  </si>
  <si>
    <t>Roof deck insulation, expanded polystyrene, tapered for drainage, fastening excluded</t>
  </si>
  <si>
    <t>Roof deck insulation, composites, 2" thick EPS, 7/16" thick OSB, fastening excluded</t>
  </si>
  <si>
    <t>Roof deck insulation, composites, 2" thick EPS, 1" thick perlite, fastening excluded</t>
  </si>
  <si>
    <t>Gypsum</t>
  </si>
  <si>
    <t>Plywood</t>
  </si>
  <si>
    <t xml:space="preserve"> 3/4</t>
  </si>
  <si>
    <t>Length (inches)</t>
  </si>
  <si>
    <t>Area (sq. in)</t>
  </si>
  <si>
    <t>400</t>
  </si>
  <si>
    <t>Casement Vinyl Fixed Picture Window, Non-Operating - White</t>
  </si>
  <si>
    <t>32 in. x 16 in. Awning Vinyl Insulated Window with Screen - White</t>
  </si>
  <si>
    <t>Basement Single Sliding Vinyl Window – Insulated Glass</t>
  </si>
  <si>
    <t>59.5 in. x 59.5 in. V-2500 Series White Vinyl Right-Handed Sliding Window with Fiberglass Mesh Screen</t>
  </si>
  <si>
    <t>Vinyl Hopper Basement Window with Dual Pane Insulated Glass - White</t>
  </si>
  <si>
    <t>Utility Sliding Vinyl Window – Insulated Glass</t>
  </si>
  <si>
    <t>18 in. x 24 in. Single Hung Vinyl Window - White</t>
  </si>
  <si>
    <t>29.75 in. x 47.75 in. 88000 Series Left-Hand Inswing/ Tilt Casement in Vinyl Window - White</t>
  </si>
  <si>
    <t>Vinyl Casement Window with Screen - Right Hand</t>
  </si>
  <si>
    <t>47.5 in. x 47.5 in. V-2500 Series White Vinyl Picture Window w/ Low-E 366 Glass</t>
  </si>
  <si>
    <t>30 in. x 40 in. Mobile Home Single Hung Aluminum Window - White</t>
  </si>
  <si>
    <t>23.5 in. x 23.5 in. V-2500 Series White Vinyl Fixed Picture Window with Colonial Grids/Grilles</t>
  </si>
  <si>
    <t>24.5 in. x 24.5 in. Clear Glass Round Picture Vinyl Insulated Window with Platinum Cross Design, White</t>
  </si>
  <si>
    <t>36 in. x 60 in. V-4500 Series White Single-Hung Vinyl Window with Fiberglass Mesh Screen</t>
  </si>
  <si>
    <t>59.5 in. x 59.5 in. V-2500 Series White Vinyl Right-Handed Sliding Window with Colonial Grids/Grilles</t>
  </si>
  <si>
    <t>35.5 in. x 47.5 in. V-4500 Series White Vinyl Right-Handed Casement Window with Fiberglass Mesh Screen</t>
  </si>
  <si>
    <t>29.75 in. x 59.75 in. 88000 Series Right Hand Double-Pane Inswing Tilt Vinyl Window with White Exterior</t>
  </si>
  <si>
    <t>36 in. x 36 in. V-4500 Series White Single-Hung Vinyl Window with Fiberglass Mesh Screen</t>
  </si>
  <si>
    <t>35.5 in. x 23.5 in. V-2500 Series White Vinyl Right-Handed Sliding Window with Colonial Grids/Grilles</t>
  </si>
  <si>
    <t>59.5 in. x 47.5 in. V-2500 Series White Vinyl Left-Handed Sliding Window with Colonial Grids/Grilles</t>
  </si>
  <si>
    <t>47.5 in. x 59.5 in. V-4500 Series White Vinyl Right-Handed Sliding Window with Fiberglass Mesh Screen</t>
  </si>
  <si>
    <t>46.25 in. x 21 in. Large Hopper Ranch Vinyl Window - White</t>
  </si>
  <si>
    <t>35.5 in. x 47.5 in. V-2500 Series White Vinyl Single Hung Window with Colonial Grids/Grilles</t>
  </si>
  <si>
    <t>23.5 in. x 23.5 in. V-2500 Series White Vinyl Fixed Octagon Geometric Window with Colonial Grids/Grilles</t>
  </si>
  <si>
    <t>47.5 in. x 47.5 in. V-2500 Series White Vinyl Fixed Picture Window with Colonial Grids/Grilles</t>
  </si>
  <si>
    <t>30 in. x 27 in. Mobile Home Single Hung Aluminum Window - Silver</t>
  </si>
  <si>
    <t>Frameless Wave Pattern Non-Vented Glass Block Window</t>
  </si>
  <si>
    <t>29.5 in. x 29.5 in. V-2500 Series White Vinyl Fixed Picture Window with Colonial Grids/Grilles</t>
  </si>
  <si>
    <t>47.5 in. x 35.5 in. V-2500 Series White Vinyl Fixed Picture Window with Colonial Grids/Grilles</t>
  </si>
  <si>
    <t>29.375 in. x 56.5 in. W-2500 Series Primed Wood Double Hung Window w/ Natural Interior and Low-E Glass</t>
  </si>
  <si>
    <t>95.5 in. x 47.5 in. Classic Series White Vinyl Left-Hand &amp; Right-Hand Picture Window Slider with HPSC Glass, Screen Incl</t>
  </si>
  <si>
    <t>30.75 in. x 36.375 in. Left-Hand Sliding Vinyl Replacement Window Sash Kit (NO FRAME) - White</t>
  </si>
  <si>
    <t>37.375 in. x 60 in. W-2500 Series Black Painted Clad Wood Double Hung Window w/ Natural Interior and Screen</t>
  </si>
  <si>
    <t>Frameless Wave Pattern Vented Glass Block Window</t>
  </si>
  <si>
    <t>33.375 in. x 48 in. W-2500 Series Black Painted Clad Wood Double Hung Window w/ Natural Interior and Screen</t>
  </si>
  <si>
    <t>47.5 in. x 35.5 in. V-2500 Series Desert Sand Vinyl Left-Handed Sliding Window with Fiberglass Mesh Screen</t>
  </si>
  <si>
    <t>24 in. x 48 in. Left-Hand Vinyl Casement Window with Grids and Screen in White</t>
  </si>
  <si>
    <t>59.5 in. x 47.5 in. V-2500 Series Desert Sand Vinyl Right-Handed Sliding Window with Colonial Grids/Grilles</t>
  </si>
  <si>
    <t>48 in. x 20 in. W-2500 Series Black Painted Clad Wood Awning Window w/ Natural Interior and Screen</t>
  </si>
  <si>
    <t>31.25 in. x 35.25 in. Single Hung Vinyl Window Insulated with Grids, White</t>
  </si>
  <si>
    <t>23.5 in. x 23.5 in. V-4500 Series White Vinyl Fixed Octagon Geometric Window w/ Low-E 366 Glass</t>
  </si>
  <si>
    <t>47.5 in. x 35.5 in. V-4500 Series Desert Sand Vinyl Awning Window with Fiberglass Mesh Screen</t>
  </si>
  <si>
    <t>47 in. x 47 in. Acrylic Block Fixed Vinyl Window in White</t>
  </si>
  <si>
    <t>V-2500 Series Fixed Octagon Vinyl Window</t>
  </si>
  <si>
    <t>48 in. x 24 in. V-4500 Series Black FiniShield Vinyl Awning Window with Fiberglass Mesh Screen</t>
  </si>
  <si>
    <t>Wave Pattern Vinyl Framed Glass Block Window with White Colored Vinyl Nailing Fin</t>
  </si>
  <si>
    <t>27.25 in. x 27.25 in. Decorative Glass Spring Flower Nickel Caming White Awning Vinyl Window</t>
  </si>
  <si>
    <t>35.5 in. x 47.5 in. V-2500 Series White Vinyl Fixed Picture Window with Colonial Grids/Grilles</t>
  </si>
  <si>
    <t>35.5 in. x 53.5 in. V-2500 Series Desert Sand Vinyl Single Hung Window with Fiberglass Mesh Screen</t>
  </si>
  <si>
    <t>24 in. x 24 in. Awning Vinyl Window - White</t>
  </si>
  <si>
    <t>35.5 in. x 35.5 in. V-2500 Series White Vinyl Fixed Octagon Geometric Window with Colonial Grids/Grilles</t>
  </si>
  <si>
    <t>48 in. x 48 in. V-2500 Series Bronze FiniShield Vinyl Fixed Picture Window with Colonial Grids/Grilles</t>
  </si>
  <si>
    <t>59.5 in. x 59.5 in. V-4500 Series White Vinyl Right-Handed Sliding Window with Colonial Grids/Grilles</t>
  </si>
  <si>
    <t>47.5 in. x 47.5 in. V-2500 Series Desert Sand Vinyl Single Hung Window with Colonial Grids/Grilles</t>
  </si>
  <si>
    <t>Frameless Ice Pattern Vented Glass Block Window</t>
  </si>
  <si>
    <t>59.5 in. x 59.5 in. V-2500 Series Desert Sand Vinyl Left-Handed Sliding Window with Colonial Grids/Grilles</t>
  </si>
  <si>
    <t>Ice Pattern Vinyl Framed Glass Block Window with White Colored Vinyl Nailing Fin</t>
  </si>
  <si>
    <t>Frameless Wave Pattern Glass Block Window with Dryer Vent</t>
  </si>
  <si>
    <t>36 in. x 48 in. V-2500 Series Bronze FiniShield Vinyl Single Hung Window with Colonial Grids/Grilles</t>
  </si>
  <si>
    <t>35.5 in. x 59.5 in. Select Series Vinyl Single Hung Black Window with HP2+ Glass</t>
  </si>
  <si>
    <t>59.5 in. x 59.5 in. V-4500 Series Desert Sand Vinyl Left-Handed Sliding Window with Fiberglass Mesh Screen</t>
  </si>
  <si>
    <t>48 in. x 48 in. V-4500 Series Black FiniShield Vinyl Right-Handed Sliding Window with Colonial Grids/Grilles</t>
  </si>
  <si>
    <t>71.5 in. x 47.5 in. Select Series Vinyl Horizontal Sliding Left Hand Black Window with HP2+ Glass</t>
  </si>
  <si>
    <t>24.5 in. x 24.5 in. Round Geometric Vinyl Window in Platinum Design, White</t>
  </si>
  <si>
    <t>V-2500 Series Sliding Vinyl Window</t>
  </si>
  <si>
    <t>48 in. x 48 in. V-4500 Series Black FiniShield Vinyl Left-Handed Sliding Window with Colonial Grids/Grilles</t>
  </si>
  <si>
    <t>35.5 in. x 47.5 in. V-4500 Series White Vinyl Left-Handed Casement Window with Colonial Grids/Grilles</t>
  </si>
  <si>
    <t>47.5 in. x 23.5 in. V-4500 Series White Vinyl Awning Window with Colonial Grids/Grilles</t>
  </si>
  <si>
    <t>Frameless Ice Pattern Non-Vented Glass Block Window</t>
  </si>
  <si>
    <t>48 in. x 48 in. V-2500 Series Bronze FiniShield Vinyl Single Hung Window with Fiberglass Mesh Screen</t>
  </si>
  <si>
    <t>30 in. x 60 in. Right-Hand Vinyl Casement Window with SDL Outside Grids and Screen - White</t>
  </si>
  <si>
    <t>48 in. x 20 in. W-2500 Series White Painted Clad Wood Awning Window w/ Natural Interior and Screen</t>
  </si>
  <si>
    <t>47.5 in. x 47.5 in. V-2500 Series Desert Sand Vinyl Picture Window w/ Low-E 366 Glass</t>
  </si>
  <si>
    <t>47.5 in. x 35.5 in. V-2500 Series Desert Sand Vinyl Left-Handed Sliding Window with Colonial Grids/Grilles</t>
  </si>
  <si>
    <t>48 in. x 36 in. V-4500 Series Black FiniShield Vinyl Left-Handed Sliding Window with Colonial Grids/Grilles</t>
  </si>
  <si>
    <t>48 in. x 36 in. V-2500 Series Bronze FiniShield Vinyl Fixed Picture Window with Colonial Grids/Grilles</t>
  </si>
  <si>
    <t>71.5 in. x 35.5 in. Select Series Left Hand Horizontal Sliding Vinyl Black Window with HPSC Glass and Screen Included</t>
  </si>
  <si>
    <t>Vinyl Casement Combination Window - Right/Picture/Left - Assembly Required</t>
  </si>
  <si>
    <t>30 in. x 30 in. Round Bronze 6-9/16 in. Jamb 5-Lite Grille Geometric Aluminum Clad Wood Window</t>
  </si>
  <si>
    <t>42 in. x 42 in. Acrylic Block Fixed Vinyl Window in White</t>
  </si>
  <si>
    <t>18 in. x 18 in. Round White 6-9/16 in. Jamb 3-1/2 in. Interior Trim 9-Lite Grille Geometric Aluminum Clad Wood Window</t>
  </si>
  <si>
    <t>Frameless Wave Pattern Vented Glass Block Window with Dryer Vent</t>
  </si>
  <si>
    <t>48 in. x 36 in. V-4500 Series White Single-Hung Vinyl Window with 8-Lite Colonial Grids/Grilles</t>
  </si>
  <si>
    <t>59.5 in. x 35.5 in. Select Series Horizontal Sliding Left Hand Vinyl Black Window with HPSC Glass and Screen Included</t>
  </si>
  <si>
    <t>30 in. x 30 in. Round Black 6-9/16 in. Jamb Geometric Aluminum Clad Wood Window</t>
  </si>
  <si>
    <t>24 in. x 36 in. Oval White 4-9/16 in. Jamb Geometric Aluminum Clad Wood Window</t>
  </si>
  <si>
    <t>48 in. x 60 in. V-4500 Series Desert Sand Single-Hung Vinyl Window with Fiberglass Mesh Screen</t>
  </si>
  <si>
    <t>71.5 in. x 47.5 in. Select Series Left Hand Horizontal Sliding Vinyl Sand Window with HPSC Glass and Screen Included</t>
  </si>
  <si>
    <t>Frameless Clear Pattern Vented Glass Block Window</t>
  </si>
  <si>
    <t>24 in. x 36 in. V-4500 Series Black FiniShield Single-Hung Vinyl Window with Fiberglass Mesh Screen</t>
  </si>
  <si>
    <t>24 in. x 24 in. V-2500 Series Bronze FiniShield Vinyl Fixed Picture Window with Colonial Grids/Grilles</t>
  </si>
  <si>
    <t>48 in. x 60 in. V-2500 Series Bronze FiniShield Vinyl Single Hung Window with Colonial Grids/Grilles</t>
  </si>
  <si>
    <t>37.375 in. x 40 in. W-2500 Series White Painted Clad Wood Double Hung Window w/ Natural Interior and Screen</t>
  </si>
  <si>
    <t>24 in. x 24 in. Octagon White 4-9/16 in. Jamb Geometric Aluminum Clad Wood Window</t>
  </si>
  <si>
    <t>24 in. x 48 in. V-2500 Series Bronze FiniShield Vinyl Single Hung Window with Colonial Grids/Grilles</t>
  </si>
  <si>
    <t>47.5 in. x 47.5 in. V-2500 Series White Vinyl Fixed Octagon Geometric Window with Colonial Grids/Grilles</t>
  </si>
  <si>
    <t>19.5 in. x 28.25 in. White Oval Geometric Vinyl Window in Brass Design</t>
  </si>
  <si>
    <t>48 in. x 30 in. W-2500 Series White Painted Clad Wood Awning Window w/ Natural Interior and Screen</t>
  </si>
  <si>
    <t>23.5 in. x 23.5 in. V-4500 Series White Vinyl Awning Window with Colonial Grids/Grilles</t>
  </si>
  <si>
    <t>37.375 in. x 36 in. W-2500 Series Bronze Painted Clad Wood Double Hung Window w/ Natural Interior and Screen</t>
  </si>
  <si>
    <t>31.5 in. x 31.5 in. Fixed Octagon Geometric Vinyl Window with Grid White</t>
  </si>
  <si>
    <t>36 in. x 36 in. Round White 4-9/16 in. Jamb Geometric Aluminum Clad Wood Window</t>
  </si>
  <si>
    <t>27.25 in. x 27.25 in. Craftsman Left-Handed Triple-Pane Casement Vinyl Window White Interior and Extrior</t>
  </si>
  <si>
    <t>36 in. x 24 in. V-4500 Series Black FiniShield Vinyl Left-Handed Sliding Window with Colonial Grids/Grilles</t>
  </si>
  <si>
    <t>Frameless Ice Pattern Glass Block Window with Dryer Vent</t>
  </si>
  <si>
    <t>36 in. x 60 in. V-4500 Series Bronze FiniShield Vinyl Right-Handed Casement Window with Colonial Grids/Grilles</t>
  </si>
  <si>
    <t>29.5 in. x 29.5 in. V-2500 Series Desert Sand Vinyl Fixed Picture Window with Colonial Grids/Grilles</t>
  </si>
  <si>
    <t>Frameless Diamond Pattern Vented Glass Block Window</t>
  </si>
  <si>
    <t>35.5 in. x 23.5 in. V-2500 Series Desert Sand Vinyl Fixed Picture Window with Colonial Grids/Grilles</t>
  </si>
  <si>
    <t>47.5 in. x 35.5 in. Select Series Horizontal Sliding Left Hand Black Vinyl Window with HPSC Glass and Screen Included</t>
  </si>
  <si>
    <t>24.5 in. x 24.5 in. Obscure Glass Round Picture Vinyl Window with Platinum Cross Design, White</t>
  </si>
  <si>
    <t>48 in. x 48 in. Round Black 6-9/16 in. Jamb 2-1/4 in. Interior Trim Geometric Aluminum Clad Wood Window</t>
  </si>
  <si>
    <t>27.25 in. x 27.25 in. Decorative Glass Craftsman Black Caming White Awning Vinyl Window</t>
  </si>
  <si>
    <t>35.5 in. x 35.5 in. Select Series Horizontal Sliding Left Hand Black Vinyl Window with HPSC Glass and Screen Included</t>
  </si>
  <si>
    <t>23.5 in. x 23.5 in. V-4500 Series White Vinyl Fixed Octagon Geometric Window with Colonial Grids/Grilles</t>
  </si>
  <si>
    <t>59.5 in. x 35.5 in. V-4500 Series White Vinyl Right-Handed Sliding Window with Colonial Grids/Grilles</t>
  </si>
  <si>
    <t>48 in. x 48 in. V-4500 Series Black FiniShield Vinyl Fixed Picture Window with Colonial Grids/Grilles</t>
  </si>
  <si>
    <t>Frameless Clear Pattern Non-Vented Glass Block Window</t>
  </si>
  <si>
    <t>48 in. x 36 in. V-2500 Series Bronze FiniShield Vinyl Left-Handed Sliding Window with Colonial Grids/Grilles</t>
  </si>
  <si>
    <t>23.5 in. x 35.5 in. Select Series Single Hung Vinyl Bronze Window with HPSC Glass and Screen Included</t>
  </si>
  <si>
    <t>27.25 in. x 27.25 in. Decorative Glass Craftsman Black Caming Tan Awning Vinyl Window</t>
  </si>
  <si>
    <t>35.5 in. x 23.5 in. V-2500 Series Desert Sand Vinyl Right-Handed Sliding Window with Colonial Grids/Grilles</t>
  </si>
  <si>
    <t>35.5 in. x 23.5 in. V-4500 Series White Vinyl Awning Window with Colonial Grids/Grilles</t>
  </si>
  <si>
    <t>24 in. x 20 in. W-2500 Series Black Painted Clad Wood Awning Window w/ Natural Interior and Screen</t>
  </si>
  <si>
    <t>23.5 in. x 47.5 in. V-2500 Series Desert Sand Vinyl Single Hung Window with Colonial Grids/Grilles</t>
  </si>
  <si>
    <t>36 in. x 36 in. V-2500 Series Bronze FiniShield Vinyl Fixed Picture Window with Colonial Grids/Grilles</t>
  </si>
  <si>
    <t>20 in. x 28.5 in. Oval Decorative Picture Vinyl Window in Platinum Design, White</t>
  </si>
  <si>
    <t>47.5 in. x 35.5 in. V-2500 Series Desert Sand Vinyl Fixed Picture Window with Colonial Grids/Grilles</t>
  </si>
  <si>
    <t>35.5 in. x 23.5 in. V-4500 Series Desert Sand Vinyl Awning Window with Colonial Grids/Grilles</t>
  </si>
  <si>
    <t>24 in. x 36 in. Oval White 6-9/16 in. Jamb 5-Lite Grille Geometric Aluminum Clad Wood Window</t>
  </si>
  <si>
    <t>59.5 in. x 47.5 in. Select Series Left Hand Horizontal Sliding Vinyl Black Window with HPSC Glass and Screen Included</t>
  </si>
  <si>
    <t>24 in. x 24 in. V-4500 Series Black FiniShield Vinyl Fixed Picture Window with Colonial Grids/Grilles</t>
  </si>
  <si>
    <t>20 in. x 28.75 in. Geometric Vinyl Window - White</t>
  </si>
  <si>
    <t>35.5 in. x 35.5 in. Select Series Vinyl Single Hung Black Window with HP2+ Glass</t>
  </si>
  <si>
    <t>35.5 in. x 23.5 in. V-4500 Series White Vinyl Left-Handed Sliding Window with Colonial Grids/Grilles</t>
  </si>
  <si>
    <t>29.5 in. x 29.5 in. V-4500 Series Desert Sand Vinyl Left-Handed Casement Window with Fiberglass Mesh Screen</t>
  </si>
  <si>
    <t>59.5 in. x 47.5 in. Select Series Vinyl Horizontal Sliding Left Hand Black Window with HP2+ Glass</t>
  </si>
  <si>
    <t>23.5 in. x 23.5 in. V-4500 Series Desert Sand Vinyl Awning Window with Colonial Grids/Grilles</t>
  </si>
  <si>
    <t>Frameless Diamond Pattern Non-Vented Glass Block Window</t>
  </si>
  <si>
    <t>24 in. x 36 in. Oval White 4-9/16 in. Jamb 3-1/2 in. Interior Trim Geometric Aluminum Clad Wood Window</t>
  </si>
  <si>
    <t>23.5 in. x 23.5 in. V-2500 Series Desert Sand Vinyl Fixed Picture Window with Colonial Grids/Grilles</t>
  </si>
  <si>
    <t>24 in. x 36 in. Oval White 4-9/16 in. Jamb 4-Lite Grille Geometric Aluminum Clad Wood Window</t>
  </si>
  <si>
    <t>60 in. x 60 in. V-4500 Series Black FiniShield Vinyl Left-Handed Sliding Window with Colonial Grids/Grilles</t>
  </si>
  <si>
    <t>36 in. x 24 in. W-2500 Series Black Painted Clad Wood Awning Window w/ Natural Interior and Screen</t>
  </si>
  <si>
    <t>42 in. x 42 in. Acrylic Block Fixed Vinyl Window in Tan</t>
  </si>
  <si>
    <t>36 in. x 24 in. V-2500 Series Bronze FiniShield Vinyl Fixed Picture Window with Colonial Grids/Grilles</t>
  </si>
  <si>
    <t>23.5 in. x 23.5 in. V-2500 Series Desert Sand Vinyl Fixed Octagon Geometric Window w/ Low-E 366 Glass</t>
  </si>
  <si>
    <t>24 in. x 42 in. V-4500 Series White Single-Hung Vinyl Window with 4-Lite Colonial Grids/Grilles</t>
  </si>
  <si>
    <t>23.5 in. x 35.5 in. V-4500 Series White Vinyl Fixed Picture Window with Colonial Grids/Grilles</t>
  </si>
  <si>
    <t>47.5 in. x 47.5 in. V-4500 Series White Vinyl Fixed Picture Window with Colonial Grids/Grilles</t>
  </si>
  <si>
    <t>33.375 in. x 36 in. W-2500 Series White Painted Clad Wood Double Hung Window w/ Natural Interior and Screen</t>
  </si>
  <si>
    <t>60 in. x 60 in. V-2500 Series Bronze FiniShield Vinyl Right-Handed Sliding Window with Colonial Grids/Grilles</t>
  </si>
  <si>
    <t>23.5 in. x 23.5 in. V-4500 Series White Vinyl Right-Handed Sliding Window with Colonial Grids/Grilles</t>
  </si>
  <si>
    <t>24 in. x 24 in. V-4500 Series Black FiniShield Vinyl Awning Window with Colonial Grids/Grilles</t>
  </si>
  <si>
    <t>23.5 in. x 23.5 in. Select Series Horizontal Sliding Left Hand Vinyl Black Window with HPSC Glass and Screen Included</t>
  </si>
  <si>
    <t>29.5 in. x 29.5 in. V-4500 Series White Vinyl Fixed Picture Window with Colonial Grids/Grilles</t>
  </si>
  <si>
    <t>47.5 in. x 47.5 in. V-2500 Series Desert Sand Vinyl Fixed Picture Window with Colonial Grids/Grilles</t>
  </si>
  <si>
    <t>29.5 in. x 35.5 in. V-4500 Series White Vinyl Left-Handed Casement Window with Colonial Grids/Grilles</t>
  </si>
  <si>
    <t>47.5 in. x 23.5 in. V-4500 Series Desert Sand Vinyl Awning Window with Colonial Grids/Grilles</t>
  </si>
  <si>
    <t>35.5 in. x 35.5 in. V-4500 Series White Vinyl Left-Handed Sliding Window with Colonial Grids/Grilles</t>
  </si>
  <si>
    <t>36 in. x 48 in. V-2500 Series Bronze FiniShield Vinyl Left-Handed Sliding Window with Colonial Grids/Grilles</t>
  </si>
  <si>
    <t>Frameless Bronze Wave Pattern Vented Glass Block Window</t>
  </si>
  <si>
    <t>23.5 in. x 23.5 in. Select Series Vinyl Horizontal Sliding Left Hand Black Window with HP2+ Glass</t>
  </si>
  <si>
    <t>47 in. x 47 in. Acrylic Block Fixed Vinyl Window in Tan</t>
  </si>
  <si>
    <t>36 in. x 36 in. V-4500 Series Black FiniShield Vinyl Fixed Octagon Geometric Window with Colonial Grids/Grilles</t>
  </si>
  <si>
    <t>47.5 in. x 47.5 in. Select Series Vinyl Horizontal Sliding Left Hand Bronze Window with HP2+ Glass</t>
  </si>
  <si>
    <t>24 in. x 36 in. Oval White 4-9/16 in. Jamb 2-1/4 in. Interior Trim 4-Lite Grille Geometric Aluminum Clad Wood Window</t>
  </si>
  <si>
    <t>35.5 in. x 23.5 in.Select Series Vinyl Horizontal Sliding Left Hand Black Window with HP2+ Glass</t>
  </si>
  <si>
    <t>35.5 in. x 23.5 in. Select Series Horizontal Sliding Left Hand Vinyl Black Window with HPSC Glass and Screen Included</t>
  </si>
  <si>
    <t>Frameless Clear Glass Block Window with Dryer Vent</t>
  </si>
  <si>
    <t>59.5 in. x 47.5 in. V-4500 Series White Vinyl Right-Handed Sliding Window with Colonial Grids/Grilles</t>
  </si>
  <si>
    <t>24 in. x 24 in. Octagon Black 6-9/16 in. Jamb 4-Lite Grille Geometric Aluminum Clad Wood Window</t>
  </si>
  <si>
    <t>59.5 in. x 47.5 in. V-4500 Series White Vinyl Left-Handed Sliding Window with Colonial Grids/Grilles</t>
  </si>
  <si>
    <t>23.25 in. x 23.25 in. x 3.125 in. Wave Pattern Solid Glass Block Masonry Window</t>
  </si>
  <si>
    <t>24 in. x 24 in. V-2500 Series Bronze FiniShield Vinyl Fixed Octagon Geometric Window with Colonial Grids/Grilles</t>
  </si>
  <si>
    <t>24 in. x 36 in. Oval White 4-9/16 in. Jamb 9-Lite Grille Geometric Aluminum Clad Wood Window</t>
  </si>
  <si>
    <t>35.5 in. x 59.5 in. V-4500 Series Desert Sand Painted Vinyl Left-Handed Casement Window with Colonial Grids/Grilles</t>
  </si>
  <si>
    <t>Frameless Diamond Pattern Glass Block Window with Dryer Vent</t>
  </si>
  <si>
    <t>24 in. x 48 in. V-4500 Series Black FiniShield Single-Hung Vinyl Window with 4-Lite Colonial Grids/Grilles</t>
  </si>
  <si>
    <t>47.5 in. x 35.5 in. V-4500 Series White Vinyl Right-Handed Sliding Window with Colonial Grids/Grilles</t>
  </si>
  <si>
    <t>30 in. x 48 in. Oval Black 6-9/16 in. Jamb 2-1/4 in. Interior Trim 5-Lite Grille Geometric Aluminum Clad Wood Window</t>
  </si>
  <si>
    <t>V-2500 Series Fixed Octagon Vinyl Window with Grids</t>
  </si>
  <si>
    <t>27.25 in. x 27.25 in. Decorative Glass Series Spring Flower Nickel Caming Tan Awning Vinyl Window</t>
  </si>
  <si>
    <t>34 in. x 34 in. Acrylic Block Fixed Vinyl Window in White</t>
  </si>
  <si>
    <t>Frameless Frosted Pattern Non-Vented Glass Block Window</t>
  </si>
  <si>
    <t>23.5 in. x 23.5 in. V-4500 Series Desert Sand Vinyl Left-Handed Casement Window with Colonial Grids/Grilles</t>
  </si>
  <si>
    <t>47.5 in. x 47.5 in. Select Series Left Hand Horizontal Sliding Vinyl Black Window with HPSC Glass and Screen Included</t>
  </si>
  <si>
    <t>24 in. x 24 in. Octagon White 4-9/16 in. Jamb 9-Lite Grille Geometric Aluminum Clad Wood Window</t>
  </si>
  <si>
    <t>20 in. x 28.5 in. Oval Decorative Picture Vinyl Window in Gold Design, White</t>
  </si>
  <si>
    <t>30 in. x 30 in. Round White 4-9/16 in. Jamb 3-1/2 in. Interior Trim 9-Lite Grille Geometric Aluminum Clad Wood Window</t>
  </si>
  <si>
    <t>48 in. x 48 in. Round White 4-9/16 in. Jamb 2-1/4 in. Interior Trim Geometric Aluminum Clad Wood Window</t>
  </si>
  <si>
    <t>48 in. x 36 in. V-4500 Series Black FiniShield Vinyl Fixed Picture Window with Colonial Grids/Grilles</t>
  </si>
  <si>
    <t>36 in. x 36 in. Round White 6-9/16 in. Jamb 9-Lite Grille Geometric Aluminum Clad Wood Window</t>
  </si>
  <si>
    <t>30 in. x 30 in. Round White 4-9/16 in. Jamb 3-1/2 in. Interior Trim 4-Lite Grille Geometric Aluminum Clad Wood Window</t>
  </si>
  <si>
    <t>35.5 in. x 35.5 in. V-4500 Series White Vinyl Fixed Octagon Geometric Window with Colonial Grids/Grilles</t>
  </si>
  <si>
    <t>23.5 in. x 29.5 in. V-4500 Series White Vinyl Left-Handed Casement Window with Colonial Grids/Grilles</t>
  </si>
  <si>
    <t>36 in. x 24 in. V-2500 Series Bronze FiniShield Vinyl Right-Handed Sliding Window with Colonial Grids/Grilles</t>
  </si>
  <si>
    <t>Frameless Frosted Pattern Glass Block Window with Dryer Vent</t>
  </si>
  <si>
    <t>Frameless Bronze Wave Pattern Glass Block Window with Dryer Vent</t>
  </si>
  <si>
    <t>20 in. x 28.5 in. Oval Geometric Vinyl Window - White</t>
  </si>
  <si>
    <t>Frameless Bronze Wave Pattern Non-Vented Glass Block Window</t>
  </si>
  <si>
    <t>29.5 in. x 29.5 in. V-4500 Series Desert Sand Vinyl Left-Handed Casement Window with Colonial Grids/Grilles</t>
  </si>
  <si>
    <t>30 in. x 48 in. Oval Bronze 6-9/16 in. Jamb 4-Lite Grille Geometric Aluminum Clad Wood Window</t>
  </si>
  <si>
    <t>42 in. x 50 in. Acrylic Block Arch Top Vinyl Window in White</t>
  </si>
  <si>
    <t>24 in. x 24 in. Round White 4-9/16 in. Jamb 5-Lite Grille Geometric Aluminum Clad Wood Window</t>
  </si>
  <si>
    <t>24 in. x 36 in. Oval White 4-9/16 in. Jamb 2-1/4 in. Interior Trim 5-Lite Grille Geometric Aluminum Clad Wood Window</t>
  </si>
  <si>
    <t>36 in. x 48 in. V-4500 Series Black FiniShield Vinyl Fixed Picture Window with Colonial Grids/Grilles</t>
  </si>
  <si>
    <t>35.5 in. x 35.5 in. Select Series Vinyl Horizontal Sliding Left Hand Bronze Window with HP2+ Glass</t>
  </si>
  <si>
    <t>24 in. x 24 in. W-2500 Series White Painted Clad Wood Awning Window w/ Natural Interior and Screen</t>
  </si>
  <si>
    <t>Frameless Frosted Pattern Vented Glass Block Window</t>
  </si>
  <si>
    <t>24 in. x 24 in. Round White 4-9/16 in. Jamb 3-1/2 in. Interior Trim Geometric Aluminum Clad Wood Window</t>
  </si>
  <si>
    <t>36 in. x 48 in. V-2500 Series Bronze FiniShield Vinyl Fixed Picture Window with Colonial Grids/Grilles</t>
  </si>
  <si>
    <t>42 in. x 50 in. Acrylic Block Round Top Vinyl Window in White</t>
  </si>
  <si>
    <t>42 in. x 42 in. V-4500 Series Black FiniShield Single-Hung Vinyl Window with 8-Lite Colonial Grids/Grilles</t>
  </si>
  <si>
    <t>24 in. x 24 in. V-4500 Series Black FiniShield Vinyl Fixed Octagon Geometric Window with Colonial Grids/Grilles</t>
  </si>
  <si>
    <t>47.5 in. x 35.5 in. V-4500 Series Desert Sand Vinyl Left-Handed Sliding Window with Colonial Grids/Grilles</t>
  </si>
  <si>
    <t>24 in. x 24 in. Round Bronze 6-9/16 in. Jamb 3-1/2 in. Interior Trim Geometric Aluminum Clad Wood Window</t>
  </si>
  <si>
    <t>24 in. x 24 in. Round White 4-9/16 in. Jamb 2-1/4 in. Interior Trim 9-Lite Grille Geometric Aluminum Clad Wood Window</t>
  </si>
  <si>
    <t>24 in. x 24 in. Round White 6-9/16 in. Jamb 2-1/4 in. Interior Trim 4-Lite Grille Geometric Aluminum Clad Wood Window</t>
  </si>
  <si>
    <t>23.5 in. x 23.5 in. V-4500 Series Desert Sand Vinyl Fixed Octagon Geometric Window w/ Low-E 366 Glass</t>
  </si>
  <si>
    <t>24 in. x 36 in. V-4500 Series Black FiniShield Vinyl Fixed Picture Window with Colonial Grids/Grilles</t>
  </si>
  <si>
    <t>48 in. x 48 in. Round Black 6-9/16 in. Jamb 3-1/2 in. Interior Trim 4-Lite Grille Geometric Aluminum Clad Wood Window</t>
  </si>
  <si>
    <t>18 in. x 18 in. Round White 4-9/16 in. Jamb 2-1/4 in. Interior Trim 4-Lite Grille Geometric Aluminum Clad Wood Window</t>
  </si>
  <si>
    <t>23.5 in. x 23.5 in. V-4500 Series White Vinyl Fixed Picture Window with Colonial Grids/Grilles</t>
  </si>
  <si>
    <t>36 in. x 36 in. Octagon Black 6-9/16 in. Jamb 9-Lite Grille Geometric Aluminum Clad Wood Window</t>
  </si>
  <si>
    <t>30 in. x 30 in. Round White 6-9/16 in. Jamb 2-1/4 in. Interior Trim 5-Lite Grille Geometric Aluminum Clad Wood Window</t>
  </si>
  <si>
    <t>23.5 in. x 29.5 in. V-4500 Series Desert Sand Vinyl Left-Handed Casement Window with Colonial Grids/Grilles</t>
  </si>
  <si>
    <t>34 in. x 34 in. Acrylic Block Fixed Vinyl Window in Tan</t>
  </si>
  <si>
    <t>48 in. x 48 in. Round Black 4-9/16 in. Jamb 9-Lite Grille Geometric Aluminum Clad Wood Window</t>
  </si>
  <si>
    <t>36 in. x 36 in. V-4500 Series Black FiniShield Vinyl Awning Window with Colonial Grids/Grilles</t>
  </si>
  <si>
    <t>59.5 in. x 35.5 in. V-4500 Series Desert Sand Vinyl Left-Handed Sliding Window with Colonial Grids/Grilles</t>
  </si>
  <si>
    <t>47.5 in. x 35.5 in. Select Series Vinyl Horizontal Sliding Left Hand Bronze Window with HP2+ Glass</t>
  </si>
  <si>
    <t>36 in. x 60 in. Oval Black 6-9/16 in. Jamb 9-Lite Grille Geometric Aluminum Clad Wood Window</t>
  </si>
  <si>
    <t>36 in. x 60 in. Oval Black 6-9/16 in. Jamb 3-1/2 in. Interior Trim 9-Lite Grille Geometric Aluminum Clad Wood Window</t>
  </si>
  <si>
    <t>59.5 x 59.5</t>
  </si>
  <si>
    <t>31.5 x 15.5</t>
  </si>
  <si>
    <t>31.75 x 15.75</t>
  </si>
  <si>
    <t>31.75 x 17.75</t>
  </si>
  <si>
    <t>35.5 x 35.5</t>
  </si>
  <si>
    <t>18 x 24</t>
  </si>
  <si>
    <t>31.75 x 21.75</t>
  </si>
  <si>
    <t>29.75 x 47.75</t>
  </si>
  <si>
    <t>31.75 x 13.75</t>
  </si>
  <si>
    <t>24 x 36</t>
  </si>
  <si>
    <t>47.5 x 47.5</t>
  </si>
  <si>
    <t>30 x 40</t>
  </si>
  <si>
    <t>23.5 x 23.5</t>
  </si>
  <si>
    <t>24 x 24</t>
  </si>
  <si>
    <t>35.5 x 59.5</t>
  </si>
  <si>
    <t>35.5 x 47.5</t>
  </si>
  <si>
    <t>31.75 x 23.75</t>
  </si>
  <si>
    <t>29.75 x 59.75</t>
  </si>
  <si>
    <t>35.5 x 23.5</t>
  </si>
  <si>
    <t>59.5 x 47.5</t>
  </si>
  <si>
    <t>47.5 x 59.5</t>
  </si>
  <si>
    <t>46.25 x 21</t>
  </si>
  <si>
    <t>30 x 27</t>
  </si>
  <si>
    <t>29.5 x 29.5</t>
  </si>
  <si>
    <t>47.5 x 35.5</t>
  </si>
  <si>
    <t>29.375 x 56.5</t>
  </si>
  <si>
    <t>95.5 x 47.5</t>
  </si>
  <si>
    <t>30.75 x 36.25</t>
  </si>
  <si>
    <t>37.375 x 60</t>
  </si>
  <si>
    <t>33.375 x 48</t>
  </si>
  <si>
    <t>23.5 x 47.5</t>
  </si>
  <si>
    <t>48 x 20</t>
  </si>
  <si>
    <t>31.25 x 35.25</t>
  </si>
  <si>
    <t>47 x 47</t>
  </si>
  <si>
    <t>47.5 x 23.5</t>
  </si>
  <si>
    <t>46.75 x 46.75</t>
  </si>
  <si>
    <t>27.25 x 27.25</t>
  </si>
  <si>
    <t>35.5 x 53.5</t>
  </si>
  <si>
    <t>71.5 x 47.5</t>
  </si>
  <si>
    <t>29.5 x 59.5</t>
  </si>
  <si>
    <t>71.5 x 35.5</t>
  </si>
  <si>
    <t>96 x 60</t>
  </si>
  <si>
    <t>30 x 30</t>
  </si>
  <si>
    <t>42 x 42</t>
  </si>
  <si>
    <t>18 x 18</t>
  </si>
  <si>
    <t>59.5 x 35.5</t>
  </si>
  <si>
    <t>23.5 x 35.5</t>
  </si>
  <si>
    <t>37.375 x 40</t>
  </si>
  <si>
    <t>19.5 x 28.25</t>
  </si>
  <si>
    <t>48 x 30</t>
  </si>
  <si>
    <t>37.375 x 36</t>
  </si>
  <si>
    <t>31.5 x 31.5</t>
  </si>
  <si>
    <t>36 x 36</t>
  </si>
  <si>
    <t>48 x 48</t>
  </si>
  <si>
    <t>24 x 20</t>
  </si>
  <si>
    <t>20 x 28.5</t>
  </si>
  <si>
    <t>19.25 x 28.25</t>
  </si>
  <si>
    <t>36 x 24</t>
  </si>
  <si>
    <t>23.5 x 41.5</t>
  </si>
  <si>
    <t>33.375 x 36</t>
  </si>
  <si>
    <t>29.5 x 35.5</t>
  </si>
  <si>
    <t>30 x 48</t>
  </si>
  <si>
    <t>34 x 34</t>
  </si>
  <si>
    <t>23.5 x 29.5</t>
  </si>
  <si>
    <t>42 x 50</t>
  </si>
  <si>
    <t>41.5 x 41.5</t>
  </si>
  <si>
    <t>36 x 60</t>
  </si>
  <si>
    <t>31.00 x 13.50</t>
  </si>
  <si>
    <t>23.25 x 46.50</t>
  </si>
  <si>
    <t>31.00 x 11.50</t>
  </si>
  <si>
    <t>31.00 x 21.25</t>
  </si>
  <si>
    <t>31.00 x 31.00</t>
  </si>
  <si>
    <t>38.75 x 31.00</t>
  </si>
  <si>
    <t>23.25 x 23.25</t>
  </si>
  <si>
    <t>17.25 x 32.75</t>
  </si>
  <si>
    <t>31.00 x 15.50</t>
  </si>
  <si>
    <t>31.00 x 23.25</t>
  </si>
  <si>
    <t>Width(in)xHeight(in)</t>
  </si>
  <si>
    <t>From IECC 2021</t>
  </si>
  <si>
    <t>Labor Calcs</t>
  </si>
  <si>
    <t>SIP</t>
  </si>
  <si>
    <t>Install ($/sqft</t>
  </si>
  <si>
    <t>Removal Costs</t>
  </si>
  <si>
    <t>Area</t>
  </si>
  <si>
    <t>Height</t>
  </si>
  <si>
    <t>Width</t>
  </si>
  <si>
    <t>Labor ($/sqft)</t>
  </si>
  <si>
    <t>Standard</t>
  </si>
  <si>
    <t>Width (inches)</t>
  </si>
  <si>
    <t>Area (sq. in.)</t>
  </si>
  <si>
    <t>Thickness (inch)</t>
  </si>
  <si>
    <t>Price ($)</t>
  </si>
  <si>
    <t>2.78 - 49</t>
  </si>
  <si>
    <t>RS Means</t>
  </si>
  <si>
    <t>Ledgestone</t>
  </si>
  <si>
    <t>1, 2, 4</t>
  </si>
  <si>
    <t>1, 2</t>
  </si>
  <si>
    <t>1, 4</t>
  </si>
  <si>
    <t>1,4</t>
  </si>
  <si>
    <t>Air Sealing</t>
  </si>
  <si>
    <t>Wall Sheathing (Insulation)</t>
  </si>
  <si>
    <t>ICF</t>
  </si>
  <si>
    <t>1, 10</t>
  </si>
  <si>
    <t>Siding</t>
  </si>
  <si>
    <t>h</t>
  </si>
  <si>
    <t>Shingle</t>
  </si>
  <si>
    <t>Labor Calculation</t>
  </si>
  <si>
    <t>Duct Insulation</t>
  </si>
  <si>
    <t>Blanket</t>
  </si>
  <si>
    <t>Density (lb/ft)</t>
  </si>
  <si>
    <t>Area (sq. ft)</t>
  </si>
  <si>
    <t>Labor ($)</t>
  </si>
  <si>
    <t>Pipe Insulation</t>
  </si>
  <si>
    <t>Rubber</t>
  </si>
  <si>
    <t>Wall Thickness (in)</t>
  </si>
  <si>
    <t>Iron Pipe Size (in.)</t>
  </si>
  <si>
    <t>Materials ($/LF)</t>
  </si>
  <si>
    <t>Materials ($)</t>
  </si>
  <si>
    <t>Materials ($/sqft)</t>
  </si>
  <si>
    <t>Energy Efficient</t>
  </si>
  <si>
    <t>Low-E</t>
  </si>
  <si>
    <t>Other</t>
  </si>
  <si>
    <t>Privacy</t>
  </si>
  <si>
    <t>Outlier</t>
  </si>
  <si>
    <t xml:space="preserve">Menards </t>
  </si>
  <si>
    <t>Owens Corning® Foamular® R-10 Polystyrene Foam Board Insulation 2" x 4' x 8' at Menards®</t>
  </si>
  <si>
    <t>Owens Corning® FOAMULAR® R-10 Polystyrene Foam Board Insulation 2" x 4' x 8' at Menards®</t>
  </si>
  <si>
    <t>Owens Corning® FOAMULAR® R-15 Polystyrene Foam Board Insulation 3" x 4' x 8' at Menards®</t>
  </si>
  <si>
    <t>Owens Corning® FOAMULAR® R-20 Polystyrene Foam Board Insulation 4" x 4' x 8' at Menards®</t>
  </si>
  <si>
    <t>Tongue and groove edge</t>
  </si>
  <si>
    <t>Owens Corning® FOAMULAR® R-4 Polystyrene Foam Board Insulation 3/4" x 4' x 8' at Menards®</t>
  </si>
  <si>
    <t>SP55/6</t>
  </si>
  <si>
    <t>INSWRP60</t>
  </si>
  <si>
    <t>INSWRP60R8</t>
  </si>
  <si>
    <t>FV516</t>
  </si>
  <si>
    <t>INSLV6R8</t>
  </si>
  <si>
    <t>INSLV6</t>
  </si>
  <si>
    <t>INSLV8R8</t>
  </si>
  <si>
    <t>SP42X/16</t>
  </si>
  <si>
    <t>INSLV8</t>
  </si>
  <si>
    <t>F8DS4</t>
  </si>
  <si>
    <t>F6DS4</t>
  </si>
  <si>
    <t>F8DS12</t>
  </si>
  <si>
    <t>F6DS5</t>
  </si>
  <si>
    <t>F8DS14</t>
  </si>
  <si>
    <t>F8DS5</t>
  </si>
  <si>
    <t>F8DS8</t>
  </si>
  <si>
    <t>F8DS6</t>
  </si>
  <si>
    <t>F6DS7</t>
  </si>
  <si>
    <t>F6DS10</t>
  </si>
  <si>
    <t>F6DS6</t>
  </si>
  <si>
    <t>F8DS10</t>
  </si>
  <si>
    <t>F6DS8</t>
  </si>
  <si>
    <t>F8DS9</t>
  </si>
  <si>
    <t>F6DS9</t>
  </si>
  <si>
    <t>F6DS14</t>
  </si>
  <si>
    <t>CF8HZ-1-24x60</t>
  </si>
  <si>
    <t>CF8-2-48X50in</t>
  </si>
  <si>
    <t>CF8-5-24x60</t>
  </si>
  <si>
    <t>CF8-5-48x50</t>
  </si>
  <si>
    <t>CF8-5-24X50</t>
  </si>
  <si>
    <t>CF6-1-48x60</t>
  </si>
  <si>
    <t>CF6-2-24x50</t>
  </si>
  <si>
    <t>CF8-1-24X25</t>
  </si>
  <si>
    <t>CF8-1-24X60in</t>
  </si>
  <si>
    <t>Frost King</t>
  </si>
  <si>
    <t>https://www.homedepot.com/p/Frost-King-12-in-x-15-ft-Foil-and-Fiberglass-Duct-Insulation-SP55-6/100185601</t>
  </si>
  <si>
    <t>https://www.homedepot.com/p/Master-Flow-60-sq-ft-R-6-Insulated-Duct-Wrap-INSWRP60/100152008</t>
  </si>
  <si>
    <t>https://www.homedepot.com/p/Master-Flow-60-sq-ft-R-8-Insulated-Duct-Wrap-INSWRP60R8/302000644</t>
  </si>
  <si>
    <t>https://www.homedepot.com/p/E-O-12-in-x-15-ft-Self-Stick-Foam-Foil-Duct-Insulation-FV516/100028603</t>
  </si>
  <si>
    <t>https://www.homedepot.com/p/Master-Flow-6-in-Dia-R-8-Ductwork-Insulation-Sleeve-INSLV6R8/301762453</t>
  </si>
  <si>
    <t>https://www.homedepot.com/p/Master-Flow-6-in-Dia-R-6-Ductwork-Insulation-Sleeve-INSLV6/100396953</t>
  </si>
  <si>
    <t>https://www.homedepot.com/p/Master-Flow-8-in-Dia-R-8-Ductwork-Insulation-Sleeve-INSLV8R8/301763046</t>
  </si>
  <si>
    <t>https://www.homedepot.com/p/Frost-King-3-in-x-25-ft-Foil-Backed-Fiberglass-Pipe-Wrap-Insulation-SP42X-16/202262326</t>
  </si>
  <si>
    <t>https://www.homedepot.com/p/Master-Flow-8-in-Dia-R-6-Ductwork-Insulation-Sleeve-INSLV8/100396954</t>
  </si>
  <si>
    <t>https://www.homedepot.com/p/Master-Flow-4-in-Dia-x-5-ft-Length-Ductwork-Insulation-Sleeve-R-8-F8DS4/312787143</t>
  </si>
  <si>
    <t>https://www.homedepot.com/p/Master-Flow-4-in-Dia-x-5-ft-Length-Ductwork-Insulation-Sleeve-R-6-F6DS4/312787087</t>
  </si>
  <si>
    <t>https://www.homedepot.com/p/Master-Flow-12-in-Dia-x-5-ft-Length-Ductwork-Insulation-Sleeve-R-8-F8DS12/312792178</t>
  </si>
  <si>
    <t>https://www.homedepot.com/p/Master-Flow-5-in-Dia-x-5-ft-Length-Ductwork-Insulation-Sleeve-R-6-F6DS5/312787114</t>
  </si>
  <si>
    <t>https://www.homedepot.com/p/Master-Flow-14-in-Dia-x-5-ft-Length-Ductwork-Insulation-Sleeve-R-8-F8DS14/312792185</t>
  </si>
  <si>
    <t>https://www.homedepot.com/p/Master-Flow-5-in-Dia-x-5-ft-Length-Ductwork-Insulation-Sleeve-R-8-F8DS5/312787147</t>
  </si>
  <si>
    <t>https://www.homedepot.com/p/Master-Flow-8-in-Dia-x-5-ft-Length-Ductwork-Insulation-Sleeve-R-8-F8DS8/312787157</t>
  </si>
  <si>
    <t>https://www.homedepot.com/p/Master-Flow-6-in-Dia-x-5-ft-Length-Ductwork-Insulation-Sleeve-R-8-F8DS6/312787149</t>
  </si>
  <si>
    <t>https://www.homedepot.com/p/Master-Flow-7-in-Dia-x-5-ft-Length-Ductwork-Insulation-Sleeve-R-6-F6DS7/312787131</t>
  </si>
  <si>
    <t>https://www.homedepot.com/p/Master-Flow-10-in-Dia-x-5-ft-Length-Ductwork-Insulation-Sleeve-R-6-F6DS10/312792126</t>
  </si>
  <si>
    <t>https://www.homedepot.com/p/Master-Flow-6-in-Dia-x-5-ft-Length-Ductwork-Insulation-Sleeve-R-6-F6DS6/312787121</t>
  </si>
  <si>
    <t>https://www.homedepot.com/p/Master-Flow-10-in-Dia-x-5-ft-Length-Ductwork-Insulation-Sleeve-R-8-F8DS10/312792174</t>
  </si>
  <si>
    <t>https://www.homedepot.com/p/Master-Flow-8-in-Dia-x-5-ft-Length-Ductwork-Insulation-Sleeve-R-6-F6DS8/312787134</t>
  </si>
  <si>
    <t>https://www.homedepot.com/p/Master-Flow-9-in-Dia-x-5-ft-Length-Ductwork-Insulation-Sleeve-R-8-F8DS9/312792165</t>
  </si>
  <si>
    <t>https://www.homedepot.com/p/Master-Flow-9-in-Dia-x-5-ft-Length-Ductwork-Insulation-Sleeve-R-6-F6DS9/312792117</t>
  </si>
  <si>
    <t>https://www.homedepot.com/p/Master-Flow-14-in-Dia-x-5-ft-Length-Ductwork-Insulation-Sleeve-R-6-F6DS14/312792143</t>
  </si>
  <si>
    <t>https://www.homedepot.com/p/UniTherm-Ceramic-Fiber-Insulation-Blanket-Roll-8-Density-2600-F-1-in-x-24-in-x-60-in-CF8HZ-1-24x60/309952966</t>
  </si>
  <si>
    <t>https://www.homedepot.com/p/UniTherm-Ceramic-Fiber-Insulation-Blanket-Roll-8-Density-2300-F-2-in-x-48-in-x-50-in-R-5-CF8-2-48X50in/309949108</t>
  </si>
  <si>
    <t>https://www.homedepot.com/p/UniTherm-Ceramic-Fiber-Insulation-Blanket-Roll-8-Density-2300-F-0-5-in-x-24-in-x-60-in-R-5-CF8-5-24x60/309952191</t>
  </si>
  <si>
    <t>https://www.homedepot.com/p/UniTherm-Ceramic-Fiber-Insulation-Blanket-Roll-8-Density-2300-F-0-5-in-x-48-in-x-50-ft-R-5-CF8-5-48x50/309952685</t>
  </si>
  <si>
    <t>https://www.homedepot.com/p/UniTherm-Ceramic-Fiber-Insulation-Blanket-Roll-8-Density-2300-F-0-5-in-x-24-in-x-50-ft-R-5-CF8-5-24X50/309950803</t>
  </si>
  <si>
    <t>https://www.homedepot.com/p/UniTherm-Ceramic-Fiber-Insulation-Blanket-Roll-6-Density-2300-F-1-in-x-48-in-x-60-in-R-5-CF6-1-48x60/309947205</t>
  </si>
  <si>
    <t>https://www.homedepot.com/p/UniTherm-Ceramic-Fiber-Insulation-Blanket-Roll-6-Density-2300-F-2-in-x-24-in-x-50-in-CF6-2-24x50/309948233</t>
  </si>
  <si>
    <t>https://www.homedepot.com/p/UniTherm-Ceramic-Fiber-Insulation-Blanket-Roll-8-Density-2300-F-1in-x24in-x25ft-for-Kilns-Ovens-Furnaces-Forges-Stoves-CF8-1-24X25/305950070</t>
  </si>
  <si>
    <t>https://www.homedepot.com/p/UniTherm-Ceramic-Fiber-Insulation-Blanket-Roll-8-Density-2300F-1in-x24in-x60in-for-Kilns-Ovens-Furnaces-Forges-Stoves-CF8-1-24X60in/305879916</t>
  </si>
  <si>
    <t>R-8.8 (25 psi) 2" x 4' x 8' High Density Expanded Polystyrene Foam Board Insulation at Menards®</t>
  </si>
  <si>
    <t>https://www.menards.com/main/building-materials/insulation/foam-board-insulation/owens-corning-reg-foamular-reg-r-10-polystyrene-foam-board-insulation-2-x-2-x-8/672401/p-1444450494915-c-5779.htm?tid=bb9acd29-7649-4296-82ac-12991575bf2d&amp;ipos=19&amp;exp=false</t>
  </si>
  <si>
    <t>https://www.menards.com/main/building-materials/insulation/foam-board-insulation/owens-corning-reg-foamular-reg-r-15-polystyrene-foam-board-insulation-3-x-4-x-8/270840/p-1444450503441-c-5779.htm?tid=bb9acd29-7649-4296-82ac-12991575bf2d&amp;ipos=18&amp;exp=false</t>
  </si>
  <si>
    <t>Owens Corning® FOAMULAR® R-7.5 Polystyrene Foam Board Insulation 1-1/2" x 4' x 8' at Menards®</t>
  </si>
  <si>
    <t>https://www.menards.com/main/building-materials/insulation/foam-board-insulation/owens-corning-reg-foamular-reg-r-3-polystyrene-foam-board-insulation-1-2-x-4-x-8/452873/p-1444450501960-c-5779.htm?tid=77ae6c3c-fae5-4d36-b079-ede474c88c54&amp;ipos=15&amp;exp=false</t>
  </si>
  <si>
    <t>https://www.menards.com/main/building-materials/insulation/foam-board-insulation/owens-corning-reg-foamular-reg-r-10-polystyrene-foam-board-insulation-2-x-4-x-8/654957/p-1444450471143-c-5779.htm?tid=77ae6c3c-fae5-4d36-b079-ede474c88c54&amp;ipos=14&amp;exp=false</t>
  </si>
  <si>
    <t>https://www.menards.com/main/building-materials/insulation/foam-board-insulation/owens-corning-reg-foamular-reg-r-12-5-polystyrene-foam-board-insulation-2-1-2-x-4-x-8/340570/p-1444450496636-c-5779.htm?tid=77ae6c3c-fae5-4d36-b079-ede474c88c54&amp;ipos=12&amp;exp=false</t>
  </si>
  <si>
    <t>https://www.menards.com/main/building-materials/insulation/foam-board-insulation/owens-corning-reg-foamular-reg-r-10-polystyrene-foam-board-insulation-2-x-4-x-8/672400/p-1444450479434-c-5779.htm?tid=77ae6c3c-fae5-4d36-b079-ede474c88c54&amp;ipos=11&amp;exp=false</t>
  </si>
  <si>
    <t>https://www.menards.com/main/building-materials/insulation/foam-board-insulation/owens-corning-reg-foamular-reg-r-7-5-polystyrene-foam-board-insulation-1-1-2-x-4-x-8/270815/p-1444450490231-c-5779.htm?tid=77ae6c3c-fae5-4d36-b079-ede474c88c54&amp;ipos=10&amp;exp=false</t>
  </si>
  <si>
    <t>https://www.menards.com/main/building-materials/insulation/foam-board-insulation/owens-corning-reg-foamular-reg-r-20-polystyrene-foam-board-insulation-4-x-2-x-8/270474/p-1444450496181-c-5779.htm?tid=77ae6c3c-fae5-4d36-b079-ede474c88c54&amp;ipos=8&amp;exp=false</t>
  </si>
  <si>
    <t>Laminated Expanded Polystyrene Foam Board Insulation 4' x 8' at Menards®</t>
  </si>
  <si>
    <t>R-3 (10 psi) 3/4" x 14-1/2" x 48" Expanded Polystyrene Foam Board Insulation - 6 Pack at Menards®</t>
  </si>
  <si>
    <t>R-4 (10 psi) Expanded Polystyrene Foam Board Insulation 1" x 4' x 8' at Menards®</t>
  </si>
  <si>
    <t>Squared edge</t>
  </si>
  <si>
    <t>FOAMULAR® 600 2 in x 4 ft x 8 ft R-10 Squared Edge Insulation</t>
  </si>
  <si>
    <t>Insulation Supply</t>
  </si>
  <si>
    <t>FOAMULAR® 250 2 in. x 4 ft. x 8 ft. R-10 Tongue &amp; Groove Edge (insulation.supply)</t>
  </si>
  <si>
    <t>FOAMULAR® 1000 2 in x 2 ft x 8 ft R-10 Squared Edge Insulation</t>
  </si>
  <si>
    <t>FOAMULAR® 250 4 in x 4 ft x 8 ft R-20 Squared Edge Insulation</t>
  </si>
  <si>
    <t>FOAMULAR® 250 2 in x 4 ft x 8 ft R-10 Squared Edge Insulation</t>
  </si>
  <si>
    <t>FOAMULAR® 250 3 in x 4 ft x 8 ft R-15 Scored Squared Edge (insulation.supply)</t>
  </si>
  <si>
    <t>FOAMULAR® 150 1 in x 4 ft x 8 ft R-5 Scored Squared Edge (insulation.supply)</t>
  </si>
  <si>
    <t>FOAMULAR® 150 1.5 in x 4 ft x 8 ft R-7.5 Scored Squared Edge (insulation.supply)</t>
  </si>
  <si>
    <t>FOAMULAR® 400 2 in x 4 ft x 8 ft R-10 Squared Edge Insulation</t>
  </si>
  <si>
    <t>FOAMULAR® 400 3 in x 4 ft x 8 ft R-15 Squared Edge Insulation</t>
  </si>
  <si>
    <t>FOAMULAR® 400 1 in x 2 ft x 8 ft R-5 Squared Edge Insulation</t>
  </si>
  <si>
    <t>FOAMULAR® 1000 3 in x 2 ft x 8 ft R-15 Squared Edge Insulation</t>
  </si>
  <si>
    <t>FOAMULAR® 600 3 in x 4 ft x 8 ft R-15 Squared Edge Insulation</t>
  </si>
  <si>
    <t>FOAMULAR® 150 2 in x 4 ft x 8 ft R-10 Scored Square Edge (insulation.supply)</t>
  </si>
  <si>
    <t>FOAMULAR® 150 1 in x 4 ft x 8 ft R-5 Tongue &amp; Groove Edge (insulation.supply)</t>
  </si>
  <si>
    <t>FOAMULAR® 250 1 in x 4 ft x 8 ft R-5 Tongue &amp; Groove Edge (insulation.supply)</t>
  </si>
  <si>
    <t>FOAMULAR® THERMAPINK® 3 in x 4 ft x 8 ft R-15 Squared Edge (insulation.supply)</t>
  </si>
  <si>
    <t>FOAMULAR® 600 1 in x 2 ft x 8 ft R-5 Squared Edge Insulation</t>
  </si>
  <si>
    <t>FOAMULAR® 250 2 in x 4 ft x 8 ft R-10 Scored Squared Edge (insulation.supply)</t>
  </si>
  <si>
    <t>FOAMULAR® 600 1.5 in x 2 ft x 8 ft R-7.5 Squared Edge Insulation</t>
  </si>
  <si>
    <t>FOAMULAR® 250 3 in x 4 ft x 8 ft R-15 Squared Edge Insulation</t>
  </si>
  <si>
    <t>FOAMULAR® 250 1.5 in x 4 ft x 8 ft R-7.5 Squared Edge Insulation</t>
  </si>
  <si>
    <t>FOAMULAR® 1000 1.5 in x 2 ft x 8 ft R-7.5 Squared Edge Insulation</t>
  </si>
  <si>
    <t>FANFOLD® 1/4" x 4' x 50' R-1 Squared Edge Foam Residing Board (insulation.supply)</t>
  </si>
  <si>
    <t>FOAMULAR® 250 1 in x 4 ft x 8 ft R-5 Squared Edge Insulation</t>
  </si>
  <si>
    <t>FOAMULAR® LT40 2 in x 4 ft x 8 ft R-10 Squared Edge Insulation</t>
  </si>
  <si>
    <t>https://insulation.supply/product/foamular-250-1-x-4-ft-x-8-ft-r-5-scored-squared-edge-insulation-sheathing/</t>
  </si>
  <si>
    <t>FOAMULAR® 250 0.75 in x 4 ft x 8 ft R-3.75 Tongue &amp; Groove Edge (insulation.supply)</t>
  </si>
  <si>
    <t>FOAMULAR® 250 0.75 in x 4 ft x 8 ft R-3.75 Squared Edge (insulation.supply)</t>
  </si>
  <si>
    <t>FOAMULAR® 404 3 in x 2 ft x 8 ft R-15 Channel Edge Insulation</t>
  </si>
  <si>
    <t>FOAMULAR® 250 2.5 in x 4 ft x 8 ft R-12.5 Scored Squared Edge (insulation.supply)</t>
  </si>
  <si>
    <t>Walls (laminated)</t>
  </si>
  <si>
    <t>FOAMULAR® INS SHEATHING Laminated 0.5 in x 4 ft x 8 ft R-3 (insulation.supply)</t>
  </si>
  <si>
    <t>FOAMULAR® HALF-INCH 0.5 in x 4 ft x 8 ft R-3 Sq Edge Insulation</t>
  </si>
  <si>
    <t>FOAMULAR® 250 1.5 in x 4 ft x 8 ft R-7.5 Scored Squared Edge (insulation.supply)</t>
  </si>
  <si>
    <t>Insulation 4 Us</t>
  </si>
  <si>
    <t>Buy Dupont XPS 150 Blue Board Online | Dupont XPS (insulation4us.com)</t>
  </si>
  <si>
    <t>Kingspan GreenGuard LG Type IV 25 psi 4ft x 8ft XPS Insulation Board (insulation4us.com)</t>
  </si>
  <si>
    <t>Hamilton Building Supply Company</t>
  </si>
  <si>
    <t>Departments - 1-1/2x4x8  FOAMULAR SCORBRD R7.5 (hbsnj.com)</t>
  </si>
  <si>
    <t>Departments - 1x2'x8' FOAMULAR T&amp;G  R5  (16) (hbsnj.com)</t>
  </si>
  <si>
    <t>Departments - 2" 4X8  FOAM SCOREBOARD R10 (hbsnj.com)</t>
  </si>
  <si>
    <t>Departments - 2X2'X8' FOAM T&amp;G  R10 (6) (hbsnj.com)</t>
  </si>
  <si>
    <t>Column1</t>
  </si>
  <si>
    <t>Compatible Pipe Material</t>
  </si>
  <si>
    <t>Copper</t>
  </si>
  <si>
    <t>Polyethylene</t>
  </si>
  <si>
    <t>Multi-Purpose</t>
  </si>
  <si>
    <t>Corrugated</t>
  </si>
  <si>
    <t>Cast iron</t>
  </si>
  <si>
    <t>ABS</t>
  </si>
  <si>
    <t>ORP11812</t>
  </si>
  <si>
    <t>ORS07812</t>
  </si>
  <si>
    <t>Armacell</t>
  </si>
  <si>
    <t>TAP18230</t>
  </si>
  <si>
    <t>K-Flex</t>
  </si>
  <si>
    <t>6RTL048078-HD</t>
  </si>
  <si>
    <t>HST07812</t>
  </si>
  <si>
    <t>6RTL048058-HD</t>
  </si>
  <si>
    <t>Armaflex</t>
  </si>
  <si>
    <t>HST11812</t>
  </si>
  <si>
    <t>6RTL048118-HD</t>
  </si>
  <si>
    <t>FV15H</t>
  </si>
  <si>
    <t>P21EB</t>
  </si>
  <si>
    <t>HPF07812EL2</t>
  </si>
  <si>
    <t>F15XAD</t>
  </si>
  <si>
    <t>HPF05812EL2</t>
  </si>
  <si>
    <t>Oatey</t>
  </si>
  <si>
    <t>HPF11812EL2</t>
  </si>
  <si>
    <t>P20EB</t>
  </si>
  <si>
    <t>FC3</t>
  </si>
  <si>
    <t>F17XAD</t>
  </si>
  <si>
    <t>APC07812R</t>
  </si>
  <si>
    <t>AAD520002B</t>
  </si>
  <si>
    <t>SP41X</t>
  </si>
  <si>
    <t>BST11810</t>
  </si>
  <si>
    <t>HPF07812TEE</t>
  </si>
  <si>
    <t>F16XAD</t>
  </si>
  <si>
    <t>HPT07812</t>
  </si>
  <si>
    <t>Plumberex Trap Gear</t>
  </si>
  <si>
    <t>Advanced Drainage Systems</t>
  </si>
  <si>
    <t>1137KA</t>
  </si>
  <si>
    <t>Tubolit</t>
  </si>
  <si>
    <t>DGS20038</t>
  </si>
  <si>
    <t>APT03838</t>
  </si>
  <si>
    <t>HPF11812TEE</t>
  </si>
  <si>
    <t>DGT11012S</t>
  </si>
  <si>
    <t>396G</t>
  </si>
  <si>
    <t>DGS03434</t>
  </si>
  <si>
    <t>APT07834</t>
  </si>
  <si>
    <t>DGS11012</t>
  </si>
  <si>
    <t>DGS20034</t>
  </si>
  <si>
    <t>APT07810</t>
  </si>
  <si>
    <t>DGT13838S</t>
  </si>
  <si>
    <t>BST07834</t>
  </si>
  <si>
    <t>DGT31834S</t>
  </si>
  <si>
    <t>CF1</t>
  </si>
  <si>
    <t>BST13834</t>
  </si>
  <si>
    <t>DGT03434S</t>
  </si>
  <si>
    <t>DGS31834</t>
  </si>
  <si>
    <t>DGS11034</t>
  </si>
  <si>
    <t>Dekorra</t>
  </si>
  <si>
    <t>603-GN</t>
  </si>
  <si>
    <t>BST07810</t>
  </si>
  <si>
    <t>BST60010</t>
  </si>
  <si>
    <t>DGT40034S</t>
  </si>
  <si>
    <t>APT40020</t>
  </si>
  <si>
    <t>CF55</t>
  </si>
  <si>
    <t>DGS03838</t>
  </si>
  <si>
    <t>BST20010</t>
  </si>
  <si>
    <t>DGS20012</t>
  </si>
  <si>
    <t>APT11838</t>
  </si>
  <si>
    <t>ELB58H</t>
  </si>
  <si>
    <t>APT30020</t>
  </si>
  <si>
    <t>APT01212</t>
  </si>
  <si>
    <t>610-GN</t>
  </si>
  <si>
    <t>DGS07812</t>
  </si>
  <si>
    <t>DGS13834</t>
  </si>
  <si>
    <t>DGS20010</t>
  </si>
  <si>
    <t>602-DT</t>
  </si>
  <si>
    <t>DGT03438S</t>
  </si>
  <si>
    <t>DGS41834</t>
  </si>
  <si>
    <t>ELB1H</t>
  </si>
  <si>
    <t>BST11034</t>
  </si>
  <si>
    <t>APT03834</t>
  </si>
  <si>
    <t>PF WaterWorks</t>
  </si>
  <si>
    <t>PF0692</t>
  </si>
  <si>
    <t>PF0693</t>
  </si>
  <si>
    <t>DGT07834S</t>
  </si>
  <si>
    <t>APT15838</t>
  </si>
  <si>
    <t>DGS21038</t>
  </si>
  <si>
    <t>DGT13834S</t>
  </si>
  <si>
    <t>APT80034</t>
  </si>
  <si>
    <t>DGT03412S</t>
  </si>
  <si>
    <t>APT15834</t>
  </si>
  <si>
    <t>DGT15812S</t>
  </si>
  <si>
    <t>DGT21812S</t>
  </si>
  <si>
    <t>PF0691</t>
  </si>
  <si>
    <t>BST05810</t>
  </si>
  <si>
    <t>TEE1H</t>
  </si>
  <si>
    <t>DGT03838S</t>
  </si>
  <si>
    <t>DGS05812</t>
  </si>
  <si>
    <t>616-GN</t>
  </si>
  <si>
    <t>BST30010</t>
  </si>
  <si>
    <t>BST41834</t>
  </si>
  <si>
    <t>APT05812</t>
  </si>
  <si>
    <t>BST21812</t>
  </si>
  <si>
    <t>610-DT</t>
  </si>
  <si>
    <t>TEE58H</t>
  </si>
  <si>
    <t>614-GN</t>
  </si>
  <si>
    <t>DGS21838</t>
  </si>
  <si>
    <t>APT05834</t>
  </si>
  <si>
    <t>DGS01238</t>
  </si>
  <si>
    <t>DGS21834</t>
  </si>
  <si>
    <t>APT11810</t>
  </si>
  <si>
    <t>DGT41834S</t>
  </si>
  <si>
    <t>38707</t>
  </si>
  <si>
    <t>BST21834</t>
  </si>
  <si>
    <t>DGS21810</t>
  </si>
  <si>
    <t>APT13810</t>
  </si>
  <si>
    <t>DGT20010S</t>
  </si>
  <si>
    <t>DGT21034S</t>
  </si>
  <si>
    <t>APT11010</t>
  </si>
  <si>
    <t>APT11012</t>
  </si>
  <si>
    <t>DGT15838S</t>
  </si>
  <si>
    <t>PF0696</t>
  </si>
  <si>
    <t>DGS11812</t>
  </si>
  <si>
    <t>APT03812</t>
  </si>
  <si>
    <t>APT35812</t>
  </si>
  <si>
    <t>DGS41812</t>
  </si>
  <si>
    <t>BST11834</t>
  </si>
  <si>
    <t>APT21810</t>
  </si>
  <si>
    <t>DGT11834S</t>
  </si>
  <si>
    <t>DGT25810S</t>
  </si>
  <si>
    <t>DGT07810S</t>
  </si>
  <si>
    <t>DGT21834S</t>
  </si>
  <si>
    <t>APT03410</t>
  </si>
  <si>
    <t>APT13812</t>
  </si>
  <si>
    <t>APT30010</t>
  </si>
  <si>
    <t>DGT15810S</t>
  </si>
  <si>
    <t>DGT01238S</t>
  </si>
  <si>
    <t>BST21010</t>
  </si>
  <si>
    <t>DGS25812</t>
  </si>
  <si>
    <t>BST31810</t>
  </si>
  <si>
    <t>BST03410</t>
  </si>
  <si>
    <t>DGT11010S</t>
  </si>
  <si>
    <t>APT15812</t>
  </si>
  <si>
    <t>APT15810</t>
  </si>
  <si>
    <t>BST11815</t>
  </si>
  <si>
    <t>609-GN</t>
  </si>
  <si>
    <t>KING</t>
  </si>
  <si>
    <t>APT21034</t>
  </si>
  <si>
    <t>APT05838</t>
  </si>
  <si>
    <t>APT07838</t>
  </si>
  <si>
    <t>APT20020</t>
  </si>
  <si>
    <t>APT20010</t>
  </si>
  <si>
    <t>BST11012</t>
  </si>
  <si>
    <t>APT21834</t>
  </si>
  <si>
    <t>BST15810</t>
  </si>
  <si>
    <t>BST03434</t>
  </si>
  <si>
    <t>DGS11038</t>
  </si>
  <si>
    <t>BST13810</t>
  </si>
  <si>
    <t>BST11812</t>
  </si>
  <si>
    <t>DGT01212S</t>
  </si>
  <si>
    <t>BST35812</t>
  </si>
  <si>
    <t>BST01234</t>
  </si>
  <si>
    <t>BST11820</t>
  </si>
  <si>
    <t>DGT35834S</t>
  </si>
  <si>
    <t>DGS31812</t>
  </si>
  <si>
    <t>BST21810</t>
  </si>
  <si>
    <t>APT40034</t>
  </si>
  <si>
    <t>DGS03810</t>
  </si>
  <si>
    <t>CF42X</t>
  </si>
  <si>
    <t>BST11010</t>
  </si>
  <si>
    <t>DGS15838</t>
  </si>
  <si>
    <t>BST30034</t>
  </si>
  <si>
    <t>BST13820</t>
  </si>
  <si>
    <t>CWP280-40</t>
  </si>
  <si>
    <t>616-DT</t>
  </si>
  <si>
    <t>DGS05810</t>
  </si>
  <si>
    <t>DGS25810</t>
  </si>
  <si>
    <t>DGS01210</t>
  </si>
  <si>
    <t>S10XB/6</t>
  </si>
  <si>
    <t>DGS21010</t>
  </si>
  <si>
    <t>BST05812</t>
  </si>
  <si>
    <t>DGS03834</t>
  </si>
  <si>
    <t>APT25838</t>
  </si>
  <si>
    <t>BST15838</t>
  </si>
  <si>
    <t>BST15812</t>
  </si>
  <si>
    <t>DGS11010</t>
  </si>
  <si>
    <t>S12XB/6</t>
  </si>
  <si>
    <t>APT11820</t>
  </si>
  <si>
    <t>DGT13810S</t>
  </si>
  <si>
    <t>APT20034</t>
  </si>
  <si>
    <t>BST25834</t>
  </si>
  <si>
    <t>BST07820</t>
  </si>
  <si>
    <t>APT40010</t>
  </si>
  <si>
    <t>609-DT</t>
  </si>
  <si>
    <t>APT05820</t>
  </si>
  <si>
    <t>BST07838</t>
  </si>
  <si>
    <t>BST41815</t>
  </si>
  <si>
    <t>APT25812</t>
  </si>
  <si>
    <t>APT25815</t>
  </si>
  <si>
    <t>APT31812</t>
  </si>
  <si>
    <t>DGS35838</t>
  </si>
  <si>
    <t>DGT15834S</t>
  </si>
  <si>
    <t>APT11015</t>
  </si>
  <si>
    <t>DGS15834</t>
  </si>
  <si>
    <t>CWP168-24</t>
  </si>
  <si>
    <t>APT21838</t>
  </si>
  <si>
    <t>APT21010</t>
  </si>
  <si>
    <t>BST40012</t>
  </si>
  <si>
    <t>APT03420</t>
  </si>
  <si>
    <t>DGT03834S</t>
  </si>
  <si>
    <t>BST21820</t>
  </si>
  <si>
    <t>DGT25834S</t>
  </si>
  <si>
    <t>APT11038</t>
  </si>
  <si>
    <t>APT20038</t>
  </si>
  <si>
    <t>APT25810</t>
  </si>
  <si>
    <t>DGS25834</t>
  </si>
  <si>
    <t>APT05815</t>
  </si>
  <si>
    <t>DGS03412</t>
  </si>
  <si>
    <t>APT21815</t>
  </si>
  <si>
    <t>BST35834</t>
  </si>
  <si>
    <t>APT60010</t>
  </si>
  <si>
    <t>APT35820</t>
  </si>
  <si>
    <t>BST05838</t>
  </si>
  <si>
    <t>BST21838</t>
  </si>
  <si>
    <t>BST31834</t>
  </si>
  <si>
    <t>DGT21810S</t>
  </si>
  <si>
    <t>APT60015</t>
  </si>
  <si>
    <t>APT50034</t>
  </si>
  <si>
    <t>APT41834</t>
  </si>
  <si>
    <t>APT41810</t>
  </si>
  <si>
    <t>APT30015</t>
  </si>
  <si>
    <t>APT25834</t>
  </si>
  <si>
    <t>APT07815</t>
  </si>
  <si>
    <t>1</t>
  </si>
  <si>
    <t>.75</t>
  </si>
  <si>
    <t>9.5</t>
  </si>
  <si>
    <t>0.75</t>
  </si>
  <si>
    <t>6.0</t>
  </si>
  <si>
    <t>0.5</t>
  </si>
  <si>
    <t>6</t>
  </si>
  <si>
    <t>2.0</t>
  </si>
  <si>
    <t>.5</t>
  </si>
  <si>
    <t>4</t>
  </si>
  <si>
    <t>3.00</t>
  </si>
  <si>
    <t>1.5</t>
  </si>
  <si>
    <t>0</t>
  </si>
  <si>
    <t>2.5</t>
  </si>
  <si>
    <t>0.25</t>
  </si>
  <si>
    <t>0.625</t>
  </si>
  <si>
    <t>1.25</t>
  </si>
  <si>
    <t>2</t>
  </si>
  <si>
    <t>3.0</t>
  </si>
  <si>
    <t>4.0</t>
  </si>
  <si>
    <t>3</t>
  </si>
  <si>
    <t>1.0</t>
  </si>
  <si>
    <t>0.375</t>
  </si>
  <si>
    <t>12</t>
  </si>
  <si>
    <t>8.0</t>
  </si>
  <si>
    <t>3.5</t>
  </si>
  <si>
    <t>.625</t>
  </si>
  <si>
    <t>.375</t>
  </si>
  <si>
    <t>.25</t>
  </si>
  <si>
    <t>.875</t>
  </si>
  <si>
    <t>5.0</t>
  </si>
  <si>
    <t>2.9</t>
  </si>
  <si>
    <t>3.1</t>
  </si>
  <si>
    <t>3.2</t>
  </si>
  <si>
    <t>3.3</t>
  </si>
  <si>
    <t>1.2</t>
  </si>
  <si>
    <t>7.2</t>
  </si>
  <si>
    <t>.50</t>
  </si>
  <si>
    <t>1.9</t>
  </si>
  <si>
    <t>2.6</t>
  </si>
  <si>
    <t>5.2</t>
  </si>
  <si>
    <t>5.4</t>
  </si>
  <si>
    <t>6.9</t>
  </si>
  <si>
    <t>3.8</t>
  </si>
  <si>
    <t>5.1</t>
  </si>
  <si>
    <t>4.1</t>
  </si>
  <si>
    <t>13</t>
  </si>
  <si>
    <t>5.5</t>
  </si>
  <si>
    <t>3.6</t>
  </si>
  <si>
    <t>9</t>
  </si>
  <si>
    <t>2.7</t>
  </si>
  <si>
    <t>6.6</t>
  </si>
  <si>
    <t>2.2</t>
  </si>
  <si>
    <t>2.1</t>
  </si>
  <si>
    <t>10.8</t>
  </si>
  <si>
    <t>4.5</t>
  </si>
  <si>
    <t>2.3</t>
  </si>
  <si>
    <t>4.8</t>
  </si>
  <si>
    <t>5.7</t>
  </si>
  <si>
    <t>1.8</t>
  </si>
  <si>
    <t>5</t>
  </si>
  <si>
    <t>2.4</t>
  </si>
  <si>
    <t>4.9</t>
  </si>
  <si>
    <t>7.1</t>
  </si>
  <si>
    <t>6.1</t>
  </si>
  <si>
    <t>4.2</t>
  </si>
  <si>
    <t>4.7</t>
  </si>
  <si>
    <t>7.3</t>
  </si>
  <si>
    <t>3.4</t>
  </si>
  <si>
    <t>5.3</t>
  </si>
  <si>
    <t>6.7</t>
  </si>
  <si>
    <t>6.3</t>
  </si>
  <si>
    <t>6.2</t>
  </si>
  <si>
    <t>5.8</t>
  </si>
  <si>
    <t>8.6</t>
  </si>
  <si>
    <t>4.4</t>
  </si>
  <si>
    <t>14.8</t>
  </si>
  <si>
    <t>3.7</t>
  </si>
  <si>
    <t>9.1</t>
  </si>
  <si>
    <t>4.3</t>
  </si>
  <si>
    <t>13.9</t>
  </si>
  <si>
    <t>7.8</t>
  </si>
  <si>
    <t>8.4</t>
  </si>
  <si>
    <t>6.4</t>
  </si>
  <si>
    <t>4.6</t>
  </si>
  <si>
    <t>15.9</t>
  </si>
  <si>
    <t>17.6</t>
  </si>
  <si>
    <t>7.0</t>
  </si>
  <si>
    <t>7.7</t>
  </si>
  <si>
    <t>8.3</t>
  </si>
  <si>
    <t>2.8</t>
  </si>
  <si>
    <t>16.7</t>
  </si>
  <si>
    <t>12.3</t>
  </si>
  <si>
    <t>3.9</t>
  </si>
  <si>
    <t>11.4</t>
  </si>
  <si>
    <t>8.1</t>
  </si>
  <si>
    <t>10.5</t>
  </si>
  <si>
    <t>5.9</t>
  </si>
  <si>
    <t>10.3</t>
  </si>
  <si>
    <t>$2.98</t>
  </si>
  <si>
    <t>$3.70</t>
  </si>
  <si>
    <t>$15.98</t>
  </si>
  <si>
    <t>$8.78</t>
  </si>
  <si>
    <t>$6.67</t>
  </si>
  <si>
    <t>$10.38</t>
  </si>
  <si>
    <t>$6.98</t>
  </si>
  <si>
    <t>$4.53</t>
  </si>
  <si>
    <t>$7.40</t>
  </si>
  <si>
    <t>$13.54</t>
  </si>
  <si>
    <t>$6.90</t>
  </si>
  <si>
    <t>$7.98</t>
  </si>
  <si>
    <t>$3.78</t>
  </si>
  <si>
    <t>$4.52</t>
  </si>
  <si>
    <t>$14.99</t>
  </si>
  <si>
    <t>$76.26</t>
  </si>
  <si>
    <t>$13.65</t>
  </si>
  <si>
    <t>$5.65</t>
  </si>
  <si>
    <t>$270.58</t>
  </si>
  <si>
    <t>$8.47</t>
  </si>
  <si>
    <t>$14.53</t>
  </si>
  <si>
    <t>$11.64</t>
  </si>
  <si>
    <t>$24.13</t>
  </si>
  <si>
    <t>$105.93</t>
  </si>
  <si>
    <t>$247.57</t>
  </si>
  <si>
    <t>$105.12</t>
  </si>
  <si>
    <t>$48.20</t>
  </si>
  <si>
    <t>$169.47</t>
  </si>
  <si>
    <t>$278.00</t>
  </si>
  <si>
    <t>$191.79</t>
  </si>
  <si>
    <t>$157.14</t>
  </si>
  <si>
    <t>$419.00</t>
  </si>
  <si>
    <t>$86.35</t>
  </si>
  <si>
    <t>$333.88</t>
  </si>
  <si>
    <t>$106.96</t>
  </si>
  <si>
    <t>$12.99</t>
  </si>
  <si>
    <t>$271.80</t>
  </si>
  <si>
    <t>$133.49</t>
  </si>
  <si>
    <t>$156.92</t>
  </si>
  <si>
    <t>$151.26</t>
  </si>
  <si>
    <t>$84.47</t>
  </si>
  <si>
    <t>$327.66</t>
  </si>
  <si>
    <t>$160.25</t>
  </si>
  <si>
    <t>$84.50</t>
  </si>
  <si>
    <t>$208.42</t>
  </si>
  <si>
    <t>$21.48</t>
  </si>
  <si>
    <t>$177.44</t>
  </si>
  <si>
    <t>$526.35</t>
  </si>
  <si>
    <t>$131.01</t>
  </si>
  <si>
    <t>$134.93</t>
  </si>
  <si>
    <t>$1.97</t>
  </si>
  <si>
    <t>$360.16</t>
  </si>
  <si>
    <t>$298.45</t>
  </si>
  <si>
    <t>$88.36</t>
  </si>
  <si>
    <t>$170.17</t>
  </si>
  <si>
    <t>$143.58</t>
  </si>
  <si>
    <t>$11.27</t>
  </si>
  <si>
    <t>$185.06</t>
  </si>
  <si>
    <t>$40.48</t>
  </si>
  <si>
    <t>$116.88</t>
  </si>
  <si>
    <t>$117.35</t>
  </si>
  <si>
    <t>$3.35</t>
  </si>
  <si>
    <t>$215.48</t>
  </si>
  <si>
    <t>$226.75</t>
  </si>
  <si>
    <t>$19.70</t>
  </si>
  <si>
    <t>$27.95</t>
  </si>
  <si>
    <t>$136.42</t>
  </si>
  <si>
    <t>$108.18</t>
  </si>
  <si>
    <t>$99.61</t>
  </si>
  <si>
    <t>$108.56</t>
  </si>
  <si>
    <t>$109.14</t>
  </si>
  <si>
    <t>$127.80</t>
  </si>
  <si>
    <t>$174.08</t>
  </si>
  <si>
    <t>$108.31</t>
  </si>
  <si>
    <t>$85.62</t>
  </si>
  <si>
    <t>$8.70</t>
  </si>
  <si>
    <t>$331.76</t>
  </si>
  <si>
    <t>$131.82</t>
  </si>
  <si>
    <t>$183.71</t>
  </si>
  <si>
    <t>$127.00</t>
  </si>
  <si>
    <t>$272.21</t>
  </si>
  <si>
    <t>$199.91</t>
  </si>
  <si>
    <t>$249.31</t>
  </si>
  <si>
    <t>$181.82</t>
  </si>
  <si>
    <t>$92.00</t>
  </si>
  <si>
    <t>$3.04</t>
  </si>
  <si>
    <t>$240.99</t>
  </si>
  <si>
    <t>$106.19</t>
  </si>
  <si>
    <t>$179.00</t>
  </si>
  <si>
    <t>$156.36</t>
  </si>
  <si>
    <t>$150.25</t>
  </si>
  <si>
    <t>$407.00</t>
  </si>
  <si>
    <t>$75.27</t>
  </si>
  <si>
    <t>$234.42</t>
  </si>
  <si>
    <t>$220.61</t>
  </si>
  <si>
    <t>$256.44</t>
  </si>
  <si>
    <t>$160.41</t>
  </si>
  <si>
    <t>$116.59</t>
  </si>
  <si>
    <t>$255.80</t>
  </si>
  <si>
    <t>$178.29</t>
  </si>
  <si>
    <t>$92.15</t>
  </si>
  <si>
    <t>$31.17</t>
  </si>
  <si>
    <t>$134.81</t>
  </si>
  <si>
    <t>$314.00</t>
  </si>
  <si>
    <t>$136.99</t>
  </si>
  <si>
    <t>$97.38</t>
  </si>
  <si>
    <t>$222.17</t>
  </si>
  <si>
    <t>$198.00</t>
  </si>
  <si>
    <t>$132.27</t>
  </si>
  <si>
    <t>$173.02</t>
  </si>
  <si>
    <t>$151.72</t>
  </si>
  <si>
    <t>$117.17</t>
  </si>
  <si>
    <t>$229.00</t>
  </si>
  <si>
    <t>$140.94</t>
  </si>
  <si>
    <t>$252.66</t>
  </si>
  <si>
    <t>$153.31</t>
  </si>
  <si>
    <t>$152.12</t>
  </si>
  <si>
    <t>$327.61</t>
  </si>
  <si>
    <t>$117.00</t>
  </si>
  <si>
    <t>$319.12</t>
  </si>
  <si>
    <t>$303.94</t>
  </si>
  <si>
    <t>$142.79</t>
  </si>
  <si>
    <t>$104.62</t>
  </si>
  <si>
    <t>$329.00</t>
  </si>
  <si>
    <t>$418.74</t>
  </si>
  <si>
    <t>$59.33</t>
  </si>
  <si>
    <t>$220.23</t>
  </si>
  <si>
    <t>$335.00</t>
  </si>
  <si>
    <t>$279.00</t>
  </si>
  <si>
    <t>$254.49</t>
  </si>
  <si>
    <t>$366.72</t>
  </si>
  <si>
    <t>$194.48</t>
  </si>
  <si>
    <t>$170.41</t>
  </si>
  <si>
    <t>$212.26</t>
  </si>
  <si>
    <t>$288.36</t>
  </si>
  <si>
    <t>$126.91</t>
  </si>
  <si>
    <t>$305.67</t>
  </si>
  <si>
    <t>$232.59</t>
  </si>
  <si>
    <t>$139.85</t>
  </si>
  <si>
    <t>$209.25</t>
  </si>
  <si>
    <t>$447.90</t>
  </si>
  <si>
    <t>$515.62</t>
  </si>
  <si>
    <t>$101.84</t>
  </si>
  <si>
    <t>$130.01</t>
  </si>
  <si>
    <t>$235.41</t>
  </si>
  <si>
    <t>$179.45</t>
  </si>
  <si>
    <t>$254.24</t>
  </si>
  <si>
    <t>$10.36</t>
  </si>
  <si>
    <t>$267.05</t>
  </si>
  <si>
    <t>$103.99</t>
  </si>
  <si>
    <t>$210.49</t>
  </si>
  <si>
    <t>$412.21</t>
  </si>
  <si>
    <t>$12.98</t>
  </si>
  <si>
    <t>$191.95</t>
  </si>
  <si>
    <t>$216.19</t>
  </si>
  <si>
    <t>$220.01</t>
  </si>
  <si>
    <t>$1.95</t>
  </si>
  <si>
    <t>$190.03</t>
  </si>
  <si>
    <t>$377.55</t>
  </si>
  <si>
    <t>$156.87</t>
  </si>
  <si>
    <t>$134.73</t>
  </si>
  <si>
    <t>$205.57</t>
  </si>
  <si>
    <t>$396.37</t>
  </si>
  <si>
    <t>$202.76</t>
  </si>
  <si>
    <t>$2.48</t>
  </si>
  <si>
    <t>$362.59</t>
  </si>
  <si>
    <t>$172.43</t>
  </si>
  <si>
    <t>$158.86</t>
  </si>
  <si>
    <t>$463.10</t>
  </si>
  <si>
    <t>$602.50</t>
  </si>
  <si>
    <t>$284.90</t>
  </si>
  <si>
    <t>$66.00</t>
  </si>
  <si>
    <t>$574.50</t>
  </si>
  <si>
    <t>$335.95</t>
  </si>
  <si>
    <t>$301.86</t>
  </si>
  <si>
    <t>$145.92</t>
  </si>
  <si>
    <t>$192.16</t>
  </si>
  <si>
    <t>$119.00</t>
  </si>
  <si>
    <t>$111.01</t>
  </si>
  <si>
    <t>$178.03</t>
  </si>
  <si>
    <t>$183.51</t>
  </si>
  <si>
    <t>$169.50</t>
  </si>
  <si>
    <t>$17.19</t>
  </si>
  <si>
    <t>$179.17</t>
  </si>
  <si>
    <t>$271.08</t>
  </si>
  <si>
    <t>$172.75</t>
  </si>
  <si>
    <t>$637.13</t>
  </si>
  <si>
    <t>$138.07</t>
  </si>
  <si>
    <t>$332.34</t>
  </si>
  <si>
    <t>$130.05</t>
  </si>
  <si>
    <t>$170.91</t>
  </si>
  <si>
    <t>$151.21</t>
  </si>
  <si>
    <t>$284.00</t>
  </si>
  <si>
    <t>$161.89</t>
  </si>
  <si>
    <t>$655.00</t>
  </si>
  <si>
    <t>$167.88</t>
  </si>
  <si>
    <t>$209.00</t>
  </si>
  <si>
    <t>$233.07</t>
  </si>
  <si>
    <t>$201.28</t>
  </si>
  <si>
    <t>$152.61</t>
  </si>
  <si>
    <t>$428.26</t>
  </si>
  <si>
    <t>$230.12</t>
  </si>
  <si>
    <t>$227.01</t>
  </si>
  <si>
    <t>$165.24</t>
  </si>
  <si>
    <t>$146.35</t>
  </si>
  <si>
    <t>$114.67</t>
  </si>
  <si>
    <t>$166.45</t>
  </si>
  <si>
    <t>$209.19</t>
  </si>
  <si>
    <t>$182.71</t>
  </si>
  <si>
    <t>$200.14</t>
  </si>
  <si>
    <t>$386.00</t>
  </si>
  <si>
    <t>1 in. x 6 ft. Foam Pipe Insulation</t>
  </si>
  <si>
    <t>3/4 in. x 6 ft. Foam Self-Seal Pipe Insulation</t>
  </si>
  <si>
    <t>2 in. x 30 ft. R-1 Foam Insulation Tape</t>
  </si>
  <si>
    <t>3/4 in. x 6 ft. Rubber Self-Seal Pipe Wrap Insulation</t>
  </si>
  <si>
    <t>1/2 in. x 6 ft. Rubber Self-Seal Pipe Wrap Insulation</t>
  </si>
  <si>
    <t>1 in. x 6 ft. Rubber Self-Seal Pipe Wrap Insulation</t>
  </si>
  <si>
    <t>2 in. x 15 ft. Foam and Foil Pipe Wrap Insulation Tape</t>
  </si>
  <si>
    <t>3/4 in. x 3 ft. Foam Pre-Slit Pipe Insulation (4-Pack)</t>
  </si>
  <si>
    <t>3/4 in. Rubber Pre-Slit Pipe Insulation Elbow</t>
  </si>
  <si>
    <t>2 in. x 3 ft. Fiberglass Self-Sealing Pre-Slit Pipe Cover</t>
  </si>
  <si>
    <t>1/2 in. Rubber Pre-Slit Pipe Insulation Elbow</t>
  </si>
  <si>
    <t>1 in. Rubber Pre-Slit Pipe Insulation Elbow</t>
  </si>
  <si>
    <t>1/2 in. x 3 ft. Foam Pre-Slit Pipe Insulation (4-Pack)</t>
  </si>
  <si>
    <t>2-1/4 in. Sock Faucet Cover</t>
  </si>
  <si>
    <t>3 in. x 3 ft. Fiberglass Self-Sealing Pre-Slit Pipe Cover</t>
  </si>
  <si>
    <t>3/4 in. x 1/2 in. x 75 ft. Continuous Coil Pipe Insulation</t>
  </si>
  <si>
    <t>Low VOC 520 Pipe Insulation Adhesive</t>
  </si>
  <si>
    <t>3 in. x 1/2 in. x 25 ft. Fiberglass Pipe Wrap Kit</t>
  </si>
  <si>
    <t>Lap Self-Seal 1-1/8 in. x 1 in. Pipe Insulation - 72 lin. ft./Carton</t>
  </si>
  <si>
    <t>3/4 in. Rubber Pre-Slit Pipe Insulation Tee</t>
  </si>
  <si>
    <t>2-1/2 in. x 3 ft. Fiberglass Pipe Insulation</t>
  </si>
  <si>
    <t>3/4 in. x 3 ft. Pipe Insulation - R3.3</t>
  </si>
  <si>
    <t>Soft ADA Under-Lavatory Protector</t>
  </si>
  <si>
    <t>2 in. PVC Black Tile Tape</t>
  </si>
  <si>
    <t>Self Seal 2 in. IPS x 3/8 in. Polyethylene Foam Pipe Insulation - 84 lin. ft./Carton</t>
  </si>
  <si>
    <t>3/8 in. x 3/8 in. Rubber Pipe Insulation - 600 Lineal Feet/Carton</t>
  </si>
  <si>
    <t>1 in. Rubber Pre-Slit Pipe Insulation Tee</t>
  </si>
  <si>
    <t>1-1/2 in. IPS x 1/2 in. Polyethylene Foam Semi-Split Pipe Insulation - 96 Lineal Feet/Carton</t>
  </si>
  <si>
    <t>Self Seal 3/4 in. x 3/4 in. Polyethylene Foam Pipe Insulation - 162 Lineal Feet/Carton</t>
  </si>
  <si>
    <t>7/8 in. x 3/4 in. Rubber Pipe Insulation - 120 Lineal Feet/Carton</t>
  </si>
  <si>
    <t>Self Seal 1-1/2 in. IPS x 1/2 in. Polyethylene Foam Pipe Insulation -96 Lineal Feet/Carton</t>
  </si>
  <si>
    <t>Self Seal 2 in. IPS x 3/4 in. Polyethylene Foam Pipe Insulation - 54 Lineal Feet/Carton</t>
  </si>
  <si>
    <t>7/8 in. x 1 in. Rubber Pipe Insulation - 90 Lineal Feet/Carton</t>
  </si>
  <si>
    <t>1-3/8 in. x 3/8 in. Polyethylene Foam Semi-Split Pipe Wrap Insulation</t>
  </si>
  <si>
    <t>Lap Self-Seal 7/8 in. x 3/4 in. Pipe Insulation - 120 lin. ft./Carton</t>
  </si>
  <si>
    <t>3-1/8 in. x 3/4 in. Polyethylene Foam Semi-Split Pipe Insulation - 36 Lineal Feet/Carton</t>
  </si>
  <si>
    <t>16 in. x 48 in. No Itch Utility Roll Insulation R-4</t>
  </si>
  <si>
    <t>Lap Self-Seal 1-3/8 in. x 3/4 in. Pipe Insulation - 72 lin. ft./Carton</t>
  </si>
  <si>
    <t>3/4 in. x 3/4 in. Polyethylene Foam Semi-Split Pipe Insulation - 162 Lineal Feet/Carton</t>
  </si>
  <si>
    <t>Self Seal 3-1/8 in. x 3/4 in. Polyethylene Foam Pipe Insulation - 36 Lineal Feet/Carton</t>
  </si>
  <si>
    <t>Self Seal 1-1/2 in. IPS x 3/4 in. Polyethylene Foam Pipe Insulation - 66 Lineal Feet/Carton</t>
  </si>
  <si>
    <t>48 in. L x 24 in. H Large Fiberglass Encapsulated Green Plastic Insulation Pouch</t>
  </si>
  <si>
    <t>Lap Self-Seal 7/8 in. x 1 in. Pipe Insulation - 90 lin. ft./Carton</t>
  </si>
  <si>
    <t>Lap Self-Seal 6 in. x 1 in. Pipe Insulation - 6 lin. ft./Carton</t>
  </si>
  <si>
    <t>4 in. IPS x 3/4 in. Polyethylene Foam Semi-Split Pipe Insulation - 24 Lineal Feet/Carton</t>
  </si>
  <si>
    <t>Armaflex 4 in. IPS x 2 in. Rubber Pipe Insulation</t>
  </si>
  <si>
    <t>12 in. x 15 ft. No Itch Duct Wrap Insulation R4</t>
  </si>
  <si>
    <t>Self Seal 3/8 in. x 3/8 in. Polyethylene Foam Pipe Insulation - 540 Lineal Feet/Carton</t>
  </si>
  <si>
    <t>Lap Self-Seal 2 in. x 1 in. Pipe Insulation - 36 lin. ft./Carton</t>
  </si>
  <si>
    <t>Self Seal 2 in. IPS x 1/2 in. Polyethylene Foam Pipe Insulation - 72 Lineal Feet/Carton</t>
  </si>
  <si>
    <t>1-1/8 in. x 3/8 in. Rubber Pipe Insulation - 210 Lineal Feet/Carton</t>
  </si>
  <si>
    <t>Elbow fits 1/2 in. Copper Pipe x 3/8 in. wall</t>
  </si>
  <si>
    <t>Armaflex 3 in. IPS x 2 in. Rubber Pipe Insulation</t>
  </si>
  <si>
    <t>1/2 in. x 1/2 in. Rubber Pipe Insulation - 396 lin. ft. / carton</t>
  </si>
  <si>
    <t>34 in. L x 24 in. H Medium Fiberglass Encapsulated Green Plastic Insulation Pouch</t>
  </si>
  <si>
    <t>Self Seal 7/8 in. x 1/2 in. Polyethylene Foam Pipe Insulation - 240 Lineal Feet/Carton</t>
  </si>
  <si>
    <t>Self Seal 1-3/8 in. x 3/4 in. Polyethylene Foam Pipe Insulation - 96 Lineal Feet/Carton</t>
  </si>
  <si>
    <t>Self Seal 2 in. IPS x 1 in. Polyethylene Foam Pipe Insulation - 42 Lineal Feet/Carton</t>
  </si>
  <si>
    <t>24 in. W x 24 in. H Plastic Small Fiberglass Encapsulated Tan Insulation Pouch</t>
  </si>
  <si>
    <t>3/4 in. x 3/8 in. Semi Slit Polyethylene Foam Pipe Insulation - 300 Lineal Feet/Carton</t>
  </si>
  <si>
    <t>Self Seal 4-1/8 in. x 3/4 in. Polyethylene Foam Pipe Insulation - 24 Lineal Feet/Carton</t>
  </si>
  <si>
    <t>Elbow Connector for 1 in. Copper</t>
  </si>
  <si>
    <t>Lap Self-Seal 1-1/2 in. x 3/4 in. Pipe Insulation - 60 lin. ft./Carton</t>
  </si>
  <si>
    <t>3/8 in. x 3/4 in. Rubber Pipe Insulation - 240 Lineal Feet/Carton</t>
  </si>
  <si>
    <t>No Freeze Outdoor Sprinkler Vacuum Breaker Frze Protection Insulated Cover/Sock 18 in. x 18 in. 3M Thinsulate Insulation</t>
  </si>
  <si>
    <t>No Freeze Outdoor Sprinkler Vacuum Breaker Frze Protection Insulated Cover/Sock 24 in. x 24 in. 3M Thinsulate Insulation</t>
  </si>
  <si>
    <t>7/8 in. x 3/4 in. Semi Slit Polyethylene Foam Pipe Insulation - 150 Lineal Feet/Carton</t>
  </si>
  <si>
    <t>1-5/8 in. x 3/8 in. Rubber Pipe Insulation - 120 Lineal Feet/Carton</t>
  </si>
  <si>
    <t>Self Seal 2-1/2 in. IPS x 3/8 in. Polyethylene Foam Pipe Insulation - 60 Lineal Feet/Carton</t>
  </si>
  <si>
    <t>1-3/8 in. x 3/4 in. Semi Slit Polyethylene Foam Pipe Insulation - 96 Lineal Feet/Carton</t>
  </si>
  <si>
    <t>8 in. IPS x 3/4 in. Rubber Pipe Insulation - 6 Lineal Feet/Carton</t>
  </si>
  <si>
    <t>3/4 in. x 1/2 in. Semi Slit Polyethylene Foam Pipe Insulation - 264 Lineal Feet/Carton</t>
  </si>
  <si>
    <t>1-5/8 in. x 3/4 in. Rubber Pipe Insulation - 60 Lineal Feet/Carton</t>
  </si>
  <si>
    <t>1-5/8 in. x 1/2 in. Polyethylene Foam Semi-Split Pipe Insulation - 120 Lineal Feet/Carton</t>
  </si>
  <si>
    <t>2-1/8 in. x 1/2 in. Polyethylene Foam Semi-Split Pipe Insulation - 84 Lineal Feet/Carton</t>
  </si>
  <si>
    <t>8 in. x 20 in. No Freeze Outdoor Freeze Protection Insulated Cover/Sock for Ground/Wall Faucet 3M Thinsulate Insulation</t>
  </si>
  <si>
    <t>Lap Self-Seal 5/8 in. x 1 in. Pipe Insulation - 120 lin. ft./Carton</t>
  </si>
  <si>
    <t>1 in. Polyethylene Pipe Wrap Insulation Tee</t>
  </si>
  <si>
    <t>3/8 in. x 3/8 in. Polyethylene Foam Semi-Split Pipe Insulation - 540 Lineal Feet/Carton</t>
  </si>
  <si>
    <t>Self Seal 5/8 in. x 1/2 in. Polyethylene Foam Pipe Insulation - 300 Lineal Feet/Carton</t>
  </si>
  <si>
    <t>48 in. L x 30 in. H Large Fiberglass Encapsulated Green Plastic Insulation Pouch</t>
  </si>
  <si>
    <t>Lap Self-Seal 3 in. x 1 in. Pipe Insulation - 24 lin. ft./Carton</t>
  </si>
  <si>
    <t>Lap Self-Seal 4-1/8 in. x 3/4 in. Pipe Insulation - 24 lin. ft./Carton</t>
  </si>
  <si>
    <t>5/8 in. x 1/2 in. Rubber Pipe Insulation - 300 Lineal Feet/Carton</t>
  </si>
  <si>
    <t>Lap Self-Seal 2-1/8 in. x 1/2 in. Pipe Insulation - 60 lin. ft./Carton</t>
  </si>
  <si>
    <t>34 in. L x 24 in. H Medium Fiberglass Encapsulated Tan Plastic Insulation Pouch</t>
  </si>
  <si>
    <t>Tee fits 1/2 in. Copper Pipe x 3/8 in. wall</t>
  </si>
  <si>
    <t>60 in. L x 60 in. H X Large Fiberglass Encapsulated Green Plastic Insulation Pouch</t>
  </si>
  <si>
    <t>Self Seal 2-1/8 in. x 3/8 in. Polyethylene Foam Pipe Insulation - 96 Lineal Feet/Carton</t>
  </si>
  <si>
    <t>5/8 in. x 3/4 in. Rubber Pipe Insulation - 144 Lineal Feet/Carton</t>
  </si>
  <si>
    <t>Tubolit 1/2 in. x 3/8 in. Self Seal Polyethylene Pipe Insulation</t>
  </si>
  <si>
    <t>Self Seal 2-1/8 in. x 3/4 in. Polyethylene Foam Pipe Insulation - 54 Lineal Feet/Carton</t>
  </si>
  <si>
    <t>1-1/8 in. x 1 in. Rubber Pipe Insulation - 72 Lineal Feet/Carton</t>
  </si>
  <si>
    <t>4-1/8 in. x 3/4 in. Polyethylene Foam Semi-Split Pipe Insulation - 24 Lineal Feet/Carton</t>
  </si>
  <si>
    <t>200 ft. Cold Water Line Pipe Guard</t>
  </si>
  <si>
    <t>Lap Self-Seal 2-1/8 in. x 3/4 in. Pipe Insulation - 54 lin. ft./Carton</t>
  </si>
  <si>
    <t>Self Seal 2-1/8 in. x 1 in. Polyethylene Foam Pipe Insulation - 48 Lineal Feet/Carton</t>
  </si>
  <si>
    <t>1-3/8 in. x 1 in. Rubber Pipe Insulation - 60 Lineal Feet/Carton</t>
  </si>
  <si>
    <t>Tubolit 2 in. IPS x 1 in. Semi Slit Polyethylene Pipe Insulation</t>
  </si>
  <si>
    <t>Tubolit 2-1/2 in. IPS x 3/4 in. Semi Slit Polyethylene Pipe Insulation</t>
  </si>
  <si>
    <t>1-1/2 in. IPS x 1 in. Rubber Pipe Insulation - 42 Lineal Feet/Carton</t>
  </si>
  <si>
    <t>1-1/2 in. IPS x 1/2 in. Rubber Pipe Insulation - 90 Lineal Feet/Carton</t>
  </si>
  <si>
    <t>1-5/8 in. x 3/8 in. Polyethylene Foam Semi-Split Pipe Insulation - 138 Lineal Feet/Carton</t>
  </si>
  <si>
    <t>No Freeze Outdoor Freeze Protection Cover/Sock, 3M Thinsulate Insulation 2 Pc Small 6 in. x 7 in. and XL 24 in. x 24 in.</t>
  </si>
  <si>
    <t>Self Seal 1-1/8 in. x 1/2 in. Polyethylene Foam Pipe Insulation - 186 Lineal Feet/Carton</t>
  </si>
  <si>
    <t>3/8 in. x 1/2 in. Rubber Pipe Insulation - 450 Lineal Feet/Carton</t>
  </si>
  <si>
    <t>Armaflex 3-5/8 in. x 1/2 in. Rubber Pipe Insulation</t>
  </si>
  <si>
    <t>Self Seal 4-1/8 in. x 1/2 in. Polyethylene Foam Pipe Insulation - 24 Lineal Feet/Carton</t>
  </si>
  <si>
    <t>Lap Self-Seal 1-1/8 in. x 3/4 in. Pipe Insulation - 90 lin. ft./Carton</t>
  </si>
  <si>
    <t>2-1/8 in. x 1 in. Rubber Pipe Insulation - 36 Lineal Feet/Carton</t>
  </si>
  <si>
    <t>1-1/8 in. x 3/4 in. Semi Slit Polyethylene Foam Pipe Insulation - 120 Lineal Feet/Carton</t>
  </si>
  <si>
    <t>Tubolit 2-5/8 in. x 1 in. Semi Slit Polyethylene Pipe Insulation</t>
  </si>
  <si>
    <t>7/8 in. x 1 in. Polyethylene Foam Semi-Split Pipe Insulation - 96 Lineal Feet/Carton</t>
  </si>
  <si>
    <t>Tubolit 2-1/8 in. x 3/4 in. Semi Slit Polyethylene Pipe Insulation</t>
  </si>
  <si>
    <t>3/4 in. x 1 in. Rubber Pipe Insulation - 90 Lineal Feet/Carton</t>
  </si>
  <si>
    <t>1-3/8 in. x 1/2 in. Rubber Pipe Insulation - 120 Lineal Feet/Carton</t>
  </si>
  <si>
    <t>Armaflex 3 in. Ips x 1 in. Rubber Pipe Insulation</t>
  </si>
  <si>
    <t>1-5/8 in. x 1 in. Semi Slit Polyethylene Foam Pipe Insulation - 54 Lineal Feet/Carton</t>
  </si>
  <si>
    <t>1/2 in. x 3/8 in. Polyethylene Foam Semi-Split Pipe Insulation - 456 Lineal Feet/Carton</t>
  </si>
  <si>
    <t>Lap Self-Seal 2-1/2 in. x 1 in. Pipe Insulation - 30 lin. ft./Carton</t>
  </si>
  <si>
    <t>Self Seal 2-5/8 in. x 1/2 in. Polyethylene Foam Pipe Insulation - 60 Lineal Feet/Carton</t>
  </si>
  <si>
    <t>Lap Self-Seal 3-1/8 in. x 1 in. Pipe Insulation - 30 lin. ft./Carton</t>
  </si>
  <si>
    <t>Lap Self-Seal 3/4 in. x 1 in. Pipe Insulation - 90 lin. ft./Carton</t>
  </si>
  <si>
    <t>1-1/2 in. IPS x 1 in. Semi Slit Polyethylene Foam Pipe Insulation - 54 Lineal Feet/Carton</t>
  </si>
  <si>
    <t>1-5/8 in. x 1/2 in. Rubber Pipe Insulation - 90 Lineal Feet/Carton</t>
  </si>
  <si>
    <t>1-5/8 in. x 1 in. Rubber Pipe Insulation - 48 Lineal Feet/Carton</t>
  </si>
  <si>
    <t>Lap Self-Seal 1-1/8 in. x 1-1/2 in. Pipe Insulation - 36 lin. ft./Carton</t>
  </si>
  <si>
    <t>24 in. L x 16 in. H Small Fiberglass Encapsulated Green Plastic Insulation Pouch</t>
  </si>
  <si>
    <t>2-1/2 in. IPS in. x 3/4 in. Rubber Pipe Insulation - 42 Lineal Feet/Carton</t>
  </si>
  <si>
    <t>5/8 in. x 3/8 in. Rubber Pipe Insulation - 390 Lineal Feet/Carton</t>
  </si>
  <si>
    <t>7/8 in. x 3/8 in. Rubber Pipe Insulation - 270 Lineal Feet/Carton</t>
  </si>
  <si>
    <t>2 in. IPS x 2 in. Rubber Pipe Insulation - 12 Lineal Feet/Carton</t>
  </si>
  <si>
    <t>2 in. IPS x 1 in. Rubber Pipe Insulation - 36 Lineal Feet/Carton</t>
  </si>
  <si>
    <t>Lap Self-Seal 1-1/2 in. x 1/2 in. Pipe Insulation - 90 lin. ft./Carton</t>
  </si>
  <si>
    <t>2-1/8 in. x 3/4 in. Rubber Pipe Insulation - 54 Lineal Feet/Carton</t>
  </si>
  <si>
    <t>Lap Self-Seal 1-5/8 in. x 1 in. Pipe Insulation - 48 lin. ft./Carton</t>
  </si>
  <si>
    <t>Lap Self-Seal 3/4 in. x 3/4 in. Pipe Insulation - 138 lin. ft./Carton</t>
  </si>
  <si>
    <t>Self Seal 1-1/2 in. IPS x 3/8 in. Polyethylene Foam Pipe Insulation - 126 Lineal Feet/Carton</t>
  </si>
  <si>
    <t>Lap Self-Seal 1-3/8 in. x 1 in. Pipe Insulation - 60 lin. ft./Carton</t>
  </si>
  <si>
    <t>Lap Self-Seal 1-1/8 in. x 1/2 in. Pipe Insulation - 150 lin. ft./Carton</t>
  </si>
  <si>
    <t>1/2 in. x 1/2 in. Semi Slit Polyethylene Foam Pipe Insulation - 336 Lineal Feet/Carton</t>
  </si>
  <si>
    <t>Lap Self-Seal 3-5/8 in. x 1/2 in. Pipe Insulation - 36 lin. ft./Carton</t>
  </si>
  <si>
    <t>Lap Self-Seal 1/2 in. x 3/4 in. Pipe Insulation - 210 lin. ft./Carton</t>
  </si>
  <si>
    <t>Lap Self-Seal 1-1/8 in. x 2 in. Pipe Insulation - 24 lin. ft./Carton</t>
  </si>
  <si>
    <t>Tubolit 3-5/8 in. x 3/4 in. Semi Slit Polyethylene Pipe Insulation</t>
  </si>
  <si>
    <t>Self Seal 3-1/8 in. x 1/2 in. Polyethylene Foam Pipe Insulation - 48 Lineal Feet/Carton</t>
  </si>
  <si>
    <t>Lap Self-Seal 2-1/8 in. x 1 in. Pipe Insulation - 36 lin. ft./Carton</t>
  </si>
  <si>
    <t>Armaflex 4 in. IPS x 3/4 in. Rubber Pipe Insulation</t>
  </si>
  <si>
    <t>Self Seal 3/8 in. x 1 in. Polyethylene Foam Pipe Insulation - 150 Lineal Feet/Carton</t>
  </si>
  <si>
    <t>9 in. x 0.75 ft. No Itch Pipe Wrap Insulation R4</t>
  </si>
  <si>
    <t>Lap Self-Seal 1-1/2 in. x 1 in. Pipe Insulation - 42 lin. ft./Carton</t>
  </si>
  <si>
    <t>Self Seal 1-5/8 in. x 3/8 in. Polyethylene Foam Pipe Insulation - 138 Lineal Feet/Carton</t>
  </si>
  <si>
    <t>Lap Self-Seal 3 in. x 3/4 in. Pipe Insulation - 30 lin. ft./Carton</t>
  </si>
  <si>
    <t>Lap Self-Seal 1-3/8 in. x 2 in. Pipe Insulation - 18 lin. ft./Carton</t>
  </si>
  <si>
    <t>120-Volt 40 ft. Constant Wattage Pipe Trace Cable with Stat and Plug in Black</t>
  </si>
  <si>
    <t>48 in. L x 30 in. H Large Fiberglass Encapsulated Tan Plastic Insulation Pouch</t>
  </si>
  <si>
    <t>Self Seal 5/8 in. x 1 in. Polyethylene Foam Pipe Insulation - 120 Lineal Feet/Carton</t>
  </si>
  <si>
    <t>Self Seal 2-5/8 in. x 1 in. Polyethylene Foam Pipe Insulation - 36 Lineal Feet/Carton</t>
  </si>
  <si>
    <t>Tubolit 1/2 in. x 1 in. Self Seal Polyethylene Pipe Insulation</t>
  </si>
  <si>
    <t>1/2 in. x 3/8 in. x 6 ft. Thick Wall Self-Seal Tubular Poly Foam Pipe Insulation</t>
  </si>
  <si>
    <t>Self Seal 2-1/2 in. IPS x 1 in. Polyethylene Foam Pipe Insulation - 30 Lineal Feet/Carton</t>
  </si>
  <si>
    <t>Lap Self-Seal 5/8 in. x 1/2 in. Pipe Insulation - 300 lin. ft./Carton</t>
  </si>
  <si>
    <t>Tubolit 3/8 in. x 3/4 in. Self Seal Polyethylene Pipe Insulation</t>
  </si>
  <si>
    <t>Armaflex 2-5/8 in. x 3/8 in. Rubber Pipe Insulation</t>
  </si>
  <si>
    <t>Lap Self-Seal 1-5/8 in. x 3/8 in. Pipe Insulation - 120 lin. ft./Carton</t>
  </si>
  <si>
    <t>Lap Self-Seal 1-5/8 in. x 1/2 in. Pipe Insulation - 90 lin. ft./Carton</t>
  </si>
  <si>
    <t>Self Seal 1-1/2 in. IPS x 1 in. Polyethylene Foam Pipe Insulation - 54 Lineal Feet/Carton</t>
  </si>
  <si>
    <t>1 in. x 3/8 in. Thick Wall x 6 ft. Self Seal Tubular Poly Foam Pipe Insulation</t>
  </si>
  <si>
    <t>1-1/8 in. x 2 in. Rubber Pipe Insulation - 24 Lineal Feet/Carton</t>
  </si>
  <si>
    <t>1-3/8 in. x 1 in. Semi Slit Polyethylene Foam Pipe Insulation - 72 Lineal Feet/Carton</t>
  </si>
  <si>
    <t>2 in. IPS x 3/4 in. Rubber Pipe Insulation - 48 Lineal Feet/Carton</t>
  </si>
  <si>
    <t>Lap Self-Seal 2-5/8 in. x 3/4 in. Pipe Insulation - 48 lin. ft./Carton</t>
  </si>
  <si>
    <t>Lap Self-Seal 7/8 in. x 2 in. Pipe Insulation - 30 lin. ft./Carton</t>
  </si>
  <si>
    <t>Armaflex 4 in. IPS x 1 in. Rubber Pipe Insulation</t>
  </si>
  <si>
    <t>24 in. L x 16 in. H Small Fiberglass Encapsulated Tan Plastic Insulation Pouch</t>
  </si>
  <si>
    <t>5/8 in. x 2 in. Rubber Pipe Insulation - 30 Lineal Feet/Carton</t>
  </si>
  <si>
    <t>Lap Self-Seal 7/8 in. x 3/8 in. Pipe Insulation - 270 lin. ft./Carton</t>
  </si>
  <si>
    <t>Lap Self-Seal 4-1/8 in. x 1-1/2 in. Pipe Insulation - 12 lin. ft./Carton</t>
  </si>
  <si>
    <t>Armaflex 2-5/8 in. x 1/2 in. Rubber Pipe Insulation</t>
  </si>
  <si>
    <t>Armaflex 2-1/8 in. x 1-1/2 in. Rubber Pipe Insulation</t>
  </si>
  <si>
    <t>Armaflex 3-1/8 in. x 1/2 in. Rubber Pipe Insulation</t>
  </si>
  <si>
    <t>Self Seal 3-5/8 in. x 3/8 in. Polyethylene Foam Pipe Insulation - 48 Lineal Feet/Carton</t>
  </si>
  <si>
    <t>Tubolit 1-5/8 in. x 3/4 in. Semi Slit Polyethylene Pipe Insulation</t>
  </si>
  <si>
    <t>1-1/2 in. IPS x 1-1/2 in. Rubber Pipe Insulation - 24 Lineal Feet/Carton</t>
  </si>
  <si>
    <t>Self Seal 1-5/8 in. x 3/4 in. Polyethylene Foam Pipe Insulation - 84 Lineal Feet/Carton</t>
  </si>
  <si>
    <t>120-Volt 24 ft. Constant Wattage Pipe Trace Cable with Stat and Plug in Black</t>
  </si>
  <si>
    <t>2-1/8 in. x 3/8 in. Rubber Pipe Insulation - 96 Lineal Feet/Carton</t>
  </si>
  <si>
    <t>2-1/2 in. IPS x 1 in. Rubber Pipe Insulation - 30 Lineal Feet/Carton</t>
  </si>
  <si>
    <t>Lap Self-Seal 4 in. x 1/2 in. Pipe Insulation - 24 lin. ft./Carton</t>
  </si>
  <si>
    <t>3/4 in. x 2 in. Rubber Pipe Insulation - 30 Lineal Feet/Carton</t>
  </si>
  <si>
    <t>3/8 in. x 3/4 in. Semi Slit Polyethylene Foam Pipe Insulation - 228 Lineal Feet/Carton</t>
  </si>
  <si>
    <t>Lap Self-Seal 2-1/8 in. x 2 in. Pipe Insulation - 12 lin. ft./Carton</t>
  </si>
  <si>
    <t>Tubolit 2-5/8 in. x 3/4 in. Semi Slit Polyethylene Pipe Insulation</t>
  </si>
  <si>
    <t>1-1/2 in. IPS x 3/8 in. Rubber Pipe Insulation - 96 Lineal Feet/Carton</t>
  </si>
  <si>
    <t>2 in. IPS x 3/8 in. Rubber Pipe Insulation - 84 Lineal Feet/Carton</t>
  </si>
  <si>
    <t>Armaflex 2-5/8 in. x 1 in. Rubber Pipe Insulation</t>
  </si>
  <si>
    <t>Self Seal 2-5/8 in. x 3/4 in. Polyethylene Foam Pipe Insulation - 48 Lineal Feet/Carton</t>
  </si>
  <si>
    <t>5/8 in. x 1-1/2 in. Rubber Pipe Insulation - 66 Lineal Feet/Carton</t>
  </si>
  <si>
    <t>Self Seal 3/4 in. x 1/2 in. Polyethylene Foam Pipe Insulation - 264 Lineal Feet/Carton</t>
  </si>
  <si>
    <t>2-1/8 in. x 1-1/2 in. Rubber Pipe Insulation - 24 Lineal Feet/Carton</t>
  </si>
  <si>
    <t>Lap Self-Seal 3-5/8 in. x 3/4 in. Pipe Insulation - 30 lin. ft./Carton</t>
  </si>
  <si>
    <t>Armaflex 6 in. IPS x 1 in. Rubber Pipe Insulation</t>
  </si>
  <si>
    <t>Armaflex 3-5/8 in. x 2 in. Rubber Pipe Insulation</t>
  </si>
  <si>
    <t>Lap Self-Seal 5/8 in. x 3/8 in. Pipe Insulation - 390 lin. ft./Carton</t>
  </si>
  <si>
    <t>Lap Self-Seal 2-1/8 in. x 3/8 in. Pipe Insulation - 96 lin. ft./Carton</t>
  </si>
  <si>
    <t>Lap Self-Seal 3-1/8 in. x 3/4 in. Pipe Insulation - 36 lin. ft./Carton</t>
  </si>
  <si>
    <t>Tubolit 2-1/8 in. x 1 in. Semi Slit Polyethylene Pipe Insulation</t>
  </si>
  <si>
    <t>Armaflex 6 in. IPS x 1-1/2 in. Rubber Pipe Insulation</t>
  </si>
  <si>
    <t>Armaflex 5 in. IPS x 3/4 in. Rubber Pipe Insulation</t>
  </si>
  <si>
    <t>Armaflex 4-1/8 in. x 3/4 in. Rubber Pipe Insulation</t>
  </si>
  <si>
    <t>Armaflex 4-1/8 in. x 1 in. Rubber Pipe Insulation</t>
  </si>
  <si>
    <t>Armaflex 3 in. IPS x 1-1/2 in. Rubber Pipe Insulation</t>
  </si>
  <si>
    <t>Armaflex 2-5/8 in. x 3/4 in. Rubber Pipe Insulation</t>
  </si>
  <si>
    <t>7/8 in. x 1-1/2 in. Rubber Pipe Insulation - 36 Lineal Feet/Carton</t>
  </si>
  <si>
    <t>https://www.homedepot.com/p/Everbilt-1-in-x-6-ft-Foam-Pipe-Insulation-ORP11812/204760805</t>
  </si>
  <si>
    <t>https://www.homedepot.com/p/Everbilt-3-4-in-x-6-ft-Foam-Self-Seal-Pipe-Insulation-ORS07812/204760815</t>
  </si>
  <si>
    <t>https://www.homedepot.com/p/Armacell-2-in-x-30-ft-R-1-Foam-Insulation-Tape-TAP18230/100539553</t>
  </si>
  <si>
    <t>https://www.homedepot.com/p/K-Flex-3-4-in-x-6-ft-Rubber-Self-Seal-Pipe-Wrap-Insulation-6RTL048078-HD/306737582</t>
  </si>
  <si>
    <t>https://www.homedepot.com/p/Armacell-3-4-in-x-6-ft-Rubber-Self-Seal-Pipe-Wrap-Insulation-HST07812/100585113</t>
  </si>
  <si>
    <t>https://www.homedepot.com/p/K-Flex-1-2-in-x-6-ft-Rubber-Self-Seal-Pipe-Wrap-Insulation-6RTL048058-HD/306737580</t>
  </si>
  <si>
    <t>https://www.homedepot.com/p/Armaflex-1-in-x-6-ft-Rubber-Self-Seal-Pipe-Wrap-Insulation-HST11812/100569382</t>
  </si>
  <si>
    <t>https://www.homedepot.com/p/K-Flex-1-in-x-6-ft-Rubber-Self-Seal-Pipe-Wrap-Insulation-6RTL048118-HD/306737599</t>
  </si>
  <si>
    <t>https://www.homedepot.com/p/Frost-King-2-in-x-15-ft-Foam-and-Foil-Pipe-Wrap-Insulation-Tape-FV15H/100174724</t>
  </si>
  <si>
    <t>https://www.homedepot.com/p/Everbilt-3-4-in-x-3-ft-Foam-Pre-Slit-Pipe-Insulation-4-Pack-P21EB/205181986</t>
  </si>
  <si>
    <t>https://www.homedepot.com/p/Everbilt-3-4-in-Rubber-Pre-Slit-Pipe-Insulation-Elbow-HPF07812EL2/204760807</t>
  </si>
  <si>
    <t>https://www.homedepot.com/p/2-in-x-3-ft-Fiberglass-Self-Sealing-Pre-Slit-Pipe-Cover-F15XAD/100162619</t>
  </si>
  <si>
    <t>https://www.homedepot.com/p/Everbilt-1-2-in-Rubber-Pre-Slit-Pipe-Insulation-Elbow-HPF05812EL2/204760822</t>
  </si>
  <si>
    <t>https://www.homedepot.com/p/Everbilt-1-in-Rubber-Pre-Slit-Pipe-Insulation-Elbow-HPF11812EL2/204760824</t>
  </si>
  <si>
    <t>https://www.homedepot.com/p/Everbilt-1-2-in-x-3-ft-Foam-Pre-Slit-Pipe-Insulation-4-Pack-P20EB/205181982</t>
  </si>
  <si>
    <t>https://www.homedepot.com/p/Frost-King-2-1-4-in-Sock-Faucet-Cover-FC3/203221860</t>
  </si>
  <si>
    <t>https://www.homedepot.com/p/3-in-x-3-ft-Fiberglass-Self-Sealing-Pre-Slit-Pipe-Cover-F17XAD/100126062</t>
  </si>
  <si>
    <t>https://www.homedepot.com/p/Armaflex-3-4-in-x-1-2-in-x-75-ft-Continuous-Coil-Pipe-Insulation-APC07812R/205881745</t>
  </si>
  <si>
    <t>https://www.homedepot.com/p/Armacell-Low-VOC-520-Pipe-Insulation-Adhesive-AAD520002B/202521370</t>
  </si>
  <si>
    <t>https://www.homedepot.com/p/Frost-King-3-in-x-1-2-in-x-25-ft-Fiberglass-Pipe-Wrap-Kit-SP41X/100032413</t>
  </si>
  <si>
    <t>https://www.homedepot.com/p/Armaflex-Lap-Self-Seal-1-1-8-in-x-1-in-Pipe-Insulation-72-lin-ft-Carton-BST11810/300891321</t>
  </si>
  <si>
    <t>https://www.homedepot.com/p/Everbilt-3-4-in-Rubber-Pre-Slit-Pipe-Insulation-Tee-HPF07812TEE/204760819</t>
  </si>
  <si>
    <t>https://www.homedepot.com/p/2-1-2-in-x-3-ft-Fiberglass-Pipe-Insulation-F16XAD/100111431</t>
  </si>
  <si>
    <t>https://www.homedepot.com/p/Armaflex-3-4-in-x-3-ft-Pipe-Insulation-R3-3-HPT07812/203684470</t>
  </si>
  <si>
    <t>https://www.homedepot.com/p/Advanced-Drainage-Systems-2-in-PVC-Black-Tile-Tape-1137KA/205155061</t>
  </si>
  <si>
    <t>https://www.homedepot.com/p/Tubolit-Self-Seal-2-in-IPS-x-3-8-in-Polyethylene-Foam-Pipe-Insulation-84-lin-ft-Carton-DGS20038/203357739</t>
  </si>
  <si>
    <t>https://www.homedepot.com/p/Armaflex-3-8-in-x-3-8-in-Rubber-Pipe-Insulation-600-Lineal-Feet-Carton-APT03838/203357496</t>
  </si>
  <si>
    <t>https://www.homedepot.com/p/Everbilt-1-in-Rubber-Pre-Slit-Pipe-Insulation-Tee-HPF11812TEE/204760803</t>
  </si>
  <si>
    <t>https://www.homedepot.com/p/Tubolit-1-1-2-in-IPS-x-1-2-in-Polyethylene-Foam-Semi-Split-Pipe-Insulation-96-Lineal-Feet-Carton-DGT11012S/203357665</t>
  </si>
  <si>
    <t>https://www.homedepot.com/p/Plumberex-Trap-Gear-Soft-ADA-Under-Lavatory-Protector-396G/205769072</t>
  </si>
  <si>
    <t>https://www.homedepot.com/p/Tubolit-Self-Seal-3-4-in-x-3-4-in-Polyethylene-Foam-Pipe-Insulation-162-Lineal-Feet-Carton-DGS03434/203357701</t>
  </si>
  <si>
    <t>https://www.homedepot.com/p/Armaflex-7-8-in-x-3-4-in-Rubber-Pipe-Insulation-120-Lineal-Feet-Carton-APT07834/203357507</t>
  </si>
  <si>
    <t>https://www.homedepot.com/p/Tubolit-Self-Seal-1-1-2-in-IPS-x-1-2-in-Polyethylene-Foam-Pipe-Insulation-96-Lineal-Feet-Carton-DGS11012/203357714</t>
  </si>
  <si>
    <t>https://www.homedepot.com/p/Tubolit-Self-Seal-2-in-IPS-x-3-4-in-Polyethylene-Foam-Pipe-Insulation-54-Lineal-Feet-Carton-DGS20034/203357736</t>
  </si>
  <si>
    <t>https://www.homedepot.com/p/Armaflex-7-8-in-x-1-in-Rubber-Pipe-Insulation-90-Lineal-Feet-Carton-APT07810/203357505</t>
  </si>
  <si>
    <t>https://www.homedepot.com/p/Tubolit-1-3-8-in-x-3-8-in-Polyethylene-Foam-Semi-Split-Pipe-Wrap-Insulation-DGT13838S/203357675</t>
  </si>
  <si>
    <t>https://www.homedepot.com/p/Armaflex-Lap-Self-Seal-7-8-in-x-3-4-in-Pipe-Insulation-120-lin-ft-Carton-BST07834/300891309</t>
  </si>
  <si>
    <t>https://www.homedepot.com/p/Tubolit-3-1-8-in-x-3-4-in-Polyethylene-Foam-Semi-Split-Pipe-Insulation-36-Lineal-Feet-Carton-DGT31834S/203357691</t>
  </si>
  <si>
    <t>https://www.homedepot.com/p/Frost-King-16-in-x-48-in-No-Itch-Utility-Roll-Insulation-R-4-CF1/203486076</t>
  </si>
  <si>
    <t>https://www.homedepot.com/p/Armaflex-Lap-Self-Seal-1-3-8-in-x-3-4-in-Pipe-Insulation-72-lin-ft-Carton-BST13834/300891313</t>
  </si>
  <si>
    <t>https://www.homedepot.com/p/Tubolit-3-4-in-x-3-4-in-Polyethylene-Foam-Semi-Split-Pipe-Insulation-162-Lineal-Feet-Carton-DGT03434S/203357654</t>
  </si>
  <si>
    <t>https://www.homedepot.com/p/Tubolit-Self-Seal-3-1-8-in-x-3-4-in-Polyethylene-Foam-Pipe-Insulation-36-Lineal-Feet-Carton-DGS31834/203357754</t>
  </si>
  <si>
    <t>https://www.homedepot.com/p/Tubolit-Self-Seal-1-1-2-in-IPS-x-3-4-in-Polyethylene-Foam-Pipe-Insulation-66-Lineal-Feet-Carton-DGS11034/203357715</t>
  </si>
  <si>
    <t>https://www.homedepot.com/p/Dekorra-48-in-L-x-24-in-H-Large-Fiberglass-Encapsulated-Green-Plastic-Insulation-Pouch-603-GN/203330409</t>
  </si>
  <si>
    <t>https://www.homedepot.com/p/Armaflex-Lap-Self-Seal-7-8-in-x-1-in-Pipe-Insulation-90-lin-ft-Carton-BST07810/300891325</t>
  </si>
  <si>
    <t>https://www.homedepot.com/p/Armaflex-Lap-Self-Seal-6-in-x-1-in-Pipe-Insulation-6-lin-ft-Carton-BST60010/300891348</t>
  </si>
  <si>
    <t>https://www.homedepot.com/p/Tubolit-4-in-IPS-x-3-4-in-Polyethylene-Foam-Semi-Split-Pipe-Insulation-24-Lineal-Feet-Carton-DGT40034S/203357693</t>
  </si>
  <si>
    <t>https://www.homedepot.com/p/Armaflex-4-in-IPS-x-2-in-Rubber-Pipe-Insulation-APT40020/203357584</t>
  </si>
  <si>
    <t>https://www.homedepot.com/p/Frost-King-12-in-x-15-ft-No-Itch-Duct-Wrap-Insulation-R4-CF55/203486074</t>
  </si>
  <si>
    <t>https://www.homedepot.com/p/Tubolit-Self-Seal-3-8-in-x-3-8-in-Polyethylene-Foam-Pipe-Insulation-540-Lineal-Feet-Carton-DGS03838/203357706</t>
  </si>
  <si>
    <t>https://www.homedepot.com/p/Armaflex-Lap-Self-Seal-2-in-x-1-in-Pipe-Insulation-36-lin-ft-Carton-BST20010/300891340</t>
  </si>
  <si>
    <t>https://www.homedepot.com/p/Tubolit-Self-Seal-2-in-IPS-x-1-2-in-Polyethylene-Foam-Pipe-Insulation-72-Lineal-Feet-Carton-DGS20012/203357733</t>
  </si>
  <si>
    <t>https://www.homedepot.com/p/Armaflex-1-1-8-in-x-3-8-in-Rubber-Pipe-Insulation-210-Lineal-Feet-Carton-APT11838/203357520</t>
  </si>
  <si>
    <t>https://www.homedepot.com/p/Frost-King-Elbow-fits-1-2-in-Copper-Pipe-x-3-8-in-wall-ELB58H/202262360</t>
  </si>
  <si>
    <t>https://www.homedepot.com/p/Armaflex-3-in-IPS-x-2-in-Rubber-Pipe-Insulation-APT30020/203357568</t>
  </si>
  <si>
    <t>https://www.homedepot.com/p/Armaflex-1-2-in-x-1-2-in-Rubber-Pipe-Insulation-396-lin-ft-carton-APT01212/203357483</t>
  </si>
  <si>
    <t>https://www.homedepot.com/p/Dekorra-34-in-L-x-24-in-H-Medium-Fiberglass-Encapsulated-Green-Plastic-Insulation-Pouch-610-GN/203330414</t>
  </si>
  <si>
    <t>https://www.homedepot.com/p/Tubolit-Self-Seal-7-8-in-x-1-2-in-Polyethylene-Foam-Pipe-Insulation-240-Lineal-Feet-Carton-DGS07812/203357711</t>
  </si>
  <si>
    <t>https://www.homedepot.com/p/Tubolit-Self-Seal-1-3-8-in-x-3-4-in-Polyethylene-Foam-Pipe-Insulation-96-Lineal-Feet-Carton-DGS13834/203357722</t>
  </si>
  <si>
    <t>https://www.homedepot.com/p/Tubolit-Self-Seal-2-in-IPS-x-1-in-Polyethylene-Foam-Pipe-Insulation-42-Lineal-Feet-Carton-DGS20010/203357732</t>
  </si>
  <si>
    <t>https://www.homedepot.com/p/Dekorra-24-in-W-x-24-in-H-Plastic-Small-Fiberglass-Encapsulated-Tan-Insulation-Pouch-602-DT/203330408</t>
  </si>
  <si>
    <t>https://www.homedepot.com/p/Tubolit-3-4-in-x-3-8-in-Semi-Slit-Polyethylene-Foam-Pipe-Insulation-300-Lineal-Feet-Carton-DGT03438S/203357655</t>
  </si>
  <si>
    <t>https://www.homedepot.com/p/Tubolit-Self-Seal-4-1-8-in-x-3-4-in-Polyethylene-Foam-Pipe-Insulation-24-Lineal-Feet-Carton-DGS41834/203357760</t>
  </si>
  <si>
    <t>https://www.homedepot.com/p/Frost-King-Elbow-Connector-for-1-in-Copper-ELB1H/202262370</t>
  </si>
  <si>
    <t>https://www.homedepot.com/p/Armaflex-Lap-Self-Seal-1-1-2-in-x-3-4-in-Pipe-Insulation-60-lin-ft-Carton-BST11034/300891302</t>
  </si>
  <si>
    <t>https://www.homedepot.com/p/Armaflex-3-8-in-x-3-4-in-Rubber-Pipe-Insulation-240-Lineal-Feet-Carton-APT03834/203357495</t>
  </si>
  <si>
    <t>https://www.homedepot.com/p/PF-WaterWorks-No-Freeze-Outdoor-Sprinkler-Vacuum-Breaker-Frze-Protection-Insulated-Cover-Sock-18-in-x-18-in-3M-Thinsulate-Insulation-PF0692/311933489</t>
  </si>
  <si>
    <t>https://www.homedepot.com/p/PF-WaterWorks-No-Freeze-Outdoor-Sprinkler-Vacuum-Breaker-Frze-Protection-Insulated-Cover-Sock-24-in-x-24-in-3M-Thinsulate-Insulation-PF0693/311933490</t>
  </si>
  <si>
    <t>https://www.homedepot.com/p/Tubolit-7-8-in-x-3-4-in-Semi-Slit-Polyethylene-Foam-Pipe-Insulation-150-Lineal-Feet-Carton-DGT07834S/203357663</t>
  </si>
  <si>
    <t>https://www.homedepot.com/p/Armaflex-1-5-8-in-x-3-8-in-Rubber-Pipe-Insulation-120-Lineal-Feet-Carton-APT15838/203357532</t>
  </si>
  <si>
    <t>https://www.homedepot.com/p/Tubolit-Self-Seal-2-1-2-in-IPS-x-3-8-in-Polyethylene-Foam-Pipe-Insulation-60-Lineal-Feet-Carton-DGS21038/203357743</t>
  </si>
  <si>
    <t>https://www.homedepot.com/p/Tubolit-1-3-8-in-x-3-4-in-Semi-Slit-Polyethylene-Foam-Pipe-Insulation-96-Lineal-Feet-Carton-DGT13834S/203357674</t>
  </si>
  <si>
    <t>https://www.homedepot.com/p/Armaflex-8-in-IPS-x-3-4-in-Rubber-Pipe-Insulation-6-Lineal-Feet-Carton-APT80034/203357602</t>
  </si>
  <si>
    <t>https://www.homedepot.com/p/Tubolit-3-4-in-x-1-2-in-Semi-Slit-Polyethylene-Foam-Pipe-Insulation-264-Lineal-Feet-Carton-DGT03412S/203357653</t>
  </si>
  <si>
    <t>https://www.homedepot.com/p/Armaflex-1-5-8-in-x-3-4-in-Rubber-Pipe-Insulation-60-Lineal-Feet-Carton-APT15834/203357531</t>
  </si>
  <si>
    <t>https://www.homedepot.com/p/Tubolit-1-5-8-in-x-1-2-in-Polyethylene-Foam-Semi-Split-Pipe-Insulation-120-Lineal-Feet-Carton-DGT15812S/203357677</t>
  </si>
  <si>
    <t>https://www.homedepot.com/p/Tubolit-2-1-8-in-x-1-2-in-Polyethylene-Foam-Semi-Split-Pipe-Insulation-84-Lineal-Feet-Carton-DGT21812S/203357685</t>
  </si>
  <si>
    <t>https://www.homedepot.com/p/PF-WaterWorks-8-in-x-20-in-No-Freeze-Outdoor-Freeze-Protection-Insulated-Cover-Sock-for-Ground-Wall-Faucet-3M-Thinsulate-Insulation-PF0691/311933491</t>
  </si>
  <si>
    <t>https://www.homedepot.com/p/Armaflex-Lap-Self-Seal-5-8-in-x-1-in-Pipe-Insulation-120-lin-ft-Carton-BST05810/300891323</t>
  </si>
  <si>
    <t>https://www.homedepot.com/p/Frost-King-1-in-Polyethylene-Pipe-Wrap-Insulation-Tee-TEE1H/202262371</t>
  </si>
  <si>
    <t>https://www.homedepot.com/p/Tubolit-3-8-in-x-3-8-in-Polyethylene-Foam-Semi-Split-Pipe-Insulation-540-Lineal-Feet-Carton-DGT03838S/203357658</t>
  </si>
  <si>
    <t>https://www.homedepot.com/p/Tubolit-Self-Seal-5-8-in-x-1-2-in-Polyethylene-Foam-Pipe-Insulation-300-Lineal-Feet-Carton-DGS05812/203357708</t>
  </si>
  <si>
    <t>https://www.homedepot.com/p/Dekorra-48-in-L-x-30-in-H-Large-Fiberglass-Encapsulated-Green-Plastic-Insulation-Pouch-616-GN/203330417</t>
  </si>
  <si>
    <t>https://www.homedepot.com/p/Armaflex-Lap-Self-Seal-3-in-x-1-in-Pipe-Insulation-24-lin-ft-Carton-BST30010/300891336</t>
  </si>
  <si>
    <t>https://www.homedepot.com/p/Armaflex-Lap-Self-Seal-4-1-8-in-x-3-4-in-Pipe-Insulation-24-lin-ft-Carton-BST41834/300891327</t>
  </si>
  <si>
    <t>https://www.homedepot.com/p/Armaflex-5-8-in-x-1-2-in-Rubber-Pipe-Insulation-300-Lineal-Feet-Carton-APT05812/203357500</t>
  </si>
  <si>
    <t>https://www.homedepot.com/p/Armaflex-Lap-Self-Seal-2-1-8-in-x-1-2-in-Pipe-Insulation-60-lin-ft-Carton-BST21812/300891278</t>
  </si>
  <si>
    <t>https://www.homedepot.com/p/Dekorra-34-in-L-x-24-in-H-Medium-Fiberglass-Encapsulated-Tan-Plastic-Insulation-Pouch-610-DT/203330415</t>
  </si>
  <si>
    <t>https://www.homedepot.com/p/Frost-King-Tee-fits-1-2-in-Copper-Pipe-x-3-8-in-wall-TEE58H/202262358</t>
  </si>
  <si>
    <t>https://www.homedepot.com/p/Dekorra-60-in-L-x-60-in-H-X-Large-Fiberglass-Encapsulated-Green-Plastic-Insulation-Pouch-614-GN/203330416</t>
  </si>
  <si>
    <t>https://www.homedepot.com/p/Tubolit-Self-Seal-2-1-8-in-x-3-8-in-Polyethylene-Foam-Pipe-Insulation-96-Lineal-Feet-Carton-DGS21838/203357747</t>
  </si>
  <si>
    <t>https://www.homedepot.com/p/Armaflex-5-8-in-x-3-4-in-Rubber-Pipe-Insulation-144-Lineal-Feet-Carton-APT05834/203357501</t>
  </si>
  <si>
    <t>https://www.homedepot.com/p/Tubolit-1-2-in-x-3-8-in-Self-Seal-Polyethylene-Pipe-Insulation-DGS01238/203357698</t>
  </si>
  <si>
    <t>https://www.homedepot.com/p/Tubolit-Self-Seal-2-1-8-in-x-3-4-in-Polyethylene-Foam-Pipe-Insulation-54-Lineal-Feet-Carton-DGS21834/203357746</t>
  </si>
  <si>
    <t>https://www.homedepot.com/p/Armaflex-1-1-8-in-x-1-in-Rubber-Pipe-Insulation-72-Lineal-Feet-Carton-APT11810/203357517</t>
  </si>
  <si>
    <t>https://www.homedepot.com/p/Tubolit-4-1-8-in-x-3-4-in-Polyethylene-Foam-Semi-Split-Pipe-Insulation-24-Lineal-Feet-Carton-DGT41834S/203357694</t>
  </si>
  <si>
    <t>https://www.homedepot.com/p/Oatey-200-ft-Cold-Water-Line-Pipe-Guard-38707/100344132</t>
  </si>
  <si>
    <t>https://www.homedepot.com/p/Armaflex-Lap-Self-Seal-2-1-8-in-x-3-4-in-Pipe-Insulation-54-lin-ft-Carton-BST21834/300891303</t>
  </si>
  <si>
    <t>https://www.homedepot.com/p/Tubolit-Self-Seal-2-1-8-in-x-1-in-Polyethylene-Foam-Pipe-Insulation-48-Lineal-Feet-Carton-DGS21810/203357744</t>
  </si>
  <si>
    <t>https://www.homedepot.com/p/Armaflex-1-3-8-in-x-1-in-Rubber-Pipe-Insulation-60-Lineal-Feet-Carton-APT13810/203357523</t>
  </si>
  <si>
    <t>https://www.homedepot.com/p/Tubolit-2-in-IPS-x-1-in-Semi-Slit-Polyethylene-Pipe-Insulation-DGT20010S/203357680</t>
  </si>
  <si>
    <t>https://www.homedepot.com/p/Tubolit-2-1-2-in-IPS-x-3-4-in-Semi-Slit-Polyethylene-Pipe-Insulation-DGT21034S/203357683</t>
  </si>
  <si>
    <t>https://www.homedepot.com/p/Armaflex-1-1-2-in-IPS-x-1-in-Rubber-Pipe-Insulation-42-Lineal-Feet-Carton-APT11010/203357511</t>
  </si>
  <si>
    <t>https://www.homedepot.com/p/Armaflex-1-1-2-in-IPS-x-1-2-in-Rubber-Pipe-Insulation-90-Lineal-Feet-Carton-APT11012/203357512</t>
  </si>
  <si>
    <t>https://www.homedepot.com/p/Tubolit-1-5-8-in-x-3-8-in-Polyethylene-Foam-Semi-Split-Pipe-Insulation-138-Lineal-Feet-Carton-DGT15838S/203357679</t>
  </si>
  <si>
    <t>https://www.homedepot.com/p/PF-WaterWorks-No-Freeze-Outdoor-Freeze-Protection-Cover-Sock-3M-Thinsulate-Insulation-2-Pc-Small-6-in-x-7-in-and-XL-24-in-x-24-in-PF0696/312284316</t>
  </si>
  <si>
    <t>https://www.homedepot.com/p/Tubolit-Self-Seal-1-1-8-in-x-1-2-in-Polyethylene-Foam-Pipe-Insulation-186-Lineal-Feet-Carton-DGS11812/203357718</t>
  </si>
  <si>
    <t>https://www.homedepot.com/p/Armaflex-3-8-in-x-1-2-in-Rubber-Pipe-Insulation-450-Lineal-Feet-Carton-APT03812/203357494</t>
  </si>
  <si>
    <t>https://www.homedepot.com/p/Armaflex-3-5-8-in-x-1-2-in-Rubber-Pipe-Insulation-APT35812/203357576</t>
  </si>
  <si>
    <t>https://www.homedepot.com/p/Tubolit-Self-Seal-4-1-8-in-x-1-2-in-Polyethylene-Foam-Pipe-Insulation-24-Lineal-Feet-Carton-DGS41812/203357759</t>
  </si>
  <si>
    <t>https://www.homedepot.com/p/Armaflex-Lap-Self-Seal-1-1-8-in-x-3-4-in-Pipe-Insulation-90-lin-ft-Carton-BST11834/300891311</t>
  </si>
  <si>
    <t>https://www.homedepot.com/p/Armaflex-2-1-8-in-x-1-in-Rubber-Pipe-Insulation-36-Lineal-Feet-Carton-APT21810/203357549</t>
  </si>
  <si>
    <t>https://www.homedepot.com/p/Tubolit-1-1-8-in-x-3-4-in-Semi-Slit-Polyethylene-Foam-Pipe-Insulation-120-Lineal-Feet-Carton-DGT11834S/203357671</t>
  </si>
  <si>
    <t>https://www.homedepot.com/p/Tubolit-2-5-8-in-x-1-in-Semi-Slit-Polyethylene-Pipe-Insulation-DGT25810S/203357688</t>
  </si>
  <si>
    <t>https://www.homedepot.com/p/Tubolit-7-8-in-x-1-in-Polyethylene-Foam-Semi-Split-Pipe-Insulation-96-Lineal-Feet-Carton-DGT07810S/203357661</t>
  </si>
  <si>
    <t>https://www.homedepot.com/p/Tubolit-2-1-8-in-x-3-4-in-Semi-Slit-Polyethylene-Pipe-Insulation-DGT21834S/203357686</t>
  </si>
  <si>
    <t>https://www.homedepot.com/p/Armaflex-3-4-in-x-1-in-Rubber-Pipe-Insulation-90-Lineal-Feet-Carton-APT03410/203357488</t>
  </si>
  <si>
    <t>https://www.homedepot.com/p/Armaflex-1-3-8-in-x-1-2-in-Rubber-Pipe-Insulation-120-Lineal-Feet-Carton-APT13812/203357524</t>
  </si>
  <si>
    <t>https://www.homedepot.com/p/Armaflex-3-in-Ips-x-1-in-Rubber-Pipe-Insulation-APT30010/203357563</t>
  </si>
  <si>
    <t>https://www.homedepot.com/p/Tubolit-1-5-8-in-x-1-in-Semi-Slit-Polyethylene-Foam-Pipe-Insulation-54-Lineal-Feet-Carton-DGT15810S/203357676</t>
  </si>
  <si>
    <t>https://www.homedepot.com/p/Tubolit-1-2-in-x-3-8-in-Polyethylene-Foam-Semi-Split-Pipe-Insulation-456-Lineal-Feet-Carton-DGT01238S/203357652</t>
  </si>
  <si>
    <t>https://www.homedepot.com/p/Armaflex-Lap-Self-Seal-2-1-2-in-x-1-in-Pipe-Insulation-30-lin-ft-Carton-BST21010/300891333</t>
  </si>
  <si>
    <t>https://www.homedepot.com/p/Tubolit-Self-Seal-2-5-8-in-x-1-2-in-Polyethylene-Foam-Pipe-Insulation-60-Lineal-Feet-Carton-DGS25812/203357749</t>
  </si>
  <si>
    <t>https://www.homedepot.com/p/Armaflex-Lap-Self-Seal-3-1-8-in-x-1-in-Pipe-Insulation-30-lin-ft-Carton-BST31810/300891335</t>
  </si>
  <si>
    <t>https://www.homedepot.com/p/Armaflex-Lap-Self-Seal-3-4-in-x-1-in-Pipe-Insulation-90-lin-ft-Carton-BST03410/300891324</t>
  </si>
  <si>
    <t>https://www.homedepot.com/p/Tubolit-1-1-2-in-IPS-x-1-in-Semi-Slit-Polyethylene-Foam-Pipe-Insulation-54-Lineal-Feet-Carton-DGT11010S/203357664</t>
  </si>
  <si>
    <t>https://www.homedepot.com/p/Armaflex-1-5-8-in-x-1-2-in-Rubber-Pipe-Insulation-90-Lineal-Feet-Carton-APT15812/203357530</t>
  </si>
  <si>
    <t>https://www.homedepot.com/p/Armaflex-1-5-8-in-x-1-in-Rubber-Pipe-Insulation-48-Lineal-Feet-Carton-APT15810/203357529</t>
  </si>
  <si>
    <t>https://www.homedepot.com/p/Armaflex-Lap-Self-Seal-1-1-8-in-x-1-1-2-in-Pipe-Insulation-36-lin-ft-Carton-BST11815/300891345</t>
  </si>
  <si>
    <t>https://www.homedepot.com/p/Dekorra-24-in-L-x-16-in-H-Small-Fiberglass-Encapsulated-Green-Plastic-Insulation-Pouch-609-GN/203330412</t>
  </si>
  <si>
    <t>https://www.homedepot.com/p/Armaflex-2-1-2-in-IPS-in-x-3-4-in-Rubber-Pipe-Insulation-42-Lineal-Feet-Carton-APT21034/203357545</t>
  </si>
  <si>
    <t>https://www.homedepot.com/p/Armaflex-5-8-in-x-3-8-in-Rubber-Pipe-Insulation-390-Lineal-Feet-Carton-APT05838/203357502</t>
  </si>
  <si>
    <t>https://www.homedepot.com/p/Armaflex-7-8-in-x-3-8-in-Rubber-Pipe-Insulation-270-Lineal-Feet-Carton-APT07838/203357508</t>
  </si>
  <si>
    <t>https://www.homedepot.com/p/Armaflex-2-in-IPS-x-2-in-Rubber-Pipe-Insulation-12-Lineal-Feet-Carton-APT20020/203357542</t>
  </si>
  <si>
    <t>https://www.homedepot.com/p/Armaflex-2-in-IPS-x-1-in-Rubber-Pipe-Insulation-36-Lineal-Feet-Carton-APT20010/203357537</t>
  </si>
  <si>
    <t>https://www.homedepot.com/p/Armaflex-Lap-Self-Seal-1-1-2-in-x-1-2-in-Pipe-Insulation-90-lin-ft-Carton-BST11012/300891277</t>
  </si>
  <si>
    <t>https://www.homedepot.com/p/Armaflex-2-1-8-in-x-3-4-in-Rubber-Pipe-Insulation-54-Lineal-Feet-Carton-APT21834/203357551</t>
  </si>
  <si>
    <t>https://www.homedepot.com/p/Armaflex-Lap-Self-Seal-1-5-8-in-x-1-in-Pipe-Insulation-48-lin-ft-Carton-BST15810/300891332</t>
  </si>
  <si>
    <t>https://www.homedepot.com/p/Armaflex-Lap-Self-Seal-3-4-in-x-3-4-in-Pipe-Insulation-138-lin-ft-Carton-BST03434/300891291</t>
  </si>
  <si>
    <t>https://www.homedepot.com/p/Tubolit-Self-Seal-1-1-2-in-IPS-x-3-8-in-Polyethylene-Foam-Pipe-Insulation-126-Lineal-Feet-Carton-DGS11038/203357716</t>
  </si>
  <si>
    <t>https://www.homedepot.com/p/Armaflex-Lap-Self-Seal-1-3-8-in-x-1-in-Pipe-Insulation-60-lin-ft-Carton-BST13810/300891331</t>
  </si>
  <si>
    <t>https://www.homedepot.com/p/Armaflex-Lap-Self-Seal-1-1-8-in-x-1-2-in-Pipe-Insulation-150-lin-ft-Carton-BST11812/300891282</t>
  </si>
  <si>
    <t>https://www.homedepot.com/p/Tubolit-1-2-in-x-1-2-in-Semi-Slit-Polyethylene-Foam-Pipe-Insulation-336-Lineal-Feet-Carton-DGT01212S/203357648</t>
  </si>
  <si>
    <t>https://www.homedepot.com/p/Armaflex-Lap-Self-Seal-3-5-8-in-x-1-2-in-Pipe-Insulation-36-lin-ft-Carton-BST35812/300891292</t>
  </si>
  <si>
    <t>https://www.homedepot.com/p/Armaflex-Lap-Self-Seal-1-2-in-x-3-4-in-Pipe-Insulation-210-lin-ft-Carton-BST01234/300891289</t>
  </si>
  <si>
    <t>https://www.homedepot.com/p/Armaflex-Lap-Self-Seal-1-1-8-in-x-2-in-Pipe-Insulation-24-lin-ft-Carton-BST11820/300891364</t>
  </si>
  <si>
    <t>https://www.homedepot.com/p/Tubolit-3-5-8-in-x-3-4-in-Semi-Slit-Polyethylene-Pipe-Insulation-DGT35834S/203357692</t>
  </si>
  <si>
    <t>https://www.homedepot.com/p/Tubolit-Self-Seal-3-1-8-in-x-1-2-in-Polyethylene-Foam-Pipe-Insulation-48-Lineal-Feet-Carton-DGS31812/203357753</t>
  </si>
  <si>
    <t>https://www.homedepot.com/p/Armaflex-Lap-Self-Seal-2-1-8-in-x-1-in-Pipe-Insulation-36-lin-ft-Carton-BST21810/300891339</t>
  </si>
  <si>
    <t>https://www.homedepot.com/p/Armaflex-4-in-IPS-x-3-4-in-Rubber-Pipe-Insulation-APT40034/203357582</t>
  </si>
  <si>
    <t>https://www.homedepot.com/p/Tubolit-Self-Seal-3-8-in-x-1-in-Polyethylene-Foam-Pipe-Insulation-150-Lineal-Feet-Carton-DGS03810/203357703</t>
  </si>
  <si>
    <t>https://www.homedepot.com/p/Frost-King-9-in-x-0-75-ft-No-Itch-Pipe-Wrap-Insulation-R4-CF42X/203486052</t>
  </si>
  <si>
    <t>https://www.homedepot.com/p/Armaflex-Lap-Self-Seal-1-1-2-in-x-1-in-Pipe-Insulation-42-lin-ft-Carton-BST11010/300891338</t>
  </si>
  <si>
    <t>https://www.homedepot.com/p/Tubolit-Self-Seal-1-5-8-in-x-3-8-in-Polyethylene-Foam-Pipe-Insulation-138-Lineal-Feet-Carton-DGS15838/203357728</t>
  </si>
  <si>
    <t>https://www.homedepot.com/p/Armaflex-Lap-Self-Seal-3-in-x-3-4-in-Pipe-Insulation-30-lin-ft-Carton-BST30034/300891320</t>
  </si>
  <si>
    <t>https://www.homedepot.com/p/Armaflex-Lap-Self-Seal-1-3-8-in-x-2-in-Pipe-Insulation-18-lin-ft-Carton-BST13820/300891365</t>
  </si>
  <si>
    <t>https://www.homedepot.com/p/KING-120-Volt-40-ft-Constant-Wattage-Pipe-Trace-Cable-with-Stat-and-Plug-in-Black-CWP280-40/307676456</t>
  </si>
  <si>
    <t>https://www.homedepot.com/p/Dekorra-48-in-L-x-30-in-H-Large-Fiberglass-Encapsulated-Tan-Plastic-Insulation-Pouch-616-DT/203330419</t>
  </si>
  <si>
    <t>https://www.homedepot.com/p/Tubolit-Self-Seal-5-8-in-x-1-in-Polyethylene-Foam-Pipe-Insulation-120-Lineal-Feet-Carton-DGS05810/203357707</t>
  </si>
  <si>
    <t>https://www.homedepot.com/p/Tubolit-Self-Seal-2-5-8-in-x-1-in-Polyethylene-Foam-Pipe-Insulation-36-Lineal-Feet-Carton-DGS25810/203357748</t>
  </si>
  <si>
    <t>https://www.homedepot.com/p/Tubolit-1-2-in-x-1-in-Self-Seal-Polyethylene-Pipe-Insulation-DGS01210/203357695</t>
  </si>
  <si>
    <t>https://www.homedepot.com/p/Frost-King-1-2-in-x-3-8-in-x-6-ft-Thick-Wall-Self-Seal-Tubular-Poly-Foam-Pipe-Insulation-S10XB-6/300312897</t>
  </si>
  <si>
    <t>https://www.homedepot.com/p/Tubolit-Self-Seal-2-1-2-in-IPS-x-1-in-Polyethylene-Foam-Pipe-Insulation-30-Lineal-Feet-Carton-DGS21010/203357740</t>
  </si>
  <si>
    <t>https://www.homedepot.com/p/Armaflex-Lap-Self-Seal-5-8-in-x-1-2-in-Pipe-Insulation-300-lin-ft-Carton-BST05812/300891287</t>
  </si>
  <si>
    <t>https://www.homedepot.com/p/Tubolit-3-8-in-x-3-4-in-Self-Seal-Polyethylene-Pipe-Insulation-DGS03834/203357705</t>
  </si>
  <si>
    <t>https://www.homedepot.com/p/Armaflex-2-5-8-in-x-3-8-in-Rubber-Pipe-Insulation-APT25838/203357560</t>
  </si>
  <si>
    <t>https://www.homedepot.com/p/Armaflex-Lap-Self-Seal-1-5-8-in-x-3-8-in-Pipe-Insulation-120-lin-ft-Carton-BST15838/300891310</t>
  </si>
  <si>
    <t>https://www.homedepot.com/p/Armaflex-Lap-Self-Seal-1-5-8-in-x-1-2-in-Pipe-Insulation-90-lin-ft-Carton-BST15812/300891284</t>
  </si>
  <si>
    <t>https://www.homedepot.com/p/Tubolit-Self-Seal-1-1-2-in-IPS-x-1-in-Polyethylene-Foam-Pipe-Insulation-54-Lineal-Feet-Carton-DGS11010/203357713</t>
  </si>
  <si>
    <t>https://www.homedepot.com/p/Frost-King-1-in-x-3-8-in-Thick-Wall-x-6-ft-Self-Seal-Tubular-Poly-Foam-Pipe-Insulation-S12XB-6/300312898</t>
  </si>
  <si>
    <t>https://www.homedepot.com/p/Armaflex-1-1-8-in-x-2-in-Rubber-Pipe-Insulation-24-Lineal-Feet-Carton-APT11820/203357522</t>
  </si>
  <si>
    <t>https://www.homedepot.com/p/Tubolit-1-3-8-in-x-1-in-Semi-Slit-Polyethylene-Foam-Pipe-Insulation-72-Lineal-Feet-Carton-DGT13810S/203357672</t>
  </si>
  <si>
    <t>https://www.homedepot.com/p/Armaflex-2-in-IPS-x-3-4-in-Rubber-Pipe-Insulation-48-Lineal-Feet-Carton-APT20034/203357539</t>
  </si>
  <si>
    <t>https://www.homedepot.com/p/Armaflex-Lap-Self-Seal-2-5-8-in-x-3-4-in-Pipe-Insulation-48-lin-ft-Carton-BST25834/300891307</t>
  </si>
  <si>
    <t>https://www.homedepot.com/p/Armaflex-Lap-Self-Seal-7-8-in-x-2-in-Pipe-Insulation-30-lin-ft-Carton-BST07820/300891363</t>
  </si>
  <si>
    <t>https://www.homedepot.com/p/Armaflex-4-in-IPS-x-1-in-Rubber-Pipe-Insulation-APT40010/203357580</t>
  </si>
  <si>
    <t>https://www.homedepot.com/p/Dekorra-24-in-L-x-16-in-H-Small-Fiberglass-Encapsulated-Tan-Plastic-Insulation-Pouch-609-DT/203330413</t>
  </si>
  <si>
    <t>https://www.homedepot.com/p/Armaflex-5-8-in-x-2-in-Rubber-Pipe-Insulation-30-Lineal-Feet-Carton-APT05820/203357504</t>
  </si>
  <si>
    <t>https://www.homedepot.com/p/Armaflex-Lap-Self-Seal-7-8-in-x-3-8-in-Pipe-Insulation-270-lin-ft-Carton-BST07838/300891312</t>
  </si>
  <si>
    <t>https://www.homedepot.com/p/Armaflex-Lap-Self-Seal-4-1-8-in-x-1-1-2-in-Pipe-Insulation-12-lin-ft-Carton-BST41815/300891356</t>
  </si>
  <si>
    <t>https://www.homedepot.com/p/Armaflex-2-5-8-in-x-1-2-in-Rubber-Pipe-Insulation-APT25812/203357558</t>
  </si>
  <si>
    <t>https://www.homedepot.com/p/Armaflex-2-1-8-in-x-1-1-2-in-Rubber-Pipe-Insulation-APT25815/203357561</t>
  </si>
  <si>
    <t>https://www.homedepot.com/p/Armaflex-3-1-8-in-x-1-2-in-Rubber-Pipe-Insulation-APT31812/203357570</t>
  </si>
  <si>
    <t>https://www.homedepot.com/p/Tubolit-Self-Seal-3-5-8-in-x-3-8-in-Polyethylene-Foam-Pipe-Insulation-48-Lineal-Feet-Carton-DGS35838/203357758</t>
  </si>
  <si>
    <t>https://www.homedepot.com/p/Tubolit-1-5-8-in-x-3-4-in-Semi-Slit-Polyethylene-Pipe-Insulation-DGT15834S/203357678</t>
  </si>
  <si>
    <t>https://www.homedepot.com/p/Armaflex-1-1-2-in-IPS-x-1-1-2-in-Rubber-Pipe-Insulation-24-Lineal-Feet-Carton-APT11015/203357515</t>
  </si>
  <si>
    <t>https://www.homedepot.com/p/Tubolit-Self-Seal-1-5-8-in-x-3-4-in-Polyethylene-Foam-Pipe-Insulation-84-Lineal-Feet-Carton-DGS15834/203357726</t>
  </si>
  <si>
    <t>https://www.homedepot.com/p/KING-120-Volt-24-ft-Constant-Wattage-Pipe-Trace-Cable-with-Stat-and-Plug-in-Black-CWP168-24/307676457</t>
  </si>
  <si>
    <t>https://www.homedepot.com/p/Armaflex-2-1-8-in-x-3-8-in-Rubber-Pipe-Insulation-96-Lineal-Feet-Carton-APT21838/203357552</t>
  </si>
  <si>
    <t>https://www.homedepot.com/p/Armaflex-2-1-2-in-IPS-x-1-in-Rubber-Pipe-Insulation-30-Lineal-Feet-Carton-APT21010/203357543</t>
  </si>
  <si>
    <t>https://www.homedepot.com/p/Armaflex-Lap-Self-Seal-4-in-x-1-2-in-Pipe-Insulation-24-lin-ft-Carton-BST40012/300891294</t>
  </si>
  <si>
    <t>https://www.homedepot.com/p/Armaflex-3-4-in-x-2-in-Rubber-Pipe-Insulation-30-Lineal-Feet-Carton-APT03420/203357493</t>
  </si>
  <si>
    <t>https://www.homedepot.com/p/Tubolit-3-8-in-x-3-4-in-Semi-Slit-Polyethylene-Foam-Pipe-Insulation-228-Lineal-Feet-Carton-DGT03834S/203357657</t>
  </si>
  <si>
    <t>https://www.homedepot.com/p/Armaflex-Lap-Self-Seal-2-1-8-in-x-2-in-Pipe-Insulation-12-lin-ft-Carton-BST21820/300891370</t>
  </si>
  <si>
    <t>https://www.homedepot.com/p/Tubolit-2-5-8-in-x-3-4-in-Semi-Slit-Polyethylene-Pipe-Insulation-DGT25834S/203357690</t>
  </si>
  <si>
    <t>https://www.homedepot.com/p/Armaflex-1-1-2-in-IPS-x-3-8-in-Rubber-Pipe-Insulation-96-Lineal-Feet-Carton-APT11038/203357514</t>
  </si>
  <si>
    <t>https://www.homedepot.com/p/Armaflex-2-in-IPS-x-3-8-in-Rubber-Pipe-Insulation-84-Lineal-Feet-Carton-APT20038/203357540</t>
  </si>
  <si>
    <t>https://www.homedepot.com/p/Armaflex-2-5-8-in-x-1-in-Rubber-Pipe-Insulation-APT25810/203357557</t>
  </si>
  <si>
    <t>https://www.homedepot.com/p/Tubolit-Self-Seal-2-5-8-in-x-3-4-in-Polyethylene-Foam-Pipe-Insulation-48-Lineal-Feet-Carton-DGS25834/203357750</t>
  </si>
  <si>
    <t>https://www.homedepot.com/p/Armaflex-5-8-in-x-1-1-2-in-Rubber-Pipe-Insulation-66-Lineal-Feet-Carton-APT05815/203357503</t>
  </si>
  <si>
    <t>https://www.homedepot.com/p/Tubolit-Self-Seal-3-4-in-x-1-2-in-Polyethylene-Foam-Pipe-Insulation-264-Lineal-Feet-Carton-DGS03412/203357700</t>
  </si>
  <si>
    <t>https://www.homedepot.com/p/Armaflex-2-1-8-in-x-1-1-2-in-Rubber-Pipe-Insulation-24-Lineal-Feet-Carton-APT21815/203357553</t>
  </si>
  <si>
    <t>https://www.homedepot.com/p/Armaflex-Lap-Self-Seal-3-5-8-in-x-3-4-in-Pipe-Insulation-30-lin-ft-Carton-BST35834/300891326</t>
  </si>
  <si>
    <t>https://www.homedepot.com/p/Armaflex-6-in-IPS-x-1-in-Rubber-Pipe-Insulation-APT60010/203357595</t>
  </si>
  <si>
    <t>https://www.homedepot.com/p/Armaflex-3-5-8-in-x-2-in-Rubber-Pipe-Insulation-APT35820/203357579</t>
  </si>
  <si>
    <t>https://www.homedepot.com/p/Armaflex-Lap-Self-Seal-5-8-in-x-3-8-in-Pipe-Insulation-390-lin-ft-Carton-BST05838/300891318</t>
  </si>
  <si>
    <t>https://www.homedepot.com/p/Armaflex-Lap-Self-Seal-2-1-8-in-x-3-8-in-Pipe-Insulation-96-lin-ft-Carton-BST21838/300891304</t>
  </si>
  <si>
    <t>https://www.homedepot.com/p/Armaflex-Lap-Self-Seal-3-1-8-in-x-3-4-in-Pipe-Insulation-36-lin-ft-Carton-BST31834/300891300</t>
  </si>
  <si>
    <t>https://www.homedepot.com/p/Tubolit-2-1-8-in-x-1-in-Semi-Slit-Polyethylene-Pipe-Insulation-DGT21810S/203357684</t>
  </si>
  <si>
    <t>https://www.homedepot.com/p/Armaflex-6-in-IPS-x-1-1-2-in-Rubber-Pipe-Insulation-APT60015/203357598</t>
  </si>
  <si>
    <t>https://www.homedepot.com/p/Armaflex-5-in-IPS-x-3-4-in-Rubber-Pipe-Insulation-APT50034/203357592</t>
  </si>
  <si>
    <t>https://www.homedepot.com/p/Armaflex-4-1-8-in-x-3-4-in-Rubber-Pipe-Insulation-APT41834/203357587</t>
  </si>
  <si>
    <t>https://www.homedepot.com/p/Armaflex-4-1-8-in-x-1-in-Rubber-Pipe-Insulation-APT41810/203357585</t>
  </si>
  <si>
    <t>https://www.homedepot.com/p/Armaflex-3-in-IPS-x-1-1-2-in-Rubber-Pipe-Insulation-APT30015/203357567</t>
  </si>
  <si>
    <t>https://www.homedepot.com/p/Armaflex-2-5-8-in-x-3-4-in-Rubber-Pipe-Insulation-APT25834/203357559</t>
  </si>
  <si>
    <t>https://www.homedepot.com/p/Armaflex-7-8-in-x-1-1-2-in-Rubber-Pipe-Insulation-36-Lineal-Feet-Carton-APT07815/203357509</t>
  </si>
  <si>
    <t>1-in x 4-ft x 8-ft Expanded Polystyrene Board Insulation in the Board Insulation department at Lowes.com</t>
  </si>
  <si>
    <t>0.75-in x 4-ft x 8-ft Expanded Polystyrene Board Insulation in the Board Insulation department at Lowes.com</t>
  </si>
  <si>
    <t>InsulLam Insulation Board, 1-1/2 inch with 1/2 inch OSB (bestmaterials.com)</t>
  </si>
  <si>
    <t>InsulLam Insulation Board, 1-1/2 inch with 5/8 inch OSB (bestmaterials.com)</t>
  </si>
  <si>
    <t>InsulLam Insulation Board, 1-1/8 inch with 7/16 inch OSB (bestmaterials.com)</t>
  </si>
  <si>
    <t>InsulLam Insulation Board, 11-1/4 inch with 1/2 inch OSB (bestmaterials.com)</t>
  </si>
  <si>
    <t>InsulLam Insulation Board, 2 inch with 1/2 inch OSB (bestmaterials.com)</t>
  </si>
  <si>
    <t>InsulLam Insulation Board, 2 inch with 5/8 inch OSB (bestmaterials.com)</t>
  </si>
  <si>
    <t>InsulLam Insulation Board, 3-1/2 inch with 7/16 inch OSB (bestmaterials.com)</t>
  </si>
  <si>
    <t>InsulLam Insulation Board, 4 inch with 5/8 inch OSB (bestmaterials.com)</t>
  </si>
  <si>
    <t>InsulLam Insulation Board, 4 inch with 7/16 inch OSB (bestmaterials.com)</t>
  </si>
  <si>
    <t>InsulLam Insulation Board, 6 inch with 7/16 inch OSB (bestmaterials.com)</t>
  </si>
  <si>
    <t xml:space="preserve">Brand: InsuLam </t>
  </si>
  <si>
    <t>Expanded Polystyrene Foam Board Insulation 4' x 8' at Menards®</t>
  </si>
  <si>
    <t>R-6 (10 psi) 1-1/2" x 14-1/2" x 48" Expanded Polystyrene Foam Board Insulation - 6 Pack at Menards®</t>
  </si>
  <si>
    <t>InSoFast® R-8.5 24" x 48 EPS Foam Insulation Board - 5-Panels - 40 sq. ft. at Menards®</t>
  </si>
  <si>
    <t>Linear Feet</t>
  </si>
  <si>
    <t>R-10 (25 psi) 2-3/8" x 4' x 8' High Density Expanded Polystyrene Foam Board Insulation at Menards®</t>
  </si>
  <si>
    <t xml:space="preserve">Home Depot </t>
  </si>
  <si>
    <t>R-Tech 1 1/2 in x 48 in. x 8 ft. R-5.78 EPS Rigid Foam Board Insulation 320817 - The Home Depot</t>
  </si>
  <si>
    <t>3/4 in. x 1.25 ft. x 4 ft. R-2.65 Polystyrene Panel Insulation Sheathing (6-Pack) 150705 - The Home Depot</t>
  </si>
  <si>
    <t>R-Tech 2 in. x 48 in. x 8 ft. R-7.7 EPS Rigid Foam Board Insulation 310891 - The Home Depot</t>
  </si>
  <si>
    <t>homedepot.com/p/R-Tech-1-in-x-48-in-x-8-ft-R-3-85-Insulating-Sheathing-320821/202532854</t>
  </si>
  <si>
    <t>SilveRboard 0.625 in. x 48 in. x 24 in. 72 sq. ft. R-3 Graphite Radiant Barrier Wall Insulation Kit (9-Sheets/Kit) SBGXS062502PKIT - The Home Depot</t>
  </si>
  <si>
    <t>Listed Material Price</t>
  </si>
  <si>
    <t>USA Foam</t>
  </si>
  <si>
    <t>Welcome to Foam Factory (usafoam.com)</t>
  </si>
  <si>
    <t>1 LB Density</t>
  </si>
  <si>
    <t>Installation Multiplier</t>
  </si>
  <si>
    <t>Installation Adder</t>
  </si>
  <si>
    <t>https://www.lowes.com/collections/Johns-Manville-Attic-protector-Collection/GR_4334</t>
  </si>
  <si>
    <t>https://www.pacificinsulationsupply.com/shop/loose-fill/l77-blow-in-insulation/</t>
  </si>
  <si>
    <t>Pacific Insulation Supply</t>
  </si>
  <si>
    <t>https://www.pacificinsulationsupply.com/shop/loose-fill/climate-pro-blow-in-insulation/</t>
  </si>
  <si>
    <t>https://www.menards.com/main/building-materials/insulation/loose-fill-insulation/insulmax-reg-blow-in-cellulose-insulation/1611640/p-1642874295786737-c-5777.htm?tid=-2855046567077017077&amp;ipos=1</t>
  </si>
  <si>
    <t>https://www.menards.com/main/building-materials/insulation/loose-fill-insulation/ecofill-reg-wx-fiberglass-blow-in-insulation-106-6-sf-r-19/1616004/p-105478727772-c-5777.htm?tid=-3308181725456180522&amp;ipos=2</t>
  </si>
  <si>
    <t>https://www.menards.com/main/building-materials/insulation/loose-fill-insulation/guardian-fiberglass-blow-in-insulation-65-3-sf-r-30/510521/p-1444437014319-c-5777.htm?tid=-4867482995818981070&amp;ipos=4</t>
  </si>
  <si>
    <t>Stine Home</t>
  </si>
  <si>
    <t>https://www.stinehome.com/building-materials/insulation/cellulose-insulation/procat--fiberglass-blown-insulation---one-bag-covers-128.7-sq-ft.-r19/00275.html</t>
  </si>
  <si>
    <t>https://www.lowes.com/pd/Arctic-Fiber-Insulation-R-19-Blown-In-Insulation-Sound-Barrier/1043161</t>
  </si>
  <si>
    <t>https://www.lowes.com/pd/GreenFiber-R-19-Blown-In-Insulation-Sound-Barrier/3227256</t>
  </si>
  <si>
    <t>https://www.lowes.com/pd/GreenFiber-R-19-Blown-In-Insulation-Sound-Barrier/3092499</t>
  </si>
  <si>
    <t>Foam Board Insulation .75 in x 4 ft x 8 ft R-3 EPS ProBoard</t>
  </si>
  <si>
    <t>Foam Board Insulation .5 in x 4 ft x 8 ft R-2 EPS ProBoard</t>
  </si>
  <si>
    <t>Foam Board Insulation 1 in x 4 ft x 8 ft R-4.4 EPS ProBoard</t>
  </si>
  <si>
    <t>Foam Board Insulation 1 in x 2 ft x 8 ft R-3.8 EPS ProBoard</t>
  </si>
  <si>
    <t>Foam Board Insulation 1 in x 4 ft x 8 ft R-5 EPS ProBoard Red Label</t>
  </si>
  <si>
    <t>"ProBoard" - higher density</t>
  </si>
  <si>
    <t>Foam Board Insulation .59 in x 4 ft x 8 ft R-3 EPS ProBoard Red Label</t>
  </si>
  <si>
    <t>Foam Board Insulation .75 in x 4 ft x 8 ft R-3.8 EPS ProBoard Red Label</t>
  </si>
  <si>
    <t>Foam Board Insulation .75 in x 2 ft x 8 ft R-2.9 EPS ProBoard</t>
  </si>
  <si>
    <t xml:space="preserve">Dunn Lumber </t>
  </si>
  <si>
    <t>Products Catalog (dunnlumber.com)</t>
  </si>
  <si>
    <t>Build Club</t>
  </si>
  <si>
    <t>R-Tech 1/2 in. x 48 in. x 8 ft. R-1.93 EPS Rigid Foam Board | Foam Board Insulation | The BuildClub - Buildclub</t>
  </si>
  <si>
    <t>R-Tech 2 in. x 48 in. x 8 ft. R-7.7 EPS Rigid Foam Board Insulation | Foam Board Insulation | The BuildClub - Buildclub</t>
  </si>
  <si>
    <t>R-Tech 1 1/2 in x 48 in. x 8 ft. R-5.78 EPS Rigid Foam Board | Foam Board Insulation | The BuildClub - Buildclub</t>
  </si>
  <si>
    <t>Not retail costs, from manufacturer site</t>
  </si>
  <si>
    <t>Froth-Pak Low GWP 650 Spray Gun Indoor/Outdoor Spray Foam Insulation in the Spray Foam Insulation department at Lowes.com</t>
  </si>
  <si>
    <t xml:space="preserve">Closed Cell polyurethane </t>
  </si>
  <si>
    <t>Froth-Pak Low GWP 210 Insulation Foam Kit 484 oz Spray Gun Indoor/Outdoor Spray Foam Insulation in the Spray Foam Insulation department at Lowes.com</t>
  </si>
  <si>
    <t>Froth-Pak Low GWP 12 oz Spray Gun Indoor/Outdoor Spray Foam Insulation in the Spray Foam Insulation department at Lowes.com</t>
  </si>
  <si>
    <t>Froth-Pak Low GWP 620 Spray Gun Indoor/Outdoor Spray Foam Insulation in the Spray Foam Insulation department at Lowes.com</t>
  </si>
  <si>
    <t>Froth Pak 650 Spray Foam Insulation Kit, 15 Ft Hose. Low GWP Formula Closed Cell Spray Foam Insulation Kit Yields Up to 650 Board ft. Insulates Cavities, Penetrations &amp; Gaps Up to 2" Thick - Amazon.com</t>
  </si>
  <si>
    <t>Froth-Pak 210 Spray Foam Insulation Kit, 9ft Hose. Improved Low GWP Formula. Insulates Cavities, Penetrations &amp; Gaps Up to 2" Thick. Yields Up to 210 Board ft. Two Component, Polyurethane, Closed Cell - Amazon.com</t>
  </si>
  <si>
    <t>Amazon</t>
  </si>
  <si>
    <t>Vega Bond V200 Closed Cell Spray Foam Kit - Fast Rise, 200 Board Feet - Two Component Foam Sealant for Superior Insulation - Amazon.com</t>
  </si>
  <si>
    <t>Froth-Pak 650 Spray Foam Insulation, 30 ft Hose. Low GWP Formula. Insulates Cavities, Penetrations &amp; Gaps Up to 2" Thick. Yields Up to 650 Board ft. Two Component, Polyurethane, Closed Cell - Amazon.com</t>
  </si>
  <si>
    <t>DAP 7565002600 Touch 'n Seal 600 BF Low GWP 1.75 PCF FR ICC Closed Cell Spray Foam Insulation Kit with Pre-Connected Hoses - Amazon.com</t>
  </si>
  <si>
    <t>Two-Component Polyurethane Foam Kit 200 Board Feet - Weatherproofing - Amazon.com</t>
  </si>
  <si>
    <t>Touch N Seal 200 Kit (A&amp;B + Gun Hose) Spray Foam Insulation Kit - Foam Raw Materials - Amazon.com</t>
  </si>
  <si>
    <t>DAP 7565002200 Touch 'n Seal 200 BF Low GWP 1.75 PCF FR ICC Closed Cell Spray Foam Insulation Kit with Pre-Connected Hoses - Amazon.com</t>
  </si>
  <si>
    <t>Froth-Pak 200 Spray Foam Sealant Kit, 9ft Hose. Low GWP Formula. Seals Cavities, Penetrations &amp; Gaps. Yields Up to 200 Board ft. at 2” Thick, 4” Width. Two Component, Polyurethane, Closed Cell - Amazon.com</t>
  </si>
  <si>
    <t>https://www.amazon.com/sspa/click?ie=UTF8&amp;spc=MTo3NjE2MTE4MTIzMzc3NjIwOjE2OTQ2MjY4MDk6c3BfbXRmOjIwMDAwMjAzMDE0MDE3MTo6MDo6&amp;url=%2FTouch-N-Seal-FK-200-Component-Spray-Included%2Fdp%2FB00415FI3Y%2Fref%3Dsr_1_43_sspa%3Fkeywords%3DClosed%2BCell%2BFoam%2BSpray%26qid%3D1694626809%26sr%3D8-43-spons%26sp_csd%3Dd2lkZ2V0TmFtZT1zcF9tdGY%26psc%3D1</t>
  </si>
  <si>
    <t>DAP 7565002110 Touch 'n Seal 110 Low GWP 1.75 PCF FR ICC Closed Cell Spray Foam Insulation Kit with Pre-Connected Hoses - Amazon.com</t>
  </si>
  <si>
    <t>DAP 7565021120 Touch 'n Seal 120 Low GWP 3.0 PCF FR 2 Component Closed Cell Spray Foam Insulation Kit with Pre-Connected Hoses - Amazon.com</t>
  </si>
  <si>
    <t>https://www.amazon.com/Froth-Pak-Improved-Penetrations-Component-Polyurethane/dp/B097RWTTF3/ref=sr_1_61?keywords=Closed+Cell+Foam+Spray&amp;qid=1694626805&amp;sr=8-61</t>
  </si>
  <si>
    <t>Walmart</t>
  </si>
  <si>
    <t>Vega Bond V200 Closed Cell Spray Foam Insulation Kit. 2 Part Foam Sealant 200BF - Walmart.com</t>
  </si>
  <si>
    <t>Vega Bond V600 Slow Rise Closed Cell Spray Foam Kit - 600 Board Feet Coverage - Walmart.com</t>
  </si>
  <si>
    <t>Touch 'N Seal Spray Foam Sealant Kit,Cream,42 lb 7565002200 - Walmart.com</t>
  </si>
  <si>
    <t>Froth-Pak Foam Sealant Kit,Cream,41 lb 12031949 - Walmart.com</t>
  </si>
  <si>
    <t>https://www.lowes.com/pd/Gold-Bond-1-2-in-x-4-ft-x-8-ft-High-Strength-LITE-Drywall-Panel/5001486207</t>
  </si>
  <si>
    <t>https://www.lowes.com/pd/CertainTeed-Common-5-8-in-x-4-1-2-ft-x-12-ft-Actual-0-625-in-x-4-ft-x-12-ft-Drywall-Panel/1003189188</t>
  </si>
  <si>
    <t>CertainTeed</t>
  </si>
  <si>
    <t>https://www.lowes.com/pd/Gold-Bond-3-8-in-x-4-ft-x-8-ft-Classic-Drywall-Panel/5001613081</t>
  </si>
  <si>
    <t>https://www.lowes.com/pd/ToughRock-Common-5-8-in-x-4-ft-x-8-ft-Actual-0-62-in-x-3-99-ft-x-7-99-ft-Fireguard-Drywall-Panel/999980054</t>
  </si>
  <si>
    <t>ToughRock</t>
  </si>
  <si>
    <t>https://www.lowes.com/pd/Gold-Bond-Common-1-2-in-x-4-ft-x-8-ft-Actual-0-5-in-x-4-ft-x-8-ft-PURPLE-XP-Drywall-Panel/1002062128</t>
  </si>
  <si>
    <t>W/ fire retardant</t>
  </si>
  <si>
    <t>Fire Rated Insulation | Fire Retardant Spray Foam Insulation (energyefficientsolutions.com)</t>
  </si>
  <si>
    <t>https://www.lowes.com/pd/Gold-Bond-1-2-in-x-4-ft-x-12-ft-High-Strength-LITE-Drywall-Panel/5001450135</t>
  </si>
  <si>
    <t>Fire-Rated Spray Foam Insulation | Fire-Rated Closed Cell Spray Foam (energyefficientsolutions.com)</t>
  </si>
  <si>
    <t>Polyurethane Spray Foam Insulation Kit | Energy Efficient Solutions</t>
  </si>
  <si>
    <t>179 Bdft Quick Cure Spray Foam | Handi Foam™ Kits (energyefficientsolutions.com)</t>
  </si>
  <si>
    <t>Polyurethane Foam Insulation | Foam Insulation Spray (energyefficientsolutions.com)</t>
  </si>
  <si>
    <t>Roof</t>
  </si>
  <si>
    <t>Roof Foam</t>
  </si>
  <si>
    <t>https://www.lowes.com/pd/Gold-Bond-5-8-in-x-4-ft-x-8-ft-Fire-Shield-Drywall-Panel/5001613083</t>
  </si>
  <si>
    <t>Roof Spray Foam | Spray On Insulation | Energy Efficient Solutions</t>
  </si>
  <si>
    <t>340 Bdft Roof Spray Foam | Spray Foam Roof Insulation (energyefficientsolutions.com)</t>
  </si>
  <si>
    <t>https://www.lowes.com/pd/ToughRock-1-4-in-4-ft-x-8-ft-Regular-Drywall-Panel/5013929351</t>
  </si>
  <si>
    <t>https://www.lowes.com/pd/American-Gypsum-Common-1-4-in-x-4-ft-x-8-ft-Actual-0-25-in-x-4-ft-x-8-ft-Drywall-Panel/3009465</t>
  </si>
  <si>
    <t>https://www.lowes.com/pd/Gold-Bond-1-4-in-x-4-ft-x-8-ft-Classic-Regular-Drywall-Panel/5013699479</t>
  </si>
  <si>
    <t xml:space="preserve">All Pro Depot </t>
  </si>
  <si>
    <t>Touch 'n Seal 120 Foam Kit Low GWP 3.0 PCF FR - All Pro Depot</t>
  </si>
  <si>
    <t>Handi-Foam 200 BF spray foam insulation kit HFO FR - All Pro Depot</t>
  </si>
  <si>
    <t>https://www.lowes.com/pd/7-16-CAT-PS2-10-OSB-Sheathing-Application-as-4-x-8/50382768</t>
  </si>
  <si>
    <t>Handi-Foam 600 BF spray foam insulation kit HFO FR - All Pro Depot</t>
  </si>
  <si>
    <t>Touch 'n Seal 200 Spray Foam Insulation Low GWP - All Pro Depot</t>
  </si>
  <si>
    <t>Touch 'n Seal 110 Spray Foam Insulation Kit Low GWP - All Pro Depot</t>
  </si>
  <si>
    <t>https://www.lowes.com/pd/Plytanium-19-32-CAT-PS1-09-Square-Structural-Plywood-Pine-Application-as-4-x-8/3010129</t>
  </si>
  <si>
    <t>Touch 'n Seal 600 Spray Foam Insulation Kit Low GWP - All Pro Depot</t>
  </si>
  <si>
    <t>https://www.lowes.com/pd/Plytanium-3-8-CAT-PS1-09-Square-Structural-Plywood-Pine-Application-as-4-x-8/1000068943</t>
  </si>
  <si>
    <t>https://www.lowes.com/pd/1-4-in-Oak-Plywood-Application-as-2-x-4/1000066207</t>
  </si>
  <si>
    <t>https://www.lowes.com/pd/Plytanium-15-32-CAT-PS1-09-Square-Structural-Plywood-Pine-Application-as-4-x-8/3010063</t>
  </si>
  <si>
    <t>https://www.lowes.com/pd/Utility-1-4-CAT-Utility-OSB-Application-as-4-x-8/3602786</t>
  </si>
  <si>
    <t>https://www.lowes.com/pd/Severe-Weather-15-32-CAT-PS1-09-Square-Structural-Plywood-Pressure-Treated-Southern-Yellow-Pine-Application-as-4-x-8/4564604</t>
  </si>
  <si>
    <t>Severe Weather</t>
  </si>
  <si>
    <t>OGM8277X-AG</t>
  </si>
  <si>
    <t>https://www.lowes.com/pd/ReliaBilt/5002105547</t>
  </si>
  <si>
    <t>https://www.lowes.com/pd/Severe-Weather-23-32-CAT-PS1-09-Square-Structural-Plywood-Pressure-Treated-Southern-Yellow-Pine-Application-as-4-x-8/4564602</t>
  </si>
  <si>
    <t>OGM7017X-AG</t>
  </si>
  <si>
    <t>https://www.lowes.com/pd/1-4-in-Lauan-Plywood-Application-as-2-x-2/1000068901</t>
  </si>
  <si>
    <t>0.22</t>
  </si>
  <si>
    <t>https://www.lowes.com/pd/Plytanium-15-32-CAT-PS1-09-Square-Structural-Plywood-Pine-Application-as-4-x-8/3010149</t>
  </si>
  <si>
    <t>https://www.lowes.com/pd/1-2-in-Birch-Plywood-Application-as-2-x-4/1000066187</t>
  </si>
  <si>
    <t>https://www.lowes.com/pd/1-4-in-Lauan-Plywood-Application-as-2-x-4/1000068895</t>
  </si>
  <si>
    <t>https://www.lowes.com/pd/Unbranded-15-32-in-x-2-ft-x-4-ft-Pine-Sanded-Plywood/5001996131</t>
  </si>
  <si>
    <t>https://www.lowes.com/pd/ReliaBilt-1-in-x-2-in-x-8-ft-High-density-Primed-Radius-Edge-Mdf/5013993147</t>
  </si>
  <si>
    <t>MDF</t>
  </si>
  <si>
    <t>RELIABILT</t>
  </si>
  <si>
    <t>https://www.lowes.com/pd/1-2-in-Oak-Plywood-Application-as-2-x-4/1000066219</t>
  </si>
  <si>
    <t>https://www.lowes.com/pd/ReliaBilt/5002099235</t>
  </si>
  <si>
    <t>https://www.lowes.com/pd/Unbranded-23-32-in-x-2-ft-x-4-ft-Pine-Sanded-Plywood/5001997945</t>
  </si>
  <si>
    <t>https://www.lowes.com/pd/1-2-in-Maple-Plywood-Application-as-2-x-4/1000351269</t>
  </si>
  <si>
    <t>https://www.lowes.com/pd/ReliaBilt/5002101201</t>
  </si>
  <si>
    <t>3/4</t>
  </si>
  <si>
    <t>https://www.lowes.com/pd/Camo-Panels-featuring-Mossy-Oak-7-16-CAT-PS2-10-OSB-Sheathing-Application-as-4-x-8/3445768</t>
  </si>
  <si>
    <t>Mossy Oak</t>
  </si>
  <si>
    <t>https://www.lowes.com/pd/Unbranded-23-32-in-x-4-ft-x-4-ft-Pine-Sanded-Plywood/5001997957</t>
  </si>
  <si>
    <t>https://www.lowes.com/pd/Unbranded-15-32-in-x-4-ft-x-4-ft-Pine-Sanded-Plywood/5001996163</t>
  </si>
  <si>
    <t>https://www.lowes.com/pd/3-4-in-Maple-Plywood-Application-as-2-x-4/1000351291</t>
  </si>
  <si>
    <t>https://www.lowes.com/pd/Unbranded-23-32-in-x-2-ft-x-2-ft-Pine-Sanded-Plywood/5001996165</t>
  </si>
  <si>
    <t>https://www.lowes.com/pd/3-4-in-Lauan-Plywood-Application-as-2-x-4/1000068905</t>
  </si>
  <si>
    <t>https://www.lowes.com/pd/ReliaBilt/5002266323</t>
  </si>
  <si>
    <t>MDFP1X8OU08</t>
  </si>
  <si>
    <t>https://www.lowes.com/pd/Top-Choice-Blondewood-3-4-in-Whitewood-Plywood-Application-as-4-x-8/50121139</t>
  </si>
  <si>
    <t>Panel</t>
  </si>
  <si>
    <t>Dutch lap solid PVC</t>
  </si>
  <si>
    <t>Horizontal, Shiplap, cove shiplap, square channel shiplap or bevel siding profile</t>
  </si>
  <si>
    <t>https://www.homewyse.com/services/cost_to_install_vinyl_siding.html</t>
  </si>
  <si>
    <t>https://www.homewyse.com/services/cost_to_install_wood_siding.html</t>
  </si>
  <si>
    <t>577715</t>
  </si>
  <si>
    <t>26601</t>
  </si>
  <si>
    <t>26120</t>
  </si>
  <si>
    <t>39915</t>
  </si>
  <si>
    <t>96451</t>
  </si>
  <si>
    <t>26779</t>
  </si>
  <si>
    <t>27165</t>
  </si>
  <si>
    <t>561562</t>
  </si>
  <si>
    <t>21221</t>
  </si>
  <si>
    <t>86554</t>
  </si>
  <si>
    <t>27338</t>
  </si>
  <si>
    <t>22181</t>
  </si>
  <si>
    <t>96604</t>
  </si>
  <si>
    <t>643101</t>
  </si>
  <si>
    <t>682191</t>
  </si>
  <si>
    <t>20699</t>
  </si>
  <si>
    <t>24034</t>
  </si>
  <si>
    <t>6245</t>
  </si>
  <si>
    <t>20415</t>
  </si>
  <si>
    <t>6238</t>
  </si>
  <si>
    <t>87168</t>
  </si>
  <si>
    <t>84796</t>
  </si>
  <si>
    <t>9174175</t>
  </si>
  <si>
    <t>9174177</t>
  </si>
  <si>
    <t>9174178</t>
  </si>
  <si>
    <t>9186382</t>
  </si>
  <si>
    <t>14629</t>
  </si>
  <si>
    <t>22235</t>
  </si>
  <si>
    <t>39434</t>
  </si>
  <si>
    <t>97215</t>
  </si>
  <si>
    <t>45377</t>
  </si>
  <si>
    <t>27976</t>
  </si>
  <si>
    <t>27983</t>
  </si>
  <si>
    <t>45667</t>
  </si>
  <si>
    <t>831861</t>
  </si>
  <si>
    <t>84567</t>
  </si>
  <si>
    <t>28362</t>
  </si>
  <si>
    <t>85526</t>
  </si>
  <si>
    <t>64824</t>
  </si>
  <si>
    <t>39373</t>
  </si>
  <si>
    <t>27954</t>
  </si>
  <si>
    <t>86226</t>
  </si>
  <si>
    <t>49409</t>
  </si>
  <si>
    <t>31315</t>
  </si>
  <si>
    <t>22075</t>
  </si>
  <si>
    <t>20910</t>
  </si>
  <si>
    <t>84529</t>
  </si>
  <si>
    <t>84178</t>
  </si>
  <si>
    <t>94245</t>
  </si>
  <si>
    <t>84192</t>
  </si>
  <si>
    <t>26856</t>
  </si>
  <si>
    <t>84130</t>
  </si>
  <si>
    <t>26771</t>
  </si>
  <si>
    <t>84598</t>
  </si>
  <si>
    <t>49331</t>
  </si>
  <si>
    <t>94211</t>
  </si>
  <si>
    <t>600002</t>
  </si>
  <si>
    <t>600004</t>
  </si>
  <si>
    <t>600003</t>
  </si>
  <si>
    <t>600001</t>
  </si>
  <si>
    <t>500005</t>
  </si>
  <si>
    <t>500008</t>
  </si>
  <si>
    <t>Exterior</t>
  </si>
  <si>
    <t>Foam Core</t>
  </si>
  <si>
    <t>Triple pane</t>
  </si>
  <si>
    <t>Johns Manville R-6, 1-in x 4-ft x 8-ft AP Foil Faced Polyisocyanurate For Use In Garage Doors Board Insulation in the Board Insulation department at Lowes.com</t>
  </si>
  <si>
    <t>Johns Manville R- 2.7, 0.5-in x 4-ft x 8-ft AP Foil Faced Polyisocyanurate For Use In Garage Doors Board Insulation in the Board Insulation department at Lowes.com</t>
  </si>
  <si>
    <t>Horizontal lap, fiber cement siding</t>
  </si>
  <si>
    <t>Johns Manville R-5, 0.75-in x 4-ft x 8-ft AP Foil Faced Polyisocyanurate For Use In Garage Doors Board Insulation in the Board Insulation department at Lowes.com</t>
  </si>
  <si>
    <t>Fiber Cement</t>
  </si>
  <si>
    <t>RMAX Pro Select R-Matte Plus-3, 1 in. x 48 in. x 8 ft. R-6.0 ISO Rigid Foam Board Insulation 637900 - The Home Depot</t>
  </si>
  <si>
    <t>Count</t>
  </si>
  <si>
    <t>RMax Thermasheath 4ft x 8ft Polyiso Rigid Foam Insulation Board - All (insulation4us.com)</t>
  </si>
  <si>
    <t>https://www.homewyse.com/services/cost_to_install_fiber_cement_siding.html</t>
  </si>
  <si>
    <t>1/2" 4' x 8' Rigid Polyiso Sheathing R3.25 | Kelly Fradet</t>
  </si>
  <si>
    <t>Kelly Fradet</t>
  </si>
  <si>
    <t>1" - 4' x 8' Rigid Polyiso Sheathing R6.50 | Kelly Fradet</t>
  </si>
  <si>
    <t>Grainger</t>
  </si>
  <si>
    <t>ITW, Polyisocyanurate, Light Yellow, High Temperature Insulation - 19NE86|47230 - Grainger</t>
  </si>
  <si>
    <t>ITW, Polyisocyanurate, Light Yellow, High Temperature Insulation - 19NE88|47270 - Grainger</t>
  </si>
  <si>
    <t>ITW, Polyisocyanurate, Light Yellow, High Temperature Insulation - 19NE97|649494 - Grainger</t>
  </si>
  <si>
    <t>ITW, Polyisocyanurate, Light Yellow, High Temperature Insulation - 19NE98|648883 - Grainger</t>
  </si>
  <si>
    <t>https://www.grainger.com/product/ITW-High-Temperature-Insulation-19NE96</t>
  </si>
  <si>
    <t>Polyisocyanurate Insulation Boards - Grainger Industrial Supply</t>
  </si>
  <si>
    <t>ITW, Polyisocyanurate, Light Yellow, High Temperature Insulation - 19NE91|571038 - Grainger</t>
  </si>
  <si>
    <t>ITW, Polyisocyanurate, Light Yellow, High Temperature Insulation - 19NE92|566154 - Grainger</t>
  </si>
  <si>
    <t>ITW, Polyisocyanurate, Light Yellow, High Temperature Insulation - 19NE93|554993 - Grainger</t>
  </si>
  <si>
    <t>ITW, Polyisocyanurate, Light Yellow, High Temperature Insulation - 19NE87|47245 - Grainger</t>
  </si>
  <si>
    <t>ITW, Polyisocyanurate, Light Yellow, High Temperature Insulation - 19NE89|47325 - Grainger</t>
  </si>
  <si>
    <t>ITW, Polyisocyanurate, Light Yellow, High Temperature Insulation - 19NE90|648250 - Grainger</t>
  </si>
  <si>
    <t>ITW, Polyisocyanurate, Light Yellow, High Temperature Insulation - 19NE94|655027 - Grainger</t>
  </si>
  <si>
    <t>ITW, Polyisocyanurate, Light Yellow, High Temperature Insulation - 19NF01|684709 - Grainger</t>
  </si>
  <si>
    <t xml:space="preserve">Plain Facing </t>
  </si>
  <si>
    <t>ASJ Facing</t>
  </si>
  <si>
    <t>FSK Facing</t>
  </si>
  <si>
    <t>Johns Manville Foil Faced Polyiso Foam Board Insulation 4' x 8' at Menards®</t>
  </si>
  <si>
    <t>Johns Manville Fiberglass Face Polyiso Roof Decking Insulation 4' x 8' at Menards®</t>
  </si>
  <si>
    <t>Roof Decking Insulation</t>
  </si>
  <si>
    <t>Johns Manville CI Max® Polyiso Foam Board Insulation 4' x 8' at Menards®</t>
  </si>
  <si>
    <t>Departments - 4X8X1 POLYISO-FOIL SHEATHG R-6.5 (hbsnj.com)</t>
  </si>
  <si>
    <t>Departments - 4X8X1.5 POLYISO-FOIL SHTHG R9.8 (hbsnj.com)</t>
  </si>
  <si>
    <t>Departments - 4X8X1/2 POLYISO-FOIL SHTHG R=3.0 (hbsnj.com)</t>
  </si>
  <si>
    <t>Departments - 4X8X2 POLYISO-FOIL SHEATHING R13 (hbsnj.com)</t>
  </si>
  <si>
    <t>Departments - 4X8X3/4 POLYISO-FOIL SHTHG R=5 (hbsnj.com)</t>
  </si>
  <si>
    <t>McCoy's</t>
  </si>
  <si>
    <t>McCoy's Building Supply (mccoys.com)</t>
  </si>
  <si>
    <t>Garage Door Insulation</t>
  </si>
  <si>
    <t>Johns Manville R-6, 1-in x 4-ft x 8-ft AP Foil Faced Polyisocyanurate | Foam Board Insulation | The BuildClub - Buildclub</t>
  </si>
  <si>
    <t>https://www.homewyse.com/services/cost_to_install_brick_veneer_siding.html</t>
  </si>
  <si>
    <t>Brick Veneer</t>
  </si>
  <si>
    <t>Metric 1 Values&gt;</t>
  </si>
  <si>
    <t>Metric 2 Values&gt;</t>
  </si>
  <si>
    <t>Intercept&gt;</t>
  </si>
  <si>
    <t>Intercepts&gt;</t>
  </si>
  <si>
    <t>Paste in values</t>
  </si>
  <si>
    <t>cost_id</t>
  </si>
  <si>
    <t>section</t>
  </si>
  <si>
    <t>action</t>
  </si>
  <si>
    <t>type</t>
  </si>
  <si>
    <t>performance_1</t>
  </si>
  <si>
    <t>unit_1</t>
  </si>
  <si>
    <t>performance_2</t>
  </si>
  <si>
    <t>unit_2</t>
  </si>
  <si>
    <t>total_cost</t>
  </si>
  <si>
    <t>city</t>
  </si>
  <si>
    <t>state</t>
  </si>
  <si>
    <t>building_type</t>
  </si>
  <si>
    <t>construction_type</t>
  </si>
  <si>
    <t>foundation_type</t>
  </si>
  <si>
    <t>vintage</t>
  </si>
  <si>
    <t>cfa_post</t>
  </si>
  <si>
    <t>stories_post</t>
  </si>
  <si>
    <t>retrofit_type_primary</t>
  </si>
  <si>
    <t>start_year</t>
  </si>
  <si>
    <t>EnvelopeLeakagePercentReduction</t>
  </si>
  <si>
    <t>House</t>
  </si>
  <si>
    <t>Seal</t>
  </si>
  <si>
    <t>Envelope</t>
  </si>
  <si>
    <t>ACH50 (pre)</t>
  </si>
  <si>
    <t>ACH50 (post)</t>
  </si>
  <si>
    <t>Merritt Island</t>
  </si>
  <si>
    <t>FL</t>
  </si>
  <si>
    <t>Single family detached</t>
  </si>
  <si>
    <t>Slab-on-grade</t>
  </si>
  <si>
    <t>Home performance upgrade</t>
  </si>
  <si>
    <t>Palm Bay</t>
  </si>
  <si>
    <t>Cocoa</t>
  </si>
  <si>
    <t>Condominium</t>
  </si>
  <si>
    <t>Wood frame</t>
  </si>
  <si>
    <t>North Port</t>
  </si>
  <si>
    <t>Rockledge</t>
  </si>
  <si>
    <t>Port St. John</t>
  </si>
  <si>
    <t>Sarasota</t>
  </si>
  <si>
    <t>Melbourne</t>
  </si>
  <si>
    <t>Multifamily</t>
  </si>
  <si>
    <t>Grant-valkaria</t>
  </si>
  <si>
    <t>CFM50 (pre)</t>
  </si>
  <si>
    <t>CFM50 (post)</t>
  </si>
  <si>
    <t>Ithaca</t>
  </si>
  <si>
    <t>NY</t>
  </si>
  <si>
    <t>Stockton</t>
  </si>
  <si>
    <t>CA</t>
  </si>
  <si>
    <t>Underhill</t>
  </si>
  <si>
    <t>VT</t>
  </si>
  <si>
    <t>Thetford</t>
  </si>
  <si>
    <t>Electrification</t>
  </si>
  <si>
    <t>Randolph</t>
  </si>
  <si>
    <t>Split level</t>
  </si>
  <si>
    <t>Chester</t>
  </si>
  <si>
    <t>Manchester</t>
  </si>
  <si>
    <t>St. Johnsbury</t>
  </si>
  <si>
    <t>Pittsford</t>
  </si>
  <si>
    <t>Dorset</t>
  </si>
  <si>
    <t>Rutland</t>
  </si>
  <si>
    <t>Jericho</t>
  </si>
  <si>
    <t>St. Albans</t>
  </si>
  <si>
    <t>Mixed crawlspace and basement</t>
  </si>
  <si>
    <t>West Fairlee</t>
  </si>
  <si>
    <t>Guilford</t>
  </si>
  <si>
    <t>Middlebury</t>
  </si>
  <si>
    <t>Newfane</t>
  </si>
  <si>
    <t>Brick</t>
  </si>
  <si>
    <t>Cambridge</t>
  </si>
  <si>
    <t>Hancock</t>
  </si>
  <si>
    <t>Londonderry</t>
  </si>
  <si>
    <t>Brookfield</t>
  </si>
  <si>
    <t>Ripton</t>
  </si>
  <si>
    <t>Bennington</t>
  </si>
  <si>
    <t>Hartland</t>
  </si>
  <si>
    <t>Lincoln</t>
  </si>
  <si>
    <t>Fairfax</t>
  </si>
  <si>
    <t>Bristol</t>
  </si>
  <si>
    <t>Bridport</t>
  </si>
  <si>
    <t>Champaign</t>
  </si>
  <si>
    <t>IL</t>
  </si>
  <si>
    <t>Oakland</t>
  </si>
  <si>
    <t>Berkeley</t>
  </si>
  <si>
    <t>Santa Rosa</t>
  </si>
  <si>
    <t>Sebastopol</t>
  </si>
  <si>
    <t>Walnut Creek</t>
  </si>
  <si>
    <t>Lafayette</t>
  </si>
  <si>
    <t>San Rafael</t>
  </si>
  <si>
    <t>San Francisco</t>
  </si>
  <si>
    <t>Concord</t>
  </si>
  <si>
    <t>Windsor</t>
  </si>
  <si>
    <t>Sonoma</t>
  </si>
  <si>
    <t>Campbell</t>
  </si>
  <si>
    <t>Danville</t>
  </si>
  <si>
    <t>San Leandro</t>
  </si>
  <si>
    <t>Sagamore Beach</t>
  </si>
  <si>
    <t>MA</t>
  </si>
  <si>
    <t>Envelope-focused</t>
  </si>
  <si>
    <t>Arlington</t>
  </si>
  <si>
    <t>Holden</t>
  </si>
  <si>
    <t>Holyoke</t>
  </si>
  <si>
    <t>Sterling</t>
  </si>
  <si>
    <t>Jamaica Plain</t>
  </si>
  <si>
    <t>Single family attached</t>
  </si>
  <si>
    <t>Lowell</t>
  </si>
  <si>
    <t>Shrewsbury</t>
  </si>
  <si>
    <t>Paxton</t>
  </si>
  <si>
    <t>Mixed slab-on-grade and basement</t>
  </si>
  <si>
    <t>Kingston</t>
  </si>
  <si>
    <t>Melrose</t>
  </si>
  <si>
    <t>Mendon</t>
  </si>
  <si>
    <t>Reading</t>
  </si>
  <si>
    <t>East Templeton</t>
  </si>
  <si>
    <t>Westfield</t>
  </si>
  <si>
    <t>Maynard</t>
  </si>
  <si>
    <t>Sturbridge</t>
  </si>
  <si>
    <t>Northampton</t>
  </si>
  <si>
    <t>Princeton</t>
  </si>
  <si>
    <t>Middleboro</t>
  </si>
  <si>
    <t>Winchester</t>
  </si>
  <si>
    <t>Sudbury</t>
  </si>
  <si>
    <t>Mansfield</t>
  </si>
  <si>
    <t>Amherst</t>
  </si>
  <si>
    <t>Jefferson</t>
  </si>
  <si>
    <t>North Attleboro</t>
  </si>
  <si>
    <t>Newton Center</t>
  </si>
  <si>
    <t>Hudson</t>
  </si>
  <si>
    <t>Hingham</t>
  </si>
  <si>
    <t>Somerville</t>
  </si>
  <si>
    <t>Wilmington</t>
  </si>
  <si>
    <t>Stow</t>
  </si>
  <si>
    <t>Chicopee</t>
  </si>
  <si>
    <t>Belmont</t>
  </si>
  <si>
    <t>Norwood</t>
  </si>
  <si>
    <t>Taunton</t>
  </si>
  <si>
    <t>West Boylston</t>
  </si>
  <si>
    <t>Gardner</t>
  </si>
  <si>
    <t>North Reading</t>
  </si>
  <si>
    <t>Newton</t>
  </si>
  <si>
    <t>Brookline</t>
  </si>
  <si>
    <t>Leicester</t>
  </si>
  <si>
    <t>Marblehead</t>
  </si>
  <si>
    <t>Wakefield</t>
  </si>
  <si>
    <t>Wellesley</t>
  </si>
  <si>
    <t>Newton Highlands</t>
  </si>
  <si>
    <t>Mixed slab-on-grade and crawlspace</t>
  </si>
  <si>
    <t>Boylston</t>
  </si>
  <si>
    <t>Lynnfield</t>
  </si>
  <si>
    <t>Needham</t>
  </si>
  <si>
    <t>Burlington</t>
  </si>
  <si>
    <t>Littleton</t>
  </si>
  <si>
    <t>Becket</t>
  </si>
  <si>
    <t>Peabody</t>
  </si>
  <si>
    <t>Raynham</t>
  </si>
  <si>
    <t>Village Of Nagog Woods</t>
  </si>
  <si>
    <t>Boxborough</t>
  </si>
  <si>
    <t>Worcester</t>
  </si>
  <si>
    <t>Lakeville</t>
  </si>
  <si>
    <t>Talbott</t>
  </si>
  <si>
    <t>TN</t>
  </si>
  <si>
    <t>New Market</t>
  </si>
  <si>
    <t>Rutledge</t>
  </si>
  <si>
    <t>Manufactured home</t>
  </si>
  <si>
    <t>Bean Station</t>
  </si>
  <si>
    <t>Morristown</t>
  </si>
  <si>
    <t>Jefferson City</t>
  </si>
  <si>
    <t>Dandridge</t>
  </si>
  <si>
    <t>White Pine</t>
  </si>
  <si>
    <t>Ahoskie</t>
  </si>
  <si>
    <t>NC</t>
  </si>
  <si>
    <t>Halifax</t>
  </si>
  <si>
    <t>Roanoke Rapids</t>
  </si>
  <si>
    <t>Gates</t>
  </si>
  <si>
    <t>Eure</t>
  </si>
  <si>
    <t>Lewiston Woodville</t>
  </si>
  <si>
    <t>Conway</t>
  </si>
  <si>
    <t>Corapeake</t>
  </si>
  <si>
    <t>Merry Hill</t>
  </si>
  <si>
    <t>Murfreesboro</t>
  </si>
  <si>
    <t>Hobbsville</t>
  </si>
  <si>
    <t>Colerain</t>
  </si>
  <si>
    <t>Como</t>
  </si>
  <si>
    <t>Sunbury</t>
  </si>
  <si>
    <t>Pendleton</t>
  </si>
  <si>
    <t>Jackson</t>
  </si>
  <si>
    <t>Seaboard</t>
  </si>
  <si>
    <t>Margarettsville</t>
  </si>
  <si>
    <t>Aulander</t>
  </si>
  <si>
    <t>Rich Square</t>
  </si>
  <si>
    <t>Woodland</t>
  </si>
  <si>
    <t>Kelford</t>
  </si>
  <si>
    <t>St. Paul</t>
  </si>
  <si>
    <t>MN</t>
  </si>
  <si>
    <t>Aligned with other remodeling</t>
  </si>
  <si>
    <t>Attic access</t>
  </si>
  <si>
    <t>Lumpkin</t>
  </si>
  <si>
    <t>GA</t>
  </si>
  <si>
    <t>Small commercial</t>
  </si>
  <si>
    <t>Seal and insulate</t>
  </si>
  <si>
    <t>St.paul</t>
  </si>
  <si>
    <t>Maplewood</t>
  </si>
  <si>
    <t>West St. Paul</t>
  </si>
  <si>
    <t>Mounds View</t>
  </si>
  <si>
    <t>South St Paul</t>
  </si>
  <si>
    <t>White Bear Lake</t>
  </si>
  <si>
    <t>Framed floor</t>
  </si>
  <si>
    <t>Unfinished basement</t>
  </si>
  <si>
    <t>Superinsulation</t>
  </si>
  <si>
    <t>Foundation</t>
  </si>
  <si>
    <t>HVAC-focused</t>
  </si>
  <si>
    <t>Dixon</t>
  </si>
  <si>
    <t>Los Angeles</t>
  </si>
  <si>
    <t>Albany</t>
  </si>
  <si>
    <t>Hawthorne</t>
  </si>
  <si>
    <t>Individual measure</t>
  </si>
  <si>
    <t>Atlanta</t>
  </si>
  <si>
    <t>Decatur</t>
  </si>
  <si>
    <t>Lagrange</t>
  </si>
  <si>
    <t>Stone Mountain</t>
  </si>
  <si>
    <t>Arden Hills</t>
  </si>
  <si>
    <t>Cayuga Heights</t>
  </si>
  <si>
    <t>Quantile 0.1:</t>
  </si>
  <si>
    <t>Quantile 0.5:</t>
  </si>
  <si>
    <t>Quantile 0.9:</t>
  </si>
  <si>
    <t>Replaced R-value-per-inch and corresponding R-value with PNNL data</t>
  </si>
  <si>
    <t>Amerimax Home Products</t>
  </si>
  <si>
    <t>Bright White/Bright White</t>
  </si>
  <si>
    <t>https://www.homedepot.com/p/Amerimax-Home-Products-14-in-x-50-ft-Bright-White-over-Bright-White-Aluminum-Trim-Coil-69114182/202091104</t>
  </si>
  <si>
    <t>Trim Coil</t>
  </si>
  <si>
    <t>PVC Coated Bright White</t>
  </si>
  <si>
    <t>https://www.homedepot.com/p/Amerimax-Home-Products-24-in-x-50-ft-Bright-White-Aluminum-PVC-Textured-Coated-Trim-Coil-6912458/202091133</t>
  </si>
  <si>
    <t>Brown/White</t>
  </si>
  <si>
    <t>https://www.homedepot.com/p/Amerimax-Home-Products-24-in-x-50-ft-Brown-Aluminum-Trim-Coil-69124/100026334</t>
  </si>
  <si>
    <t>Black/Bronze</t>
  </si>
  <si>
    <t>https://www.homedepot.com/p/Amerimax-Home-Products-24-in-x-50-ft-Black-over-Bronze-Aluminum-Trim-Coil-691243533/203744523</t>
  </si>
  <si>
    <t>Cream/White</t>
  </si>
  <si>
    <t>https://www.homedepot.com/p/Amerimax-Home-Products-24-in-x-50-ft-Heritage-Cream-over-White-Aluminum-Trim-Coil-69124027/205664205</t>
  </si>
  <si>
    <t>Sable Brown/White</t>
  </si>
  <si>
    <t>https://www.homedepot.com/p/Amerimax-Home-Products-24-in-x-50-ft-Sable-Brown-over-White-Aluminum-Trim-Coil-69124033/205664206</t>
  </si>
  <si>
    <t>Snow White/Snow White</t>
  </si>
  <si>
    <t>https://www.homedepot.com/p/Amerimax-Home-Products-24-in-x-50-ft-Snow-White-over-Snow-White-Aluminum-Trim-Coil-6912484/202872734</t>
  </si>
  <si>
    <t>https://www.homedepot.com/p/Amerimax-Home-Products-14-in-x-50-ft-Black-and-White-Aluminum-Trim-Coil-691143533/203744535</t>
  </si>
  <si>
    <t>Spectra Metals</t>
  </si>
  <si>
    <t>RTC14W187/W187</t>
  </si>
  <si>
    <t>https://www.homedepot.com/p/Spectra-Metals-14-in-x-50-ft-White-Aluminum-Trim-Coil-RTC14W187-W187/205009268</t>
  </si>
  <si>
    <t>Musket Brown/White</t>
  </si>
  <si>
    <t>https://www.homedepot.com/p/Amerimax-Home-Products-24-in-x-50-ft-Musket-Brown-over-White-Aluminum-018-in-Trim-Coil-6912430/202872724</t>
  </si>
  <si>
    <t>Autumn Red/White</t>
  </si>
  <si>
    <t>https://www.homedepot.com/p/Amerimax-Home-Products-24-in-x-50-ft-Autumn-Red-and-White-Aluminum-Trim-Coil-69124101/205664230</t>
  </si>
  <si>
    <t>Tuxedo Gray/White</t>
  </si>
  <si>
    <t>https://www.homedepot.com/p/Amerimax-Home-Products-24-in-x-50-ft-Tux-Gray-over-White-Aluminum-Trim-Coil-6912488/202872736</t>
  </si>
  <si>
    <t>Regatta Blue/White</t>
  </si>
  <si>
    <t>https://www.homedepot.com/p/Amerimax-Home-Products-24-in-x-50-ft-Regatta-Blue-over-White-Aluminum-Trim-Coil-69124240/205664357</t>
  </si>
  <si>
    <t>Almond/White</t>
  </si>
  <si>
    <t>https://www.homedepot.com/p/Amerimax-Home-Products-24-in-x-50-ft-Almond-and-White-Aluminum-Trim-Coil-6912469/205664369</t>
  </si>
  <si>
    <t>https://www.homedepot.com/p/Amerimax-Home-Products-24-in-x-50-ft-Musk-Brown-and-White-Aluminum-Trim-Coil-69124059/205664228</t>
  </si>
  <si>
    <t>https://www.homedepot.com/p/Amerimax-Home-Products-24-in-x-50-ft-ALC-Musket-Brown-over-White-Aluminum-Trim-Coil-6912459/205664368</t>
  </si>
  <si>
    <t>Charcoal Gray/White</t>
  </si>
  <si>
    <t>https://www.homedepot.com/p/Amerimax-Home-Products-24-in-x-50-ft-Charcoal-Gray-over-White-Aluminum-Trim-Coil-69124103/205664232</t>
  </si>
  <si>
    <t>PVC Coated Musket Brown</t>
  </si>
  <si>
    <t>https://www.homedepot.com/p/Amerimax-Home-Products-0-021-in-x-24-in-x-50-ft-PVC-Coated-Musket-Brown-Aluminum-Trim-Coil-6912452/202872743</t>
  </si>
  <si>
    <t>Desert Tan/White</t>
  </si>
  <si>
    <t>https://www.homedepot.com/p/Amerimax-Home-Products-24-in-x-50-ft-Desert-Tan-over-White-Aluminum-Trim-Coil-6912477/202091151</t>
  </si>
  <si>
    <t>Granite Gray/White</t>
  </si>
  <si>
    <t>https://www.homedepot.com/p/Amerimax-Home-Products-24-in-x-50-ft-Granite-Gray-over-White-Aluminum-Trim-Coil-6912447/202091146</t>
  </si>
  <si>
    <t>Royal Brown/White</t>
  </si>
  <si>
    <t>https://www.homedepot.com/p/Amerimax-Home-Products-24-in-x-50-ft-Royal-Brown-over-White-Aluminum-Trim-Coil-6912415/202872732</t>
  </si>
  <si>
    <t>PVC Coated Grecian Green</t>
  </si>
  <si>
    <t>https://www.homedepot.com/p/Amerimax-Home-Products-24-in-x-50-ft-Grecian-Green-Aluminum-PVC-Textured-Coated-Trim-Coil-6912460/202872747</t>
  </si>
  <si>
    <t>Cypress/White</t>
  </si>
  <si>
    <t>https://www.homedepot.com/p/Amerimax-Home-Products-24-in-x-50-ft-Cypress-over-White-Aluminum-Trim-Coil-69124239/202872722</t>
  </si>
  <si>
    <t>Sandstone Beige/White</t>
  </si>
  <si>
    <t>https://www.homedepot.com/p/Amerimax-Home-Products-018-in-x-24-in-x-50-ft-Sandstone-Beige-over-White-Aluminum-Trim-Coil-6912474/202872733</t>
  </si>
  <si>
    <t>Pearl Gray/White</t>
  </si>
  <si>
    <t>Bone Linen/White</t>
  </si>
  <si>
    <t>https://www.homedepot.com/p/Amerimax-Home-Products-24-in-x-50-ft-Bone-Linen-and-White-Aluminum-Trim-Coil-69124230/205664354</t>
  </si>
  <si>
    <t>Greystone/White</t>
  </si>
  <si>
    <t>https://www.homedepot.com/p/Amerimax-Home-Products-24-in-x-50-ft-Greystone-and-White-Aluminum-Trim-Coil-6912440/205664362</t>
  </si>
  <si>
    <t>Buckskin/White</t>
  </si>
  <si>
    <t>https://www.homedepot.com/p/Amerimax-Home-Products-018-in-x-24-in-x-50-ft-Buckskin-over-White-Aluminum-Trim-Coil-6912421/202872721</t>
  </si>
  <si>
    <t>https://www.homedepot.com/p/Amerimax-Home-Products-24-in-x-50-ft-Bright-White-Aluminum-Trim-Coil-69124182/202091135</t>
  </si>
  <si>
    <t>Autumn Yellow/White</t>
  </si>
  <si>
    <t>https://www.homedepot.com/p/Amerimax-Home-Products-24-in-x-50-ft-Autumn-Yellow-over-White-Aluminum-Trim-Coil-6912434/202882669</t>
  </si>
  <si>
    <t>Light Maple/White</t>
  </si>
  <si>
    <t>https://www.homedepot.com/p/Amerimax-Home-Products-018-in-x-24-in-x-50-ft-Light-Maple-over-White-Aluminum-Trim-Coil-69124028/202872728</t>
  </si>
  <si>
    <t>Gibraltar Building Products</t>
  </si>
  <si>
    <t>2108XL-10</t>
  </si>
  <si>
    <t>Smooth Finish</t>
  </si>
  <si>
    <t>Corner</t>
  </si>
  <si>
    <t>white</t>
  </si>
  <si>
    <t>https://www.homedepot.com/p/GAF-WeatherSide-12-in-Individual-Aluminum-Corner-Piece-2384/202019848</t>
  </si>
  <si>
    <t>2110XL-10</t>
  </si>
  <si>
    <t>https://www.homedepot.com/p/Gibraltar-Building-Products-13-in-x-4-5-in-x-0-9-ft-Smooth-Aluminum-Primed-XL-Siding-Corner-Moulding-2110XL-10/317156913</t>
  </si>
  <si>
    <t>12HW-10</t>
  </si>
  <si>
    <t>Primed Woodgrain Finish</t>
  </si>
  <si>
    <t>https://www.homedepot.com/p/Gibraltar-Building-Products-12-in-x-4-5-in-x-0-9-ft-Aluminum-Primed-Woodgrain-H-Moulding-12HW-10/317148981</t>
  </si>
  <si>
    <t>Moulding</t>
  </si>
  <si>
    <t>2110XL-W-10</t>
  </si>
  <si>
    <t>Woodgrain Finish</t>
  </si>
  <si>
    <t>https://www.homedepot.com/p/Gibraltar-Building-Products-13-in-x-4-5-in-x-0-9-ft-Woodgrain-Aluminum-Primed-XL-Siding-Corner-Moulding-2110XL-W-10/317149338</t>
  </si>
  <si>
    <t>Weight</t>
  </si>
  <si>
    <t>Material $/LB</t>
  </si>
  <si>
    <t>Stucco</t>
  </si>
  <si>
    <t>Baked</t>
  </si>
  <si>
    <t>https://www.homewyse.com/services/cost_to_install_aluminum_siding.html</t>
  </si>
  <si>
    <t xml:space="preserve"> 6 - 49</t>
  </si>
  <si>
    <t>Metric_2     0.000000</t>
  </si>
  <si>
    <t>Intercept    0.158334</t>
  </si>
  <si>
    <t>Metric_1     0.031667</t>
  </si>
  <si>
    <t>Intercept    0.263004</t>
  </si>
  <si>
    <t>Metric_1     0.043000</t>
  </si>
  <si>
    <t>Intercept    1.558037</t>
  </si>
  <si>
    <t>Metric_1     0.051994</t>
  </si>
  <si>
    <t>Intercept    0.158332</t>
  </si>
  <si>
    <t>Intercept    0.2392</t>
  </si>
  <si>
    <t>Metric_1     0.0416</t>
  </si>
  <si>
    <t>Metric_2     0.0000</t>
  </si>
  <si>
    <t>Intercept    1.574998</t>
  </si>
  <si>
    <t>Metric_1     0.049167</t>
  </si>
  <si>
    <t>Intercept    0.616746</t>
  </si>
  <si>
    <t>Metric_1     0.011494</t>
  </si>
  <si>
    <t>Intercept    0.135715</t>
  </si>
  <si>
    <t>Metric_1     0.017857</t>
  </si>
  <si>
    <t>Intercept    0.136956</t>
  </si>
  <si>
    <t>Metric_1     0.008696</t>
  </si>
  <si>
    <t>2.78 - 38</t>
  </si>
  <si>
    <t>Intercept    0.156253</t>
  </si>
  <si>
    <t>Metric_1     0.003619</t>
  </si>
  <si>
    <t>Intercept    0.278882</t>
  </si>
  <si>
    <t>Metric_1     0.007040</t>
  </si>
  <si>
    <t>Intercept    0.955934</t>
  </si>
  <si>
    <t>Metric_1     0.001017</t>
  </si>
  <si>
    <t>Koni Brick Old Chicago Blanc 8.20 in. x 2.50 in. Thin Brick 10.76 sq. ft. Flats Manufactured Stone Siding KBFT-214BLC - The Home Depot</t>
  </si>
  <si>
    <t>Koni Brick Old Chicago Cafe 8.20 in. x 2.50 in. Thin Brick 10.76 sq. ft. Flats Manufactured Stone Siding KBFT-449CAFE - The Home Depot</t>
  </si>
  <si>
    <t>Brick Veneer Siding - Siding - The Home Depot</t>
  </si>
  <si>
    <t>Blanc</t>
  </si>
  <si>
    <t>Café</t>
  </si>
  <si>
    <t>Vino</t>
  </si>
  <si>
    <t>Pueblo Bonito</t>
  </si>
  <si>
    <t>Urestone Old Town 24 in. x 46-3/8 in. Faux Used Brick Panel (4-Pack) ul2600pk-70 - The Home Depot</t>
  </si>
  <si>
    <t>Intercept    0.065725</t>
  </si>
  <si>
    <t>Metric_1     0.123717</t>
  </si>
  <si>
    <t>Intercept    0.101252</t>
  </si>
  <si>
    <t>Metric_1     0.175500</t>
  </si>
  <si>
    <t>Intercept    2.7075</t>
  </si>
  <si>
    <t>Metric_1     0.2285</t>
  </si>
  <si>
    <t>https://www.lowes.com/pd/Old-Mill-Thin-Brick-Systems-Brickweb-Castle-Gate-10-5-in-x-28-in-Panel-Brick-Veneer/3736461</t>
  </si>
  <si>
    <t>Old Mill Thin Brick Systems Colonial 2.25-in x 7.625-in Boston Mill Brick Veneer Individual Piece 7.3-Sq ft in the Brick Veneer department at Lowes.com</t>
  </si>
  <si>
    <t>Old Mill Thin Brick Systems Colonial 2.25-in x 7.625-in Castle Gate Brick Veneer Individual Piece 7.3-Sq ft in the Brick Veneer department at Lowes.com</t>
  </si>
  <si>
    <t>Old Mill Thin Brick Systems Brickweb 10.5-in x 28-in Boston Mill Brick Veneer Panel 8.7-Sq ft in the Brick Veneer department at Lowes.com</t>
  </si>
  <si>
    <t>Old Mill Thin Brick Systems Brickweb 10.5-in x 28-in Rushmore Brick Veneer Panel 8.7-sq ft in the Brick Veneer department at Lowes.com</t>
  </si>
  <si>
    <t>Old Mill Thin Brick Systems Colonial 2.25-in x 7.625-in Rushmore Brick Veneer Individual Piece 7.3-Sq ft in the Brick Veneer department at Lowes.com</t>
  </si>
  <si>
    <t>Old Mill Thin Brick Systems Brickweb 10.5-in x 28-in Columbia Street Brick Veneer Panel 8.7-Sq ft in the Brick Veneer department at Lowes.com</t>
  </si>
  <si>
    <t>Z-Brick Americana 2.3-in x 8-in Americana Liberty Gray Brick Veneer Individual Piece 3.3-Sq ft in the Brick Veneer department at Lowes.com</t>
  </si>
  <si>
    <t>Brick Veneer Siding at Lowes.com</t>
  </si>
  <si>
    <t xml:space="preserve"> 3.7 - 25.8</t>
  </si>
  <si>
    <t>Z-Brick Inca 2.3-in x 8-in Inca Old Chicago Brick Veneer Individual Piece 3.5-sq ft in the Brick Veneer department at Lowes.com</t>
  </si>
  <si>
    <t>Intercept    0.106369</t>
  </si>
  <si>
    <t>Metric_1     0.146427</t>
  </si>
  <si>
    <t>Wheat</t>
  </si>
  <si>
    <t>Intercept   -0.056142</t>
  </si>
  <si>
    <t>Metric_1     0.273450</t>
  </si>
  <si>
    <t>Intercept   -0.192549</t>
  </si>
  <si>
    <t>Metric_1     0.428410</t>
  </si>
  <si>
    <t>CPI Index for adjusting costs to 2023$</t>
  </si>
  <si>
    <t>CPI</t>
  </si>
  <si>
    <t>2022$ Index</t>
  </si>
  <si>
    <t>2023*</t>
  </si>
  <si>
    <t>*CPI given for May of 2023.</t>
  </si>
  <si>
    <t>Source: Bureau of Labor Statistics</t>
  </si>
  <si>
    <t>GenStone Classic Brick 22-1/2 in. x 22-1/4 in. Veneer Siding Full Panel EACHP - The Home Depot</t>
  </si>
  <si>
    <t>GenStone Chicago Brick 22.5 in. x 22.5 in. Brick Veneer Siding Full Panel EACBHP - The Home Depot</t>
  </si>
  <si>
    <t>Half Panel</t>
  </si>
  <si>
    <t>GenStone Chicago Brick 22.5 in. x 11.75 in. Brick Veneer Siding Half Panel EACBQP - The Home Depot</t>
  </si>
  <si>
    <t>% Leakage Reduction (Calculated)</t>
  </si>
  <si>
    <t>DuctLeakagePercentReduction</t>
  </si>
  <si>
    <t>HVAC</t>
  </si>
  <si>
    <t>Ducts</t>
  </si>
  <si>
    <t>Percent leakage (pre)</t>
  </si>
  <si>
    <t>Percent leakage (post)</t>
  </si>
  <si>
    <t>Eustis</t>
  </si>
  <si>
    <t>CFM25 (pre)</t>
  </si>
  <si>
    <t>CFM25 (post)</t>
  </si>
  <si>
    <t>Mastic</t>
  </si>
  <si>
    <t>Merrit Island</t>
  </si>
  <si>
    <t>Orange City</t>
  </si>
  <si>
    <t>Lake Worth</t>
  </si>
  <si>
    <t>Deland</t>
  </si>
  <si>
    <t>Holly Hill</t>
  </si>
  <si>
    <t>Titusville</t>
  </si>
  <si>
    <t>Edgewater</t>
  </si>
  <si>
    <t>West Palm Beach</t>
  </si>
  <si>
    <t>West Melbourne</t>
  </si>
  <si>
    <t>Camillus</t>
  </si>
  <si>
    <t>Fairfield</t>
  </si>
  <si>
    <t>Benicia</t>
  </si>
  <si>
    <t>American Canyon</t>
  </si>
  <si>
    <t>San Jose</t>
  </si>
  <si>
    <t>Suisun City</t>
  </si>
  <si>
    <t>Alamo</t>
  </si>
  <si>
    <t>Alameda</t>
  </si>
  <si>
    <t>Richmond</t>
  </si>
  <si>
    <t>El Cerrito</t>
  </si>
  <si>
    <t>Mill Valley</t>
  </si>
  <si>
    <t>Pleasant Hill</t>
  </si>
  <si>
    <t>Napa</t>
  </si>
  <si>
    <t>Vacaville</t>
  </si>
  <si>
    <t>San Mateo</t>
  </si>
  <si>
    <t>San Anselmo</t>
  </si>
  <si>
    <t>Novato</t>
  </si>
  <si>
    <t>Rohnert Park</t>
  </si>
  <si>
    <t>Livermore</t>
  </si>
  <si>
    <t>Fremont</t>
  </si>
  <si>
    <t>Brentwood</t>
  </si>
  <si>
    <t>Vallejo</t>
  </si>
  <si>
    <t>Martinez</t>
  </si>
  <si>
    <t>Pleasanton</t>
  </si>
  <si>
    <t>Kentfield</t>
  </si>
  <si>
    <t>Sunnyvale</t>
  </si>
  <si>
    <t>El Sobrante</t>
  </si>
  <si>
    <t>Inca</t>
  </si>
  <si>
    <t>Menard's</t>
  </si>
  <si>
    <t>Z-BRICK® Brick Veneer (3.5 Sq. Ft.) at Menards®</t>
  </si>
  <si>
    <t>FlexeBrick Flat Brick Veneer (11 Sq Ft) at Menards®</t>
  </si>
  <si>
    <t>Soft White</t>
  </si>
  <si>
    <t>Nichiha VintageBrick™ Siding Wall Panel (9 sq. ft.) at Menards®</t>
  </si>
  <si>
    <t>Alexandria Buff</t>
  </si>
  <si>
    <t>Chicago</t>
  </si>
  <si>
    <t>https://genstone.com/products/brick/chicago/chicago-panel</t>
  </si>
  <si>
    <t>Classic</t>
  </si>
  <si>
    <t>https://genstone.com/products/brick/classic/classic-panel</t>
  </si>
  <si>
    <t>https://genstone.com/products/brick/deep-red/deep-red-panel</t>
  </si>
  <si>
    <t>https://genstone.com/products/brick/multi-color/multi-color-panel</t>
  </si>
  <si>
    <t>https://genstone.com/products/brick/white/white-panel</t>
  </si>
  <si>
    <t>Rapid Set 25 lbs. Stucco Patch 71020025 - The Home Depot</t>
  </si>
  <si>
    <t>LaHabra Allegro II 12 lb. Stucco Base 1020 - The Home Depot</t>
  </si>
  <si>
    <t>LaHabra Perma-Flex 65 lb. Fine Stucco Grade Acrylic Finish 1196 - The Home Depot</t>
  </si>
  <si>
    <t xml:space="preserve">Arylic Finish </t>
  </si>
  <si>
    <t>https://www.homewyse.com/services/cost_to_install_stucco.html</t>
  </si>
  <si>
    <t>3 Coats</t>
  </si>
  <si>
    <t xml:space="preserve">Color Patch </t>
  </si>
  <si>
    <t>LaHabra 9 lb. Exterior Stucco Color Patch #50 Crystal White 3324-00050 - The Home Depot</t>
  </si>
  <si>
    <t>LaHabra 9 lb. Exterior Stucco Color Patch #97 Pacific Sand 3324-00097 - The Home Depot</t>
  </si>
  <si>
    <t>Dove Grey</t>
  </si>
  <si>
    <t xml:space="preserve">Pacific Sand </t>
  </si>
  <si>
    <t>Santa Fe</t>
  </si>
  <si>
    <t>LaHabra 9 lbs. Exterior Stucco Color Patch 24 Santa Fe 3324-00024 - The Home Depot</t>
  </si>
  <si>
    <t xml:space="preserve">Blue Grey </t>
  </si>
  <si>
    <t>LaHabra 9 lb. Exterior Stucco Color Patch #504 Blue Grey 3324-00504 - The Home Depot</t>
  </si>
  <si>
    <t>https://www.homedepot.com/p/LaHabra-9-lb-Exterior-Stucco-Color-Patch-28-Mirage-3324-00028/205128687</t>
  </si>
  <si>
    <t>Mirage</t>
  </si>
  <si>
    <t>Saddleback</t>
  </si>
  <si>
    <t>Fallbrook</t>
  </si>
  <si>
    <t>https://www.homedepot.com/p/LaHabra-9-lb-Exterior-Stucco-Color-Patch-25-Saddleback-3324-00025/205128671</t>
  </si>
  <si>
    <t>https://www.homedepot.com/p/LaHabra-9-lb-Exterior-Stucco-Color-Patch-434-Fallbrook-3324-00434/205128861</t>
  </si>
  <si>
    <t>Pure Ivory</t>
  </si>
  <si>
    <t>https://www.homedepot.com/p/LaHabra-9-lb-Exterior-Stucco-Color-Patch-53-Pure-Ivory-3324-00053/205128715</t>
  </si>
  <si>
    <t>https://www.homedepot.com/p/LaHabra-9-lb-Exterior-Stucco-Color-Patch-278-Trabuco-3324-00278/205128847</t>
  </si>
  <si>
    <t>Trabuco</t>
  </si>
  <si>
    <t>Southern Moss</t>
  </si>
  <si>
    <t>https://www.homedepot.com/p/LaHabra-9-lb-Exterior-Stucco-Color-Patch-696-Southern-Moss-3324-00696/205128948</t>
  </si>
  <si>
    <t>https://www.homedepot.com/p/LaHabra-9-lb-Exterior-Stucco-Color-Patch-86-Sandstone-3324-00086/205128834</t>
  </si>
  <si>
    <t>https://www.homedepot.com/p/LaHabra-9-lb-Exterior-Stucco-Color-Patch-72-Adobe-3324-00072/205128768</t>
  </si>
  <si>
    <t>https://www.homedepot.com/p/LaHabra-9-lb-Exterior-Stucco-Color-Patch-215-Mesa-Verde-3324-00215/205128840</t>
  </si>
  <si>
    <t>Adobe</t>
  </si>
  <si>
    <t>Mesa Verde</t>
  </si>
  <si>
    <t>Hacienda</t>
  </si>
  <si>
    <t>Sierra Tan</t>
  </si>
  <si>
    <t>Meadowbrook</t>
  </si>
  <si>
    <t>https://www.homedepot.com/p/LaHabra-9-lb-Exterior-Stucco-Color-Patch-82-Hacienda-3324-00082/205128825</t>
  </si>
  <si>
    <t>https://www.homedepot.com/p/LaHabra-9-lb-Exterior-Stucco-Color-Patch-524-Alamo-3324-00524/205128869</t>
  </si>
  <si>
    <t>https://www.homedepot.com/p/LaHabra-9-lb-Exterior-Stucco-Color-Patch-580-Sierra-Tan-3324-00580/205128935</t>
  </si>
  <si>
    <t>https://www.homedepot.com/p/LaHabra-9-lb-Exterior-Stucco-Color-Patch-48-Meadowbrook-3324-00048/205128700</t>
  </si>
  <si>
    <t>Chablis</t>
  </si>
  <si>
    <t>Misty</t>
  </si>
  <si>
    <t>Miami Peach</t>
  </si>
  <si>
    <t>French Vanilla</t>
  </si>
  <si>
    <t>Simeon</t>
  </si>
  <si>
    <t>https://www.homedepot.com/p/LaHabra-9-lb-Exterior-Stucco-Color-Patch-34-Simeon-3324-00034/205128696</t>
  </si>
  <si>
    <t>https://www.homedepot.com/p/LaHabra-9-lb-Exterior-Stucco-Color-Patch-55-French-Vanilla-3324-00055/205128739</t>
  </si>
  <si>
    <t>https://www.homedepot.com/p/LaHabra-9-lb-Exterior-Stucco-Color-Patch-71-Miami-Peach-3324-00071/205128747</t>
  </si>
  <si>
    <t>https://www.homedepot.com/p/LaHabra-9-lb-Exterior-Stucco-Color-Patch-17-Misty-3324-00017/205128661</t>
  </si>
  <si>
    <t>https://www.homedepot.com/p/LaHabra-9-lb-Exterior-Stucco-Color-Patch-23-Aspen-3324-00023/205128675</t>
  </si>
  <si>
    <t>https://www.homedepot.com/p/LaHabra-9-lb-Exterior-Stucco-Color-Patch-12-Chablis-3324-00012/205110658</t>
  </si>
  <si>
    <t>NA</t>
  </si>
  <si>
    <t>R-21</t>
  </si>
  <si>
    <t>LiteForm® 6" Straight Block Insulated Concrete Form</t>
  </si>
  <si>
    <t>Model Number: LF06. 16" high x 48" long. Foam is 2.5" thick </t>
  </si>
  <si>
    <t>LiteForm® 6" Straight Block Insulated Concrete Form at Menards®</t>
  </si>
  <si>
    <t>Regression?</t>
  </si>
  <si>
    <t>2.7 - 31</t>
  </si>
  <si>
    <t>1.0 - 20</t>
  </si>
  <si>
    <t>component2</t>
  </si>
  <si>
    <t>Duct Sealing</t>
  </si>
  <si>
    <t xml:space="preserve"> 2023$/sqft</t>
  </si>
  <si>
    <t>Cost Metric</t>
  </si>
  <si>
    <t>Total Cost (2023$)</t>
  </si>
  <si>
    <t>Bounds Metric 1 (% Leak Reduction):</t>
  </si>
  <si>
    <t>Intercept    0.745185</t>
  </si>
  <si>
    <t>Metric_1     0.706723</t>
  </si>
  <si>
    <t>Intercept    0.375685</t>
  </si>
  <si>
    <t>Metric_1     0.298588</t>
  </si>
  <si>
    <t>Intercept    0.195588</t>
  </si>
  <si>
    <t>Metric_1     0.151667</t>
  </si>
  <si>
    <t>Performance Metric</t>
  </si>
  <si>
    <t>1.2 - 17.6</t>
  </si>
  <si>
    <t>Leakage Reduction</t>
  </si>
  <si>
    <t>Percent</t>
  </si>
  <si>
    <t>SIP Panel Thickness (in)</t>
  </si>
  <si>
    <t>R / in</t>
  </si>
  <si>
    <t>R value estimated using retail data R-value/thickness</t>
  </si>
  <si>
    <t>Cost Variation Considerations</t>
  </si>
  <si>
    <t xml:space="preserve">Cost Variation Considerations </t>
  </si>
  <si>
    <t>Zip</t>
  </si>
  <si>
    <t>Cost Driver Considerations</t>
  </si>
  <si>
    <t>Crawl Space</t>
  </si>
  <si>
    <t>$ total</t>
  </si>
  <si>
    <t>Prevailing local wages, Drive time, Local code requirements, Roof slope, Access, Presence/condition/type of existing insulation, Existing construction and materials, Moisture issues present, Moisture issues present, Condition of existing electrical system, Presence of hazardous materials</t>
  </si>
  <si>
    <t>Prevailing local wages, Drive time, Local code requirements, Attic height, Roof slope, Access, Presence/condition/type of existing insulation, Existing construction and materials, Existing construction and materials, Moisture issues present, Condition of existing electrical systemAdequacy of existing ventilation, Presence of hazardous materials</t>
  </si>
  <si>
    <t>Prevailing local wages, Drive time, Local code requirements, Access, Presence/condition/type of existing insulation, Existing construction and materials, Moisture issues present, Presence of hazardous materials, Presence of hazardous materials, Extent of preparation, Accommodation for termite inspections</t>
  </si>
  <si>
    <t>Prevailing local wages, Drive time, Local code requirements, Existing construction and materials, Presence of hazardous materials</t>
  </si>
  <si>
    <t>Low quantity of retailer diversity</t>
  </si>
  <si>
    <t>sq_ft_home</t>
  </si>
  <si>
    <t>year_built</t>
  </si>
  <si>
    <t>age_home_years</t>
  </si>
  <si>
    <t>Low E, Argon</t>
  </si>
  <si>
    <t>Low E, Air</t>
  </si>
  <si>
    <t>Standard, Argon</t>
  </si>
  <si>
    <t>Standard, Air</t>
  </si>
  <si>
    <t xml:space="preserve">90th Percentile </t>
  </si>
  <si>
    <t xml:space="preserve"> 12 - 46</t>
  </si>
  <si>
    <t>Assumed Square Feet</t>
  </si>
  <si>
    <t>https://homeguide.com/costs/crawl-space-insulation-cost</t>
  </si>
  <si>
    <t>https://homeguide.com/costs/attic-insulation-cost</t>
  </si>
  <si>
    <t>Homeguide</t>
  </si>
  <si>
    <t>https://www.homewyse.com/services/cost_to_insulate_crawl_space.html</t>
  </si>
  <si>
    <t>https://www.homewyse.com/services/cost_to_insulate_attic.html</t>
  </si>
  <si>
    <t>Overall Home</t>
  </si>
  <si>
    <t>https://www.homewyse.com/services/cost_to_insulate_your_home.html</t>
  </si>
  <si>
    <t>https://www.homewyse.com/services/cost_to_install_batt_wall_insulation.html</t>
  </si>
  <si>
    <t xml:space="preserve">Wall </t>
  </si>
  <si>
    <t>Intercept    0.670235</t>
  </si>
  <si>
    <t>Metric_1     0.144589</t>
  </si>
  <si>
    <t>Intercept    0.490991</t>
  </si>
  <si>
    <t>Metric_1     0.101739</t>
  </si>
  <si>
    <t>Intercept    0.536513</t>
  </si>
  <si>
    <t>Metric_1     0.026871</t>
  </si>
  <si>
    <t>Intercept   -0.042857</t>
  </si>
  <si>
    <t>Metric_1     0.291785</t>
  </si>
  <si>
    <t>Intercept    0.072906</t>
  </si>
  <si>
    <t>Metric_1     0.131428</t>
  </si>
  <si>
    <t>Intercept    0.130474</t>
  </si>
  <si>
    <t>Metric_1     0.068808</t>
  </si>
  <si>
    <t>Intercept    0.457668</t>
  </si>
  <si>
    <t>Metric_1     1.333659</t>
  </si>
  <si>
    <t>Intercept    0.227373</t>
  </si>
  <si>
    <t>Metric_1     0.894236</t>
  </si>
  <si>
    <t>Intercept    0.140081</t>
  </si>
  <si>
    <t>Metric_1     0.480450</t>
  </si>
  <si>
    <t>Intercept    0.874814</t>
  </si>
  <si>
    <t>Metric_1     0.785978</t>
  </si>
  <si>
    <t>Intercept    0.297935</t>
  </si>
  <si>
    <t>Metric_1     0.867979</t>
  </si>
  <si>
    <t>Intercept    0.252077</t>
  </si>
  <si>
    <t>Metric_1     0.107294</t>
  </si>
  <si>
    <t>Air Sealing (Less than 40% reduction)</t>
  </si>
  <si>
    <t>Air Sealing (Greater than 40% reduction)</t>
  </si>
  <si>
    <t>Median U-factor</t>
  </si>
  <si>
    <t>0.03-0.40</t>
  </si>
  <si>
    <t>0.40-0.92</t>
  </si>
  <si>
    <t>Duct Insulation:</t>
  </si>
  <si>
    <t>Total installed cost</t>
  </si>
  <si>
    <t>No regression ran. High SS, Low Source Diversity</t>
  </si>
  <si>
    <t>No regression ran. Medium SS, Low Source Diversity</t>
  </si>
  <si>
    <t>No regression ran. Low SS, Low Source Diversity</t>
  </si>
  <si>
    <t>Qualitative Rank</t>
  </si>
  <si>
    <t>Low SS, Medium R2, Low Source Diversity</t>
  </si>
  <si>
    <t>LBNL data. No clear sources. Data inflated to 2023. High SS, Low R2</t>
  </si>
  <si>
    <t>No regression ran. Medium SS, Medium Source Diversity</t>
  </si>
  <si>
    <t>No regression ran. Medium SS, High Source Diversity</t>
  </si>
  <si>
    <t>No regression ran. Low SS, Medium Source Diversity</t>
  </si>
  <si>
    <t>Medium SS, Medium R2, Medium Source Diversity</t>
  </si>
  <si>
    <t>No regression ran. Low SS, High Source Diversity</t>
  </si>
  <si>
    <t>High SS, Medium R2, Low Source Diversity</t>
  </si>
  <si>
    <t xml:space="preserve">ICF </t>
  </si>
  <si>
    <t>No regression ran. Small SS, Medium Source Diversity</t>
  </si>
  <si>
    <t>Attic Insulation</t>
  </si>
  <si>
    <t>High price estimate</t>
  </si>
  <si>
    <t>Low price estimate</t>
  </si>
  <si>
    <t>LBNL data. No clear sources. Data inflated to 2023. Medium SS, Low R2</t>
  </si>
  <si>
    <t>&lt;40% Reduction</t>
  </si>
  <si>
    <t>&gt;40% Reduction</t>
  </si>
  <si>
    <t>High SS, Medium R2, High Source Diversity</t>
  </si>
  <si>
    <t>Low SS, High R2, High Source Diversity</t>
  </si>
  <si>
    <t>Medium SS, Medium R2, High Source Diversity</t>
  </si>
  <si>
    <t>Low SS, Medium R2, High Source Diversity</t>
  </si>
  <si>
    <t>Expected labor premium for Crawlspace</t>
  </si>
  <si>
    <t>Expected labor premium for Attic</t>
  </si>
  <si>
    <t>Crawlspace vs Regular Wall</t>
  </si>
  <si>
    <t>Attic vs Regular Wall</t>
  </si>
  <si>
    <t>Average</t>
  </si>
  <si>
    <t>*Comparison is standardized for material type (fiberglass batt) installation labor from Homewyse.</t>
  </si>
  <si>
    <t>LOW</t>
  </si>
  <si>
    <t>HIGH</t>
  </si>
  <si>
    <t xml:space="preserve">Measure </t>
  </si>
  <si>
    <t>Zip Code</t>
  </si>
  <si>
    <t xml:space="preserve">Material Cost ($/sqft) </t>
  </si>
  <si>
    <t>Labor Cost ($/sqft)</t>
  </si>
  <si>
    <t>NY - 10162</t>
  </si>
  <si>
    <t>NY - 13045</t>
  </si>
  <si>
    <t>IL – 60654</t>
  </si>
  <si>
    <t>IL - 62824</t>
  </si>
  <si>
    <t>TX - 77081</t>
  </si>
  <si>
    <t>TX - 75803</t>
  </si>
  <si>
    <t>GA - 30332</t>
  </si>
  <si>
    <t>GA - 31021</t>
  </si>
  <si>
    <t>CA - 90057</t>
  </si>
  <si>
    <t>CA – 95482</t>
  </si>
  <si>
    <t>Removal Labor ($/pipe)</t>
  </si>
  <si>
    <t>80*</t>
  </si>
  <si>
    <t>*Extrapolated from board feet data from 10 data points</t>
  </si>
  <si>
    <t>*Extrapolated from board feet data from 46 data points</t>
  </si>
  <si>
    <t xml:space="preserve">Prevailing local wages, drive time, local code requirements, attic height, roof slope, access, presence/condition/type of existing insulation, existing construction and materials, adequacy of existing ventilation, presence of hazardous materials, nature/size of leaks </t>
  </si>
  <si>
    <t>Calculated</t>
  </si>
  <si>
    <t>Prevailing local wages, Drive time, Local code requirements, Access, Existing construction and materials, Moisture issues present, Presence of hazardous materials, Extent of preparation</t>
  </si>
  <si>
    <t>Intercept   -0.003062</t>
  </si>
  <si>
    <t>Metric_1     0.618535</t>
  </si>
  <si>
    <t>Intercept    0.031017</t>
  </si>
  <si>
    <t>Metric_1     0.301055</t>
  </si>
  <si>
    <t>Intercept    0.000004</t>
  </si>
  <si>
    <t>Metric_1     0.209286</t>
  </si>
  <si>
    <t>274*</t>
  </si>
  <si>
    <t>Prevailing local wages, Drive time, Local code requirements, Access, Presence/condition/type of existing insulation, Existing construction and materials, Moisture issues present, Adequacy of existing ventilation, Presence of hazardous materials, Extent of preparation</t>
  </si>
  <si>
    <t>Data inflated to 2023. High SS, Low R2</t>
  </si>
  <si>
    <t>Data inflated to 2023. Medium SS, Low R2</t>
  </si>
  <si>
    <t>0 - 0.97</t>
  </si>
  <si>
    <t xml:space="preserve"> 1, 2</t>
  </si>
  <si>
    <t>Prevailing local wages, Drive time, Local code requirements, Access, Moisture issues present, Existing construction and materials</t>
  </si>
  <si>
    <t>Retrofit labor is assumed to be the same as new construction</t>
  </si>
  <si>
    <t>Retrofit contains additional fixed cost of $0.39 per square feet for removal of existing drywall</t>
  </si>
  <si>
    <t>Prevailing local wages, Drive time, Local code requirements, Access, Presence/condition/type of existing insulation, Existing construction and materials, Moisture issues present, Adequacy of existing ventilation, Adequacy of existing ventilation, Presence of hazardous materials, Extent of preparation, Accommodation for termite inspections, Crawlspace height</t>
  </si>
  <si>
    <t>Prevailing local wages, Drive time, Local code requirements, Access, Presence/condition/type of existing insulation, Existing construction and materials, Moisture issues present, Adequacy of existing ventilation, Presence of hazardous materials, Extent of preparation, Perimeter excavation needs</t>
  </si>
  <si>
    <t>Assumes an R-23 ICF product</t>
  </si>
  <si>
    <t>Insulating Form</t>
  </si>
  <si>
    <t>Insulated Forms</t>
  </si>
  <si>
    <t>1.44 - 10</t>
  </si>
  <si>
    <t>5.5 - 42</t>
  </si>
  <si>
    <t>Measure</t>
  </si>
  <si>
    <t>Sub Measure</t>
  </si>
  <si>
    <t>Sample Size</t>
  </si>
  <si>
    <t>R2</t>
  </si>
  <si>
    <t>Sources</t>
  </si>
  <si>
    <t>Rigid ISO</t>
  </si>
  <si>
    <t>Rigid XPS</t>
  </si>
  <si>
    <t>Rigid EPS</t>
  </si>
  <si>
    <t>Spray - Open Cell</t>
  </si>
  <si>
    <t>Spray - Closed</t>
  </si>
  <si>
    <t>LBNL</t>
  </si>
  <si>
    <t>Fiberglass - Exterior</t>
  </si>
  <si>
    <t>Wood - Exterior</t>
  </si>
  <si>
    <t>Fiberglass - Patio</t>
  </si>
  <si>
    <t>Wood - Patio</t>
  </si>
  <si>
    <t xml:space="preserve">Duct </t>
  </si>
  <si>
    <t>Sealing</t>
  </si>
  <si>
    <t>Qualitative Ranks</t>
  </si>
  <si>
    <t>Low SS, Low R2, High Source Diversity</t>
  </si>
  <si>
    <t>Medium SS, High R2, High Source Diversity</t>
  </si>
  <si>
    <t>Prevailing local wages, Drive time, Local code requirements, Attic height, Roof slope, Access, Presence/condition/type of existing insulation, Existing construction and materials, Moisture issues present, Presence of hazardous materials, Nature/size of leaks, Crawlspace height</t>
  </si>
  <si>
    <t>Prevailing local wages, Drive time, Local code requirements, Attic height, Roof slope, Access, Presence/condition/type of existing insulation, Existing construction and materials, Moisture issues present, Presence of hazardous materials</t>
  </si>
  <si>
    <t>Removal Hours</t>
  </si>
  <si>
    <t>Material $ / SF</t>
  </si>
  <si>
    <t>Labor $ / SF</t>
  </si>
  <si>
    <t>Total $ / SF</t>
  </si>
  <si>
    <t>Equipment $ / SF</t>
  </si>
  <si>
    <t xml:space="preserve"> Ext. Mat. $ / SF</t>
  </si>
  <si>
    <t xml:space="preserve">Ext. Labor $ / SF </t>
  </si>
  <si>
    <t>Ext. Equip. $ / SF</t>
  </si>
  <si>
    <t>Ext. Total $ / SF</t>
  </si>
  <si>
    <t>Mat. O&amp;P $ / SF</t>
  </si>
  <si>
    <t>Labor O&amp;P $ / SF</t>
  </si>
  <si>
    <t>Equip. O&amp;P $ / SF</t>
  </si>
  <si>
    <t xml:space="preserve"> Total O&amp;P $ / SF</t>
  </si>
  <si>
    <t>Ext. Mat. O&amp;P $ / SF</t>
  </si>
  <si>
    <t xml:space="preserve"> Ext. Labor O&amp;P $ / SF</t>
  </si>
  <si>
    <t>Ext. Equip. O&amp;P $ / SF</t>
  </si>
  <si>
    <t>Ext. Total O&amp;P $ / SF</t>
  </si>
  <si>
    <t>-</t>
  </si>
  <si>
    <t>Prevailing local wages, Drive time, Local code requirements, Access, Presence/condition/type of existing insulation, Existing construction and materials, Moisture issues present, Presence of hazardous materials, Extent of preparation, Accommodation for termite inspections</t>
  </si>
  <si>
    <t>High SS, Low R2</t>
  </si>
  <si>
    <t>Duct</t>
  </si>
  <si>
    <t>New Construction adder</t>
  </si>
  <si>
    <t>Retrofit adder</t>
  </si>
  <si>
    <t>CF8-2-48x125</t>
  </si>
  <si>
    <t>https://www.homedepot.com/p/UniTherm-Ceramic-Fiber-Insulation-Blanket-Roll-6-Density-2300-F-2-in-x-48-in-x-12-5-ft-CF8-2-48x125/309948409</t>
  </si>
  <si>
    <t xml:space="preserve"> Master Flow </t>
  </si>
  <si>
    <t xml:space="preserve"> Frost King </t>
  </si>
  <si>
    <t xml:space="preserve"> UniTherm </t>
  </si>
  <si>
    <t>Date</t>
  </si>
  <si>
    <t>Sleeve</t>
  </si>
  <si>
    <t>2.1 - 8</t>
  </si>
  <si>
    <t>Intercept    2.463614</t>
  </si>
  <si>
    <t>Metric_1     0.041077</t>
  </si>
  <si>
    <t>Intercept    1.169445</t>
  </si>
  <si>
    <t>Metric_1     0.163885</t>
  </si>
  <si>
    <t>Intercept   -0.156496</t>
  </si>
  <si>
    <t>Metric_1     0.250999</t>
  </si>
  <si>
    <t>Storm</t>
  </si>
  <si>
    <t>RSMenas, Homewyse</t>
  </si>
  <si>
    <t>RSMeans, Homewyse</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</si>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</sst>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_(&quot;$&quot;* #,##0_);_(&quot;$&quot;* \(#,##0\);_(&quot;$&quot;* &quot;-&quot;??_);_(@_)"/>
    <numFmt numFmtId="167" formatCode="0.00000"/>
    <numFmt numFmtId="168" formatCode="0.000"/>
    <numFmt numFmtId="169" formatCode="0.0"/>
    <numFmt numFmtId="170" formatCode="0.0000"/>
  </numFmts>
  <fonts count="45" x14ac:knownFonts="1">
    <font>
      <sz val="11"/>
      <color theme="1"/>
      <name val="Calibri"/>
      <family val="2"/>
      <scheme val="minor"/>
    </font>
    <font>
      <b/>
      <sz val="11"/>
      <color theme="0"/>
      <name val="Calibri"/>
      <family val="2"/>
      <scheme val="minor"/>
    </font>
    <font>
      <b/>
      <sz val="11"/>
      <color theme="1"/>
      <name val="Calibri"/>
      <family val="2"/>
      <scheme val="minor"/>
    </font>
    <font>
      <b/>
      <sz val="8"/>
      <color theme="1"/>
      <name val="Arial"/>
      <family val="2"/>
    </font>
    <font>
      <sz val="11"/>
      <name val="Calibri"/>
      <family val="2"/>
      <scheme val="minor"/>
    </font>
    <font>
      <u/>
      <sz val="11"/>
      <color theme="10"/>
      <name val="Calibri"/>
      <family val="2"/>
      <scheme val="minor"/>
    </font>
    <font>
      <b/>
      <u/>
      <sz val="11"/>
      <color theme="1"/>
      <name val="Calibri"/>
      <family val="2"/>
      <scheme val="minor"/>
    </font>
    <font>
      <b/>
      <i/>
      <u/>
      <sz val="11"/>
      <color theme="1"/>
      <name val="Calibri"/>
      <family val="2"/>
      <scheme val="minor"/>
    </font>
    <font>
      <b/>
      <i/>
      <u/>
      <sz val="11"/>
      <color theme="0"/>
      <name val="Calibri"/>
      <family val="2"/>
      <scheme val="minor"/>
    </font>
    <font>
      <b/>
      <sz val="14"/>
      <color theme="1"/>
      <name val="Calibri"/>
      <family val="2"/>
      <scheme val="minor"/>
    </font>
    <font>
      <sz val="11"/>
      <color theme="1"/>
      <name val="Calibri"/>
      <family val="2"/>
      <scheme val="minor"/>
    </font>
    <font>
      <b/>
      <sz val="8"/>
      <color rgb="FFFFFFFF"/>
      <name val="Arial"/>
      <family val="2"/>
    </font>
    <font>
      <sz val="8"/>
      <name val="Arial"/>
      <family val="2"/>
    </font>
    <font>
      <b/>
      <sz val="14"/>
      <name val="Calibri"/>
      <family val="2"/>
      <scheme val="minor"/>
    </font>
    <font>
      <b/>
      <vertAlign val="superscript"/>
      <sz val="11"/>
      <color theme="1"/>
      <name val="Calibri"/>
      <family val="2"/>
      <scheme val="minor"/>
    </font>
    <font>
      <sz val="9"/>
      <color theme="1"/>
      <name val="Calibri"/>
      <family val="2"/>
      <scheme val="minor"/>
    </font>
    <font>
      <sz val="11"/>
      <color rgb="FFFF0000"/>
      <name val="Calibri"/>
      <family val="2"/>
      <scheme val="minor"/>
    </font>
    <font>
      <b/>
      <u/>
      <sz val="11"/>
      <color theme="0"/>
      <name val="Calibri"/>
      <family val="2"/>
      <scheme val="minor"/>
    </font>
    <font>
      <sz val="9"/>
      <color indexed="81"/>
      <name val="Tahoma"/>
      <family val="2"/>
    </font>
    <font>
      <b/>
      <sz val="9"/>
      <color indexed="81"/>
      <name val="Tahoma"/>
      <family val="2"/>
    </font>
    <font>
      <sz val="11"/>
      <color theme="0"/>
      <name val="Calibri"/>
      <family val="2"/>
      <scheme val="minor"/>
    </font>
    <font>
      <sz val="11"/>
      <color rgb="FF000000"/>
      <name val="Calibri"/>
      <family val="2"/>
      <scheme val="minor"/>
    </font>
    <font>
      <sz val="10"/>
      <color theme="1"/>
      <name val="Arial"/>
      <family val="2"/>
    </font>
    <font>
      <b/>
      <i/>
      <sz val="10"/>
      <color theme="0"/>
      <name val="Arial"/>
      <family val="2"/>
    </font>
    <font>
      <b/>
      <sz val="10"/>
      <color theme="0"/>
      <name val="Arial"/>
      <family val="2"/>
    </font>
    <font>
      <sz val="8"/>
      <name val="Calibri"/>
      <family val="2"/>
      <scheme val="minor"/>
    </font>
    <font>
      <sz val="11"/>
      <color indexed="8"/>
      <name val="Calibri"/>
      <family val="2"/>
      <scheme val="minor"/>
    </font>
    <font>
      <b/>
      <sz val="11"/>
      <name val="Calibri"/>
      <family val="2"/>
      <scheme val="minor"/>
    </font>
    <font>
      <b/>
      <sz val="8"/>
      <color theme="0"/>
      <name val="Arial"/>
      <family val="2"/>
    </font>
    <font>
      <sz val="8"/>
      <color theme="1"/>
      <name val="Arial"/>
      <family val="2"/>
    </font>
    <font>
      <u/>
      <sz val="8"/>
      <color theme="10"/>
      <name val="Arial"/>
      <family val="2"/>
    </font>
    <font>
      <sz val="9"/>
      <name val="Calibri"/>
      <family val="2"/>
      <scheme val="minor"/>
    </font>
    <font>
      <b/>
      <sz val="9"/>
      <name val="Calibri"/>
      <family val="2"/>
      <scheme val="minor"/>
    </font>
    <font>
      <i/>
      <sz val="11"/>
      <color theme="1"/>
      <name val="Calibri"/>
      <family val="2"/>
      <scheme val="minor"/>
    </font>
    <font>
      <b/>
      <sz val="11"/>
      <color rgb="FF000000"/>
      <name val="Calibri"/>
      <family val="2"/>
      <scheme val="minor"/>
    </font>
    <font>
      <sz val="8"/>
      <color rgb="FF000000"/>
      <name val="Arial"/>
      <family val="2"/>
    </font>
    <font>
      <sz val="10"/>
      <color rgb="FF040C28"/>
      <name val="Roboto"/>
    </font>
    <font>
      <sz val="8"/>
      <color indexed="8"/>
      <name val="Arial"/>
      <family val="2"/>
    </font>
    <font>
      <b/>
      <sz val="8"/>
      <color rgb="FFFFFFFF"/>
      <name val="Arial"/>
      <family val="2"/>
    </font>
    <font>
      <b/>
      <sz val="11"/>
      <color rgb="FFFF0000"/>
      <name val="Calibri"/>
      <family val="2"/>
      <scheme val="minor"/>
    </font>
    <font>
      <sz val="11"/>
      <color rgb="FF000000"/>
      <name val="Calibri"/>
      <family val="2"/>
    </font>
    <font>
      <sz val="8"/>
      <color theme="1"/>
      <name val="Arial"/>
      <family val="2"/>
    </font>
    <font>
      <u/>
      <sz val="11"/>
      <color theme="1"/>
      <name val="Calibri"/>
      <family val="2"/>
      <scheme val="minor"/>
    </font>
    <font>
      <b/>
      <sz val="11"/>
      <color theme="0"/>
      <name val="Arial"/>
      <family val="2"/>
    </font>
    <font>
      <b/>
      <sz val="8"/>
      <color rgb="FFFFFFFF"/>
      <name val="Arial"/>
      <family val="2"/>
    </font>
  </fonts>
  <fills count="23">
    <fill>
      <patternFill patternType="none"/>
    </fill>
    <fill>
      <patternFill patternType="gray125"/>
    </fill>
    <fill>
      <patternFill patternType="solid">
        <fgColor theme="4"/>
        <bgColor indexed="64"/>
      </patternFill>
    </fill>
    <fill>
      <patternFill patternType="solid">
        <fgColor theme="0" tint="-0.249977111117893"/>
        <bgColor indexed="64"/>
      </patternFill>
    </fill>
    <fill>
      <patternFill patternType="solid">
        <fgColor rgb="FF002060"/>
        <bgColor indexed="64"/>
      </patternFill>
    </fill>
    <fill>
      <patternFill patternType="solid">
        <fgColor rgb="FF00B050"/>
        <bgColor indexed="64"/>
      </patternFill>
    </fill>
    <fill>
      <patternFill patternType="solid">
        <fgColor theme="1" tint="0.499984740745262"/>
        <bgColor indexed="64"/>
      </patternFill>
    </fill>
    <fill>
      <patternFill patternType="solid">
        <fgColor rgb="FFC00000"/>
        <bgColor indexed="64"/>
      </patternFill>
    </fill>
    <fill>
      <patternFill patternType="solid">
        <fgColor rgb="FF555759"/>
        <bgColor indexed="64"/>
      </patternFill>
    </fill>
    <fill>
      <patternFill patternType="solid">
        <fgColor theme="4"/>
        <bgColor theme="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bgColor theme="4" tint="0.79998168889431442"/>
      </patternFill>
    </fill>
    <fill>
      <patternFill patternType="solid">
        <fgColor theme="1"/>
        <bgColor indexed="64"/>
      </patternFill>
    </fill>
    <fill>
      <patternFill patternType="solid">
        <fgColor theme="1"/>
        <bgColor theme="4" tint="0.79998168889431442"/>
      </patternFill>
    </fill>
    <fill>
      <patternFill patternType="solid">
        <fgColor theme="8" tint="0.79998168889431442"/>
        <bgColor theme="4" tint="0.79998168889431442"/>
      </patternFill>
    </fill>
    <fill>
      <patternFill patternType="solid">
        <fgColor rgb="FF4472C4"/>
        <bgColor rgb="FF000000"/>
      </patternFill>
    </fill>
    <fill>
      <patternFill patternType="solid">
        <fgColor rgb="FFFFFF00"/>
        <bgColor indexed="64"/>
      </patternFill>
    </fill>
    <fill>
      <patternFill patternType="solid">
        <fgColor rgb="FFD9E1F2"/>
        <bgColor rgb="FFD9E1F2"/>
      </patternFill>
    </fill>
    <fill>
      <patternFill patternType="solid">
        <fgColor rgb="FF92D050"/>
        <bgColor indexed="64"/>
      </patternFill>
    </fill>
    <fill>
      <patternFill patternType="solid">
        <fgColor theme="7" tint="0.79998168889431442"/>
        <bgColor indexed="64"/>
      </patternFill>
    </fill>
    <fill>
      <patternFill patternType="solid">
        <fgColor theme="9" tint="0.59999389629810485"/>
        <bgColor indexed="64"/>
      </patternFill>
    </fill>
  </fills>
  <borders count="45">
    <border>
      <left/>
      <right/>
      <top/>
      <bottom/>
      <diagonal/>
    </border>
    <border>
      <left/>
      <right style="medium">
        <color indexed="64"/>
      </right>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rgb="FF8EA9DB"/>
      </left>
      <right/>
      <top style="thin">
        <color rgb="FF8EA9DB"/>
      </top>
      <bottom style="thin">
        <color rgb="FF8EA9DB"/>
      </bottom>
      <diagonal/>
    </border>
    <border>
      <left/>
      <right/>
      <top style="thin">
        <color rgb="FF8EA9DB"/>
      </top>
      <bottom style="thin">
        <color rgb="FF8EA9DB"/>
      </bottom>
      <diagonal/>
    </border>
    <border>
      <left/>
      <right style="thin">
        <color rgb="FF8EA9DB"/>
      </right>
      <top style="thin">
        <color rgb="FF8EA9DB"/>
      </top>
      <bottom style="thin">
        <color rgb="FF8EA9DB"/>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s>
  <cellStyleXfs count="9">
    <xf numFmtId="0" fontId="0" fillId="0" borderId="0"/>
    <xf numFmtId="0" fontId="3" fillId="2" borderId="0" applyNumberFormat="0">
      <alignment vertical="center" wrapText="1"/>
    </xf>
    <xf numFmtId="0" fontId="5" fillId="0" borderId="0" applyNumberForma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1" fillId="8" borderId="7" applyNumberFormat="0">
      <alignment vertical="center" wrapText="1"/>
    </xf>
    <xf numFmtId="0" fontId="12" fillId="0" borderId="8" applyNumberFormat="0" applyFill="0"/>
    <xf numFmtId="43" fontId="10" fillId="0" borderId="0" applyFont="0" applyFill="0" applyBorder="0" applyAlignment="0" applyProtection="0"/>
    <xf numFmtId="0" fontId="26" fillId="0" borderId="0"/>
  </cellStyleXfs>
  <cellXfs count="461">
    <xf numFmtId="0" fontId="0" fillId="0" borderId="0" xfId="0"/>
    <xf numFmtId="0" fontId="0" fillId="0" borderId="0" xfId="0" applyAlignment="1">
      <alignment horizontal="right"/>
    </xf>
    <xf numFmtId="2" fontId="0" fillId="0" borderId="0" xfId="0" applyNumberFormat="1"/>
    <xf numFmtId="1" fontId="0" fillId="0" borderId="0" xfId="0" applyNumberFormat="1"/>
    <xf numFmtId="0" fontId="5" fillId="0" borderId="0" xfId="2"/>
    <xf numFmtId="0" fontId="2" fillId="3" borderId="3" xfId="0" applyFont="1" applyFill="1" applyBorder="1"/>
    <xf numFmtId="0" fontId="2" fillId="3" borderId="3" xfId="0" applyFont="1" applyFill="1" applyBorder="1" applyAlignment="1">
      <alignment horizontal="center"/>
    </xf>
    <xf numFmtId="0" fontId="1" fillId="4" borderId="4" xfId="0" applyFont="1" applyFill="1" applyBorder="1"/>
    <xf numFmtId="0" fontId="1" fillId="4" borderId="3" xfId="0" applyFont="1" applyFill="1" applyBorder="1" applyAlignment="1">
      <alignment horizontal="center"/>
    </xf>
    <xf numFmtId="0" fontId="1" fillId="5" borderId="4" xfId="0" applyFont="1" applyFill="1" applyBorder="1"/>
    <xf numFmtId="0" fontId="1" fillId="5" borderId="3" xfId="0" applyFont="1" applyFill="1" applyBorder="1" applyAlignment="1">
      <alignment horizontal="center"/>
    </xf>
    <xf numFmtId="0" fontId="1" fillId="6" borderId="4" xfId="0" applyFont="1" applyFill="1" applyBorder="1" applyAlignment="1">
      <alignment horizontal="center"/>
    </xf>
    <xf numFmtId="0" fontId="1" fillId="6" borderId="3" xfId="0" applyFont="1" applyFill="1" applyBorder="1" applyAlignment="1">
      <alignment horizontal="center"/>
    </xf>
    <xf numFmtId="0" fontId="1" fillId="6" borderId="5" xfId="0" applyFont="1" applyFill="1" applyBorder="1" applyAlignment="1">
      <alignment horizontal="center"/>
    </xf>
    <xf numFmtId="0" fontId="1" fillId="2" borderId="3" xfId="0" applyFont="1" applyFill="1" applyBorder="1" applyAlignment="1">
      <alignment horizontal="center"/>
    </xf>
    <xf numFmtId="0" fontId="0" fillId="0" borderId="3" xfId="0" applyBorder="1"/>
    <xf numFmtId="6" fontId="0" fillId="0" borderId="1" xfId="0" applyNumberFormat="1" applyBorder="1"/>
    <xf numFmtId="0" fontId="0" fillId="0" borderId="1" xfId="0" applyBorder="1" applyAlignment="1">
      <alignment horizontal="right"/>
    </xf>
    <xf numFmtId="0" fontId="0" fillId="0" borderId="2" xfId="0" applyBorder="1"/>
    <xf numFmtId="0" fontId="0" fillId="0" borderId="3" xfId="0" applyBorder="1" applyAlignment="1">
      <alignment horizontal="left"/>
    </xf>
    <xf numFmtId="6" fontId="0" fillId="0" borderId="5" xfId="0" applyNumberFormat="1" applyBorder="1"/>
    <xf numFmtId="0" fontId="0" fillId="0" borderId="3" xfId="0" applyBorder="1" applyAlignment="1">
      <alignment horizontal="right"/>
    </xf>
    <xf numFmtId="0" fontId="0" fillId="0" borderId="5" xfId="0" applyBorder="1" applyAlignment="1">
      <alignment horizontal="right"/>
    </xf>
    <xf numFmtId="0" fontId="0" fillId="0" borderId="4" xfId="0" applyBorder="1"/>
    <xf numFmtId="0" fontId="9" fillId="0" borderId="0" xfId="0" applyFont="1"/>
    <xf numFmtId="0" fontId="0" fillId="0" borderId="6" xfId="0" applyBorder="1"/>
    <xf numFmtId="0" fontId="0" fillId="0" borderId="0" xfId="0" applyAlignment="1">
      <alignment horizontal="center"/>
    </xf>
    <xf numFmtId="0" fontId="13" fillId="0" borderId="0" xfId="2" applyFont="1"/>
    <xf numFmtId="0" fontId="6" fillId="0" borderId="0" xfId="0" applyFont="1" applyAlignment="1">
      <alignment wrapText="1"/>
    </xf>
    <xf numFmtId="1" fontId="6" fillId="0" borderId="0" xfId="0" applyNumberFormat="1" applyFont="1" applyAlignment="1">
      <alignment wrapText="1"/>
    </xf>
    <xf numFmtId="0" fontId="0" fillId="0" borderId="0" xfId="0" applyAlignment="1">
      <alignment wrapText="1"/>
    </xf>
    <xf numFmtId="2" fontId="0" fillId="0" borderId="2" xfId="0" applyNumberFormat="1" applyBorder="1"/>
    <xf numFmtId="2" fontId="0" fillId="0" borderId="4" xfId="0" applyNumberFormat="1" applyBorder="1"/>
    <xf numFmtId="2" fontId="0" fillId="0" borderId="3" xfId="0" applyNumberFormat="1" applyBorder="1"/>
    <xf numFmtId="0" fontId="6" fillId="0" borderId="0" xfId="0" applyFont="1"/>
    <xf numFmtId="0" fontId="6" fillId="0" borderId="9" xfId="0" applyFont="1" applyBorder="1"/>
    <xf numFmtId="0" fontId="0" fillId="0" borderId="10" xfId="0" applyBorder="1"/>
    <xf numFmtId="0" fontId="2" fillId="0" borderId="2" xfId="0" applyFont="1" applyBorder="1" applyAlignment="1">
      <alignment horizontal="right"/>
    </xf>
    <xf numFmtId="0" fontId="0" fillId="0" borderId="0" xfId="0" applyAlignment="1">
      <alignment horizontal="left"/>
    </xf>
    <xf numFmtId="44" fontId="0" fillId="0" borderId="0" xfId="3" applyFont="1"/>
    <xf numFmtId="0" fontId="2" fillId="0" borderId="6" xfId="0" applyFont="1" applyBorder="1"/>
    <xf numFmtId="0" fontId="2" fillId="0" borderId="0" xfId="0" applyFont="1"/>
    <xf numFmtId="44" fontId="2" fillId="0" borderId="0" xfId="3" applyFont="1"/>
    <xf numFmtId="0" fontId="15" fillId="0" borderId="0" xfId="0" applyFont="1" applyAlignment="1">
      <alignment wrapText="1"/>
    </xf>
    <xf numFmtId="44" fontId="0" fillId="0" borderId="0" xfId="3" applyFont="1" applyBorder="1"/>
    <xf numFmtId="0" fontId="1" fillId="7" borderId="2" xfId="0" applyFont="1" applyFill="1" applyBorder="1" applyAlignment="1">
      <alignment horizontal="center"/>
    </xf>
    <xf numFmtId="0" fontId="1" fillId="7" borderId="0" xfId="0" applyFont="1" applyFill="1" applyAlignment="1">
      <alignment horizontal="center"/>
    </xf>
    <xf numFmtId="0" fontId="0" fillId="0" borderId="9" xfId="0" applyBorder="1"/>
    <xf numFmtId="0" fontId="0" fillId="0" borderId="11" xfId="0" applyBorder="1"/>
    <xf numFmtId="0" fontId="0" fillId="0" borderId="1" xfId="0" applyBorder="1"/>
    <xf numFmtId="0" fontId="0" fillId="0" borderId="5" xfId="0" applyBorder="1"/>
    <xf numFmtId="0" fontId="5" fillId="0" borderId="0" xfId="2" applyFill="1"/>
    <xf numFmtId="0" fontId="1" fillId="9" borderId="12" xfId="0" applyFont="1" applyFill="1" applyBorder="1" applyAlignment="1">
      <alignment wrapText="1"/>
    </xf>
    <xf numFmtId="0" fontId="1" fillId="9" borderId="13" xfId="0" applyFont="1" applyFill="1" applyBorder="1" applyAlignment="1">
      <alignment wrapText="1"/>
    </xf>
    <xf numFmtId="8" fontId="0" fillId="0" borderId="0" xfId="0" applyNumberFormat="1"/>
    <xf numFmtId="164" fontId="0" fillId="0" borderId="0" xfId="0" applyNumberFormat="1"/>
    <xf numFmtId="0" fontId="1" fillId="9" borderId="14" xfId="0" applyFont="1" applyFill="1" applyBorder="1"/>
    <xf numFmtId="0" fontId="1" fillId="9" borderId="15" xfId="0" applyFont="1" applyFill="1" applyBorder="1"/>
    <xf numFmtId="0" fontId="1" fillId="9" borderId="16" xfId="0" applyFont="1" applyFill="1" applyBorder="1"/>
    <xf numFmtId="0" fontId="17" fillId="9" borderId="14" xfId="0" applyFont="1" applyFill="1" applyBorder="1" applyAlignment="1">
      <alignment wrapText="1"/>
    </xf>
    <xf numFmtId="0" fontId="17" fillId="9" borderId="15" xfId="0" applyFont="1" applyFill="1" applyBorder="1" applyAlignment="1">
      <alignment wrapText="1"/>
    </xf>
    <xf numFmtId="1" fontId="17" fillId="9" borderId="15" xfId="0" applyNumberFormat="1" applyFont="1" applyFill="1" applyBorder="1" applyAlignment="1">
      <alignment wrapText="1"/>
    </xf>
    <xf numFmtId="0" fontId="1" fillId="9" borderId="15" xfId="0" applyFont="1" applyFill="1" applyBorder="1" applyAlignment="1">
      <alignment wrapText="1"/>
    </xf>
    <xf numFmtId="0" fontId="1" fillId="9" borderId="16" xfId="0" applyFont="1" applyFill="1" applyBorder="1" applyAlignment="1">
      <alignment wrapText="1"/>
    </xf>
    <xf numFmtId="0" fontId="21" fillId="0" borderId="0" xfId="0" applyFont="1"/>
    <xf numFmtId="44" fontId="21" fillId="0" borderId="0" xfId="3" applyFont="1"/>
    <xf numFmtId="44" fontId="0" fillId="0" borderId="0" xfId="0" applyNumberFormat="1"/>
    <xf numFmtId="0" fontId="1" fillId="0" borderId="0" xfId="0" applyFont="1" applyAlignment="1">
      <alignment horizontal="center"/>
    </xf>
    <xf numFmtId="0" fontId="20" fillId="0" borderId="0" xfId="0" applyFont="1"/>
    <xf numFmtId="0" fontId="1" fillId="0" borderId="0" xfId="0" applyFont="1" applyAlignment="1">
      <alignment horizontal="center" wrapText="1"/>
    </xf>
    <xf numFmtId="0" fontId="20" fillId="0" borderId="0" xfId="0" applyFont="1" applyAlignment="1">
      <alignment wrapText="1"/>
    </xf>
    <xf numFmtId="44" fontId="1" fillId="0" borderId="0" xfId="3" applyFont="1" applyAlignment="1">
      <alignment horizontal="center" wrapText="1"/>
    </xf>
    <xf numFmtId="0" fontId="22" fillId="10" borderId="17" xfId="0" applyFont="1" applyFill="1" applyBorder="1" applyAlignment="1">
      <alignment horizontal="center" vertical="center" wrapText="1"/>
    </xf>
    <xf numFmtId="16" fontId="22" fillId="10" borderId="17" xfId="0" applyNumberFormat="1" applyFont="1" applyFill="1" applyBorder="1" applyAlignment="1">
      <alignment horizontal="center" vertical="center" wrapText="1"/>
    </xf>
    <xf numFmtId="0" fontId="22" fillId="10" borderId="18" xfId="0" applyFont="1" applyFill="1" applyBorder="1" applyAlignment="1">
      <alignment horizontal="center" vertical="center" wrapText="1"/>
    </xf>
    <xf numFmtId="0" fontId="22" fillId="10" borderId="19" xfId="0" applyFont="1" applyFill="1" applyBorder="1" applyAlignment="1">
      <alignment horizontal="center" vertical="center" wrapText="1"/>
    </xf>
    <xf numFmtId="0" fontId="22" fillId="10" borderId="20" xfId="0" applyFont="1" applyFill="1" applyBorder="1" applyAlignment="1">
      <alignment horizontal="center" vertical="center" wrapText="1"/>
    </xf>
    <xf numFmtId="0" fontId="24" fillId="11" borderId="17" xfId="0" applyFont="1" applyFill="1" applyBorder="1" applyAlignment="1">
      <alignment horizontal="center" vertical="center" wrapText="1"/>
    </xf>
    <xf numFmtId="0" fontId="9" fillId="0" borderId="0" xfId="0" applyFont="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1" fontId="0" fillId="0" borderId="0" xfId="0" applyNumberFormat="1" applyAlignment="1">
      <alignment horizontal="center" vertical="center"/>
    </xf>
    <xf numFmtId="1" fontId="17" fillId="9" borderId="12" xfId="0" applyNumberFormat="1" applyFont="1" applyFill="1" applyBorder="1" applyAlignment="1">
      <alignment horizontal="center" vertical="center" wrapText="1"/>
    </xf>
    <xf numFmtId="0" fontId="2" fillId="0" borderId="6" xfId="0" applyFont="1" applyBorder="1" applyAlignment="1">
      <alignment horizontal="left" vertical="center"/>
    </xf>
    <xf numFmtId="6" fontId="0" fillId="0" borderId="0" xfId="0" applyNumberFormat="1" applyAlignment="1">
      <alignment horizontal="center" vertical="center"/>
    </xf>
    <xf numFmtId="165" fontId="0" fillId="0" borderId="0" xfId="0" applyNumberFormat="1" applyAlignment="1">
      <alignment horizontal="center" vertical="center"/>
    </xf>
    <xf numFmtId="165" fontId="0" fillId="0" borderId="0" xfId="0" applyNumberFormat="1"/>
    <xf numFmtId="6" fontId="0" fillId="0" borderId="0" xfId="0" applyNumberFormat="1"/>
    <xf numFmtId="8" fontId="0" fillId="0" borderId="0" xfId="0" applyNumberFormat="1" applyAlignment="1">
      <alignment horizontal="center" vertical="center"/>
    </xf>
    <xf numFmtId="9" fontId="0" fillId="0" borderId="0" xfId="4" applyFont="1"/>
    <xf numFmtId="6" fontId="0" fillId="0" borderId="0" xfId="0" applyNumberFormat="1" applyAlignment="1">
      <alignment horizontal="right"/>
    </xf>
    <xf numFmtId="8" fontId="0" fillId="0" borderId="0" xfId="0" applyNumberFormat="1" applyAlignment="1">
      <alignment horizontal="right"/>
    </xf>
    <xf numFmtId="166" fontId="0" fillId="0" borderId="0" xfId="3" applyNumberFormat="1" applyFont="1"/>
    <xf numFmtId="0" fontId="2" fillId="0" borderId="0" xfId="0" applyFont="1" applyAlignment="1">
      <alignment horizontal="center"/>
    </xf>
    <xf numFmtId="49" fontId="0" fillId="0" borderId="0" xfId="0" applyNumberFormat="1"/>
    <xf numFmtId="0" fontId="26" fillId="0" borderId="0" xfId="8"/>
    <xf numFmtId="0" fontId="20" fillId="0" borderId="0" xfId="8" applyFont="1"/>
    <xf numFmtId="0" fontId="16" fillId="0" borderId="0" xfId="0" applyFont="1"/>
    <xf numFmtId="44" fontId="0" fillId="0" borderId="1" xfId="3" applyFont="1" applyBorder="1"/>
    <xf numFmtId="44" fontId="0" fillId="0" borderId="11" xfId="3" applyFont="1" applyBorder="1"/>
    <xf numFmtId="44" fontId="0" fillId="0" borderId="5" xfId="3" applyFont="1" applyBorder="1"/>
    <xf numFmtId="2" fontId="26" fillId="0" borderId="0" xfId="8" applyNumberFormat="1"/>
    <xf numFmtId="0" fontId="1" fillId="7" borderId="4" xfId="0" applyFont="1" applyFill="1" applyBorder="1" applyAlignment="1">
      <alignment horizontal="center"/>
    </xf>
    <xf numFmtId="0" fontId="1" fillId="7" borderId="3" xfId="0" applyFont="1" applyFill="1" applyBorder="1" applyAlignment="1">
      <alignment horizontal="center"/>
    </xf>
    <xf numFmtId="0" fontId="4" fillId="0" borderId="0" xfId="0" applyFont="1"/>
    <xf numFmtId="0" fontId="4" fillId="0" borderId="3" xfId="0" applyFont="1" applyBorder="1"/>
    <xf numFmtId="0" fontId="2" fillId="3" borderId="2" xfId="0" applyFont="1" applyFill="1" applyBorder="1"/>
    <xf numFmtId="0" fontId="2" fillId="3" borderId="0" xfId="0" applyFont="1" applyFill="1"/>
    <xf numFmtId="0" fontId="2" fillId="3" borderId="1" xfId="0" applyFont="1" applyFill="1" applyBorder="1" applyAlignment="1">
      <alignment horizontal="center"/>
    </xf>
    <xf numFmtId="0" fontId="1" fillId="4" borderId="0" xfId="0" applyFont="1" applyFill="1"/>
    <xf numFmtId="0" fontId="1" fillId="4" borderId="0" xfId="0" applyFont="1" applyFill="1" applyAlignment="1">
      <alignment horizontal="center"/>
    </xf>
    <xf numFmtId="0" fontId="1" fillId="5" borderId="2" xfId="0" applyFont="1" applyFill="1" applyBorder="1"/>
    <xf numFmtId="0" fontId="1" fillId="5" borderId="0" xfId="0" applyFont="1" applyFill="1" applyAlignment="1">
      <alignment horizontal="center"/>
    </xf>
    <xf numFmtId="0" fontId="1" fillId="6" borderId="2" xfId="0" applyFont="1" applyFill="1" applyBorder="1" applyAlignment="1">
      <alignment horizontal="center"/>
    </xf>
    <xf numFmtId="0" fontId="1" fillId="6" borderId="0" xfId="0" applyFont="1" applyFill="1" applyAlignment="1">
      <alignment horizontal="center"/>
    </xf>
    <xf numFmtId="0" fontId="1" fillId="6" borderId="1" xfId="0" applyFont="1" applyFill="1" applyBorder="1" applyAlignment="1">
      <alignment horizontal="center"/>
    </xf>
    <xf numFmtId="0" fontId="1" fillId="2" borderId="0" xfId="0" applyFont="1" applyFill="1" applyAlignment="1">
      <alignment horizontal="center"/>
    </xf>
    <xf numFmtId="0" fontId="1" fillId="7" borderId="1" xfId="0" applyFont="1" applyFill="1" applyBorder="1" applyAlignment="1">
      <alignment horizontal="center"/>
    </xf>
    <xf numFmtId="167" fontId="0" fillId="0" borderId="9" xfId="7" applyNumberFormat="1" applyFont="1" applyBorder="1"/>
    <xf numFmtId="0" fontId="1" fillId="5" borderId="1" xfId="0" applyFont="1" applyFill="1" applyBorder="1" applyAlignment="1">
      <alignment horizontal="center"/>
    </xf>
    <xf numFmtId="2" fontId="0" fillId="0" borderId="9" xfId="0" applyNumberFormat="1" applyBorder="1"/>
    <xf numFmtId="2" fontId="0" fillId="0" borderId="10" xfId="0" applyNumberFormat="1" applyBorder="1"/>
    <xf numFmtId="6" fontId="0" fillId="0" borderId="11" xfId="0" applyNumberFormat="1" applyBorder="1"/>
    <xf numFmtId="0" fontId="1" fillId="9" borderId="0" xfId="0" applyFont="1" applyFill="1" applyAlignment="1">
      <alignment wrapText="1"/>
    </xf>
    <xf numFmtId="0" fontId="2" fillId="0" borderId="23" xfId="0" applyFont="1" applyBorder="1"/>
    <xf numFmtId="0" fontId="2" fillId="0" borderId="24" xfId="0" applyFont="1" applyBorder="1"/>
    <xf numFmtId="0" fontId="2" fillId="0" borderId="25" xfId="0" applyFont="1" applyBorder="1"/>
    <xf numFmtId="0" fontId="27" fillId="0" borderId="0" xfId="0" applyFont="1"/>
    <xf numFmtId="0" fontId="28" fillId="9" borderId="21" xfId="0" applyFont="1" applyFill="1" applyBorder="1" applyAlignment="1">
      <alignment horizontal="center" vertical="center" wrapText="1"/>
    </xf>
    <xf numFmtId="0" fontId="5" fillId="0" borderId="12" xfId="2" applyBorder="1" applyAlignment="1">
      <alignment horizontal="center"/>
    </xf>
    <xf numFmtId="0" fontId="29" fillId="0" borderId="12" xfId="0" applyFont="1" applyBorder="1" applyAlignment="1">
      <alignment horizontal="center"/>
    </xf>
    <xf numFmtId="8" fontId="29" fillId="0" borderId="12" xfId="0" applyNumberFormat="1" applyFont="1" applyBorder="1" applyAlignment="1">
      <alignment horizontal="center"/>
    </xf>
    <xf numFmtId="164" fontId="29" fillId="0" borderId="12" xfId="0" applyNumberFormat="1" applyFont="1" applyBorder="1" applyAlignment="1">
      <alignment horizontal="center"/>
    </xf>
    <xf numFmtId="0" fontId="29" fillId="0" borderId="12" xfId="0" applyFont="1" applyBorder="1"/>
    <xf numFmtId="1" fontId="29" fillId="0" borderId="12" xfId="0" applyNumberFormat="1" applyFont="1" applyBorder="1"/>
    <xf numFmtId="164" fontId="29" fillId="0" borderId="0" xfId="3" applyNumberFormat="1" applyFont="1" applyBorder="1"/>
    <xf numFmtId="0" fontId="30" fillId="0" borderId="0" xfId="2" applyFont="1"/>
    <xf numFmtId="164" fontId="29" fillId="0" borderId="12" xfId="3" applyNumberFormat="1" applyFont="1" applyBorder="1"/>
    <xf numFmtId="0" fontId="29" fillId="0" borderId="22" xfId="0" applyFont="1" applyBorder="1"/>
    <xf numFmtId="164" fontId="29" fillId="0" borderId="22" xfId="3" applyNumberFormat="1" applyFont="1" applyBorder="1"/>
    <xf numFmtId="0" fontId="29" fillId="14" borderId="26" xfId="0" applyFont="1" applyFill="1" applyBorder="1"/>
    <xf numFmtId="4" fontId="29" fillId="14" borderId="26" xfId="0" applyNumberFormat="1" applyFont="1" applyFill="1" applyBorder="1"/>
    <xf numFmtId="9" fontId="29" fillId="15" borderId="26" xfId="4" applyFont="1" applyFill="1" applyBorder="1"/>
    <xf numFmtId="1" fontId="29" fillId="14" borderId="26" xfId="0" applyNumberFormat="1" applyFont="1" applyFill="1" applyBorder="1"/>
    <xf numFmtId="164" fontId="29" fillId="14" borderId="0" xfId="3" applyNumberFormat="1" applyFont="1" applyFill="1" applyBorder="1"/>
    <xf numFmtId="0" fontId="28" fillId="9" borderId="0" xfId="0" applyFont="1" applyFill="1" applyAlignment="1">
      <alignment horizontal="center" vertical="center" wrapText="1"/>
    </xf>
    <xf numFmtId="0" fontId="5" fillId="16" borderId="12" xfId="2" applyFill="1" applyBorder="1" applyAlignment="1">
      <alignment horizontal="center" vertical="center" wrapText="1"/>
    </xf>
    <xf numFmtId="0" fontId="31" fillId="16" borderId="12" xfId="2" applyFont="1" applyFill="1" applyBorder="1" applyAlignment="1">
      <alignment wrapText="1"/>
    </xf>
    <xf numFmtId="0" fontId="31" fillId="16" borderId="12" xfId="2" applyFont="1" applyFill="1" applyBorder="1" applyAlignment="1">
      <alignment horizontal="center" vertical="center" wrapText="1"/>
    </xf>
    <xf numFmtId="0" fontId="31" fillId="16" borderId="12" xfId="2" applyFont="1" applyFill="1" applyBorder="1" applyAlignment="1">
      <alignment vertical="center" wrapText="1"/>
    </xf>
    <xf numFmtId="1" fontId="29" fillId="16" borderId="12" xfId="0" applyNumberFormat="1" applyFont="1" applyFill="1" applyBorder="1" applyAlignment="1">
      <alignment horizontal="center" vertical="center" wrapText="1"/>
    </xf>
    <xf numFmtId="164" fontId="29" fillId="16" borderId="12" xfId="3" applyNumberFormat="1" applyFont="1" applyFill="1" applyBorder="1"/>
    <xf numFmtId="0" fontId="29" fillId="16" borderId="21" xfId="0" applyFont="1" applyFill="1" applyBorder="1"/>
    <xf numFmtId="0" fontId="29" fillId="16" borderId="12" xfId="0" applyFont="1" applyFill="1" applyBorder="1"/>
    <xf numFmtId="0" fontId="5" fillId="16" borderId="12" xfId="2" applyFill="1" applyBorder="1" applyAlignment="1">
      <alignment wrapText="1"/>
    </xf>
    <xf numFmtId="0" fontId="33" fillId="0" borderId="0" xfId="0" applyFont="1" applyAlignment="1">
      <alignment horizontal="left" indent="2"/>
    </xf>
    <xf numFmtId="0" fontId="0" fillId="0" borderId="23" xfId="0" applyBorder="1"/>
    <xf numFmtId="0" fontId="0" fillId="0" borderId="24" xfId="0" applyBorder="1"/>
    <xf numFmtId="0" fontId="0" fillId="0" borderId="25" xfId="0" applyBorder="1"/>
    <xf numFmtId="164" fontId="0" fillId="0" borderId="6" xfId="3" applyNumberFormat="1" applyFont="1" applyBorder="1"/>
    <xf numFmtId="164" fontId="0" fillId="0" borderId="23" xfId="0" applyNumberFormat="1" applyBorder="1"/>
    <xf numFmtId="164" fontId="0" fillId="0" borderId="24" xfId="0" applyNumberFormat="1" applyBorder="1"/>
    <xf numFmtId="9" fontId="0" fillId="0" borderId="23" xfId="4" applyFont="1" applyBorder="1"/>
    <xf numFmtId="0" fontId="28" fillId="9" borderId="14" xfId="0" applyFont="1" applyFill="1" applyBorder="1" applyAlignment="1">
      <alignment horizontal="center" vertical="center" wrapText="1"/>
    </xf>
    <xf numFmtId="6" fontId="29" fillId="0" borderId="12" xfId="0" applyNumberFormat="1" applyFont="1" applyBorder="1" applyAlignment="1">
      <alignment horizontal="center"/>
    </xf>
    <xf numFmtId="9" fontId="29" fillId="13" borderId="12" xfId="4" applyFont="1" applyFill="1" applyBorder="1" applyAlignment="1">
      <alignment horizontal="center"/>
    </xf>
    <xf numFmtId="1" fontId="29" fillId="0" borderId="12" xfId="0" applyNumberFormat="1" applyFont="1" applyBorder="1" applyAlignment="1">
      <alignment horizontal="center"/>
    </xf>
    <xf numFmtId="164" fontId="29" fillId="0" borderId="12" xfId="3" applyNumberFormat="1" applyFont="1" applyBorder="1" applyAlignment="1">
      <alignment horizontal="center"/>
    </xf>
    <xf numFmtId="1" fontId="29" fillId="16" borderId="15" xfId="0" applyNumberFormat="1" applyFont="1" applyFill="1" applyBorder="1" applyAlignment="1">
      <alignment horizontal="center" vertical="center"/>
    </xf>
    <xf numFmtId="0" fontId="13" fillId="0" borderId="0" xfId="0" applyFont="1"/>
    <xf numFmtId="0" fontId="21" fillId="0" borderId="0" xfId="0" applyFont="1" applyAlignment="1">
      <alignment horizontal="center"/>
    </xf>
    <xf numFmtId="0" fontId="11" fillId="17" borderId="29" xfId="0" applyFont="1" applyFill="1" applyBorder="1" applyAlignment="1">
      <alignment vertical="center" wrapText="1"/>
    </xf>
    <xf numFmtId="0" fontId="11" fillId="17" borderId="30" xfId="0" applyFont="1" applyFill="1" applyBorder="1" applyAlignment="1">
      <alignment vertical="center" wrapText="1"/>
    </xf>
    <xf numFmtId="0" fontId="11" fillId="17" borderId="31" xfId="0" applyFont="1" applyFill="1" applyBorder="1" applyAlignment="1">
      <alignment vertical="center" wrapText="1"/>
    </xf>
    <xf numFmtId="0" fontId="35" fillId="0" borderId="32" xfId="0" applyFont="1" applyBorder="1" applyAlignment="1">
      <alignment horizontal="left"/>
    </xf>
    <xf numFmtId="0" fontId="35" fillId="0" borderId="33" xfId="0" applyFont="1" applyBorder="1" applyAlignment="1">
      <alignment horizontal="left"/>
    </xf>
    <xf numFmtId="9" fontId="35" fillId="0" borderId="33" xfId="0" applyNumberFormat="1" applyFont="1" applyBorder="1" applyAlignment="1">
      <alignment horizontal="center"/>
    </xf>
    <xf numFmtId="0" fontId="35" fillId="0" borderId="34" xfId="0" applyFont="1" applyBorder="1" applyAlignment="1">
      <alignment horizontal="left"/>
    </xf>
    <xf numFmtId="44" fontId="35" fillId="0" borderId="33" xfId="0" applyNumberFormat="1" applyFont="1" applyBorder="1" applyAlignment="1">
      <alignment horizontal="left"/>
    </xf>
    <xf numFmtId="0" fontId="37" fillId="0" borderId="0" xfId="8" applyFont="1"/>
    <xf numFmtId="0" fontId="35" fillId="0" borderId="0" xfId="0" applyFont="1" applyAlignment="1">
      <alignment horizontal="left"/>
    </xf>
    <xf numFmtId="0" fontId="2" fillId="3" borderId="4" xfId="0" applyFont="1" applyFill="1" applyBorder="1"/>
    <xf numFmtId="0" fontId="1" fillId="7" borderId="5" xfId="0" applyFont="1" applyFill="1" applyBorder="1" applyAlignment="1">
      <alignment horizontal="center"/>
    </xf>
    <xf numFmtId="6" fontId="0" fillId="0" borderId="24" xfId="0" applyNumberFormat="1" applyBorder="1"/>
    <xf numFmtId="11" fontId="0" fillId="0" borderId="23" xfId="7" applyNumberFormat="1" applyFont="1" applyBorder="1"/>
    <xf numFmtId="2" fontId="0" fillId="0" borderId="24" xfId="7" applyNumberFormat="1" applyFont="1" applyBorder="1"/>
    <xf numFmtId="11" fontId="0" fillId="0" borderId="23" xfId="7" applyNumberFormat="1" applyFont="1" applyBorder="1" applyAlignment="1">
      <alignment horizontal="right"/>
    </xf>
    <xf numFmtId="11" fontId="0" fillId="0" borderId="24" xfId="7" applyNumberFormat="1" applyFont="1" applyBorder="1" applyAlignment="1">
      <alignment horizontal="right"/>
    </xf>
    <xf numFmtId="2" fontId="0" fillId="0" borderId="23" xfId="0" applyNumberFormat="1" applyBorder="1"/>
    <xf numFmtId="2" fontId="0" fillId="0" borderId="24" xfId="0" applyNumberFormat="1" applyBorder="1"/>
    <xf numFmtId="0" fontId="2" fillId="0" borderId="0" xfId="0" applyFont="1" applyAlignment="1">
      <alignment horizontal="right"/>
    </xf>
    <xf numFmtId="0" fontId="11" fillId="17" borderId="0" xfId="0" applyFont="1" applyFill="1" applyAlignment="1">
      <alignment vertical="center" wrapText="1"/>
    </xf>
    <xf numFmtId="0" fontId="4" fillId="0" borderId="24" xfId="0" applyFont="1" applyBorder="1"/>
    <xf numFmtId="0" fontId="5" fillId="0" borderId="22" xfId="2" applyBorder="1" applyAlignment="1">
      <alignment horizontal="center"/>
    </xf>
    <xf numFmtId="0" fontId="29" fillId="0" borderId="22" xfId="0" applyFont="1" applyBorder="1" applyAlignment="1">
      <alignment horizontal="center"/>
    </xf>
    <xf numFmtId="8" fontId="29" fillId="0" borderId="22" xfId="0" applyNumberFormat="1" applyFont="1" applyBorder="1" applyAlignment="1">
      <alignment horizontal="center"/>
    </xf>
    <xf numFmtId="164" fontId="29" fillId="0" borderId="22" xfId="0" applyNumberFormat="1" applyFont="1" applyBorder="1" applyAlignment="1">
      <alignment horizontal="center"/>
    </xf>
    <xf numFmtId="44" fontId="0" fillId="0" borderId="6" xfId="0" applyNumberFormat="1" applyBorder="1"/>
    <xf numFmtId="9" fontId="0" fillId="0" borderId="6" xfId="4" applyFont="1" applyBorder="1"/>
    <xf numFmtId="44" fontId="35" fillId="0" borderId="0" xfId="3" applyFont="1" applyBorder="1" applyAlignment="1">
      <alignment horizontal="center"/>
    </xf>
    <xf numFmtId="44" fontId="35" fillId="0" borderId="0" xfId="3" applyFont="1" applyAlignment="1">
      <alignment horizontal="center"/>
    </xf>
    <xf numFmtId="44" fontId="37" fillId="0" borderId="0" xfId="3" applyFont="1" applyAlignment="1">
      <alignment horizontal="center"/>
    </xf>
    <xf numFmtId="44" fontId="35" fillId="0" borderId="0" xfId="0" applyNumberFormat="1" applyFont="1" applyAlignment="1">
      <alignment horizontal="left"/>
    </xf>
    <xf numFmtId="44" fontId="37" fillId="0" borderId="0" xfId="8" applyNumberFormat="1" applyFont="1"/>
    <xf numFmtId="44" fontId="35" fillId="0" borderId="0" xfId="0" applyNumberFormat="1" applyFont="1" applyAlignment="1">
      <alignment horizontal="center"/>
    </xf>
    <xf numFmtId="9" fontId="0" fillId="0" borderId="2" xfId="0" applyNumberFormat="1" applyBorder="1"/>
    <xf numFmtId="9" fontId="0" fillId="0" borderId="1" xfId="0" applyNumberFormat="1" applyBorder="1"/>
    <xf numFmtId="9" fontId="0" fillId="0" borderId="4" xfId="0" applyNumberFormat="1" applyBorder="1"/>
    <xf numFmtId="9" fontId="0" fillId="0" borderId="5" xfId="0" applyNumberFormat="1" applyBorder="1"/>
    <xf numFmtId="9" fontId="37" fillId="0" borderId="0" xfId="4" applyFont="1"/>
    <xf numFmtId="11" fontId="0" fillId="0" borderId="25" xfId="7" applyNumberFormat="1" applyFont="1" applyBorder="1" applyAlignment="1">
      <alignment horizontal="right"/>
    </xf>
    <xf numFmtId="0" fontId="1" fillId="2" borderId="2" xfId="0" applyFont="1" applyFill="1" applyBorder="1" applyAlignment="1">
      <alignment horizontal="center"/>
    </xf>
    <xf numFmtId="0" fontId="1" fillId="2" borderId="1" xfId="0" applyFont="1" applyFill="1" applyBorder="1" applyAlignment="1">
      <alignment horizontal="center"/>
    </xf>
    <xf numFmtId="2" fontId="0" fillId="0" borderId="25" xfId="0" applyNumberFormat="1" applyBorder="1"/>
    <xf numFmtId="0" fontId="0" fillId="0" borderId="22" xfId="0" applyBorder="1"/>
    <xf numFmtId="0" fontId="5" fillId="0" borderId="22" xfId="0" applyFont="1" applyBorder="1" applyAlignment="1">
      <alignment horizontal="center"/>
    </xf>
    <xf numFmtId="43" fontId="0" fillId="0" borderId="0" xfId="7" applyFont="1"/>
    <xf numFmtId="0" fontId="28" fillId="9" borderId="15" xfId="0" applyFont="1" applyFill="1" applyBorder="1" applyAlignment="1">
      <alignment horizontal="center" vertical="center" wrapText="1"/>
    </xf>
    <xf numFmtId="0" fontId="29" fillId="0" borderId="15" xfId="0" applyFont="1" applyBorder="1"/>
    <xf numFmtId="0" fontId="0" fillId="0" borderId="2" xfId="0" applyBorder="1" applyAlignment="1">
      <alignment horizontal="left"/>
    </xf>
    <xf numFmtId="8" fontId="35" fillId="0" borderId="33" xfId="0" applyNumberFormat="1" applyFont="1" applyBorder="1" applyAlignment="1">
      <alignment horizontal="left"/>
    </xf>
    <xf numFmtId="0" fontId="36" fillId="0" borderId="10" xfId="0" applyFont="1" applyBorder="1"/>
    <xf numFmtId="168" fontId="4" fillId="0" borderId="0" xfId="0" applyNumberFormat="1" applyFont="1"/>
    <xf numFmtId="168" fontId="4" fillId="0" borderId="3" xfId="0" applyNumberFormat="1" applyFont="1" applyBorder="1"/>
    <xf numFmtId="0" fontId="6" fillId="0" borderId="2" xfId="0" applyFont="1" applyBorder="1"/>
    <xf numFmtId="0" fontId="35" fillId="0" borderId="6" xfId="0" applyFont="1" applyBorder="1" applyAlignment="1">
      <alignment horizontal="left"/>
    </xf>
    <xf numFmtId="44" fontId="35" fillId="0" borderId="6" xfId="0" applyNumberFormat="1" applyFont="1" applyBorder="1" applyAlignment="1">
      <alignment horizontal="left"/>
    </xf>
    <xf numFmtId="0" fontId="29" fillId="0" borderId="6" xfId="0" applyFont="1" applyBorder="1"/>
    <xf numFmtId="0" fontId="0" fillId="0" borderId="10" xfId="0" applyBorder="1" applyAlignment="1">
      <alignment horizontal="left"/>
    </xf>
    <xf numFmtId="17" fontId="0" fillId="0" borderId="0" xfId="0" applyNumberFormat="1" applyAlignment="1">
      <alignment horizontal="left"/>
    </xf>
    <xf numFmtId="44" fontId="29" fillId="0" borderId="6" xfId="3" applyFont="1" applyBorder="1"/>
    <xf numFmtId="0" fontId="29" fillId="0" borderId="6" xfId="0" applyFont="1" applyBorder="1" applyAlignment="1">
      <alignment horizontal="left"/>
    </xf>
    <xf numFmtId="9" fontId="35" fillId="0" borderId="6" xfId="4" applyFont="1" applyBorder="1" applyAlignment="1">
      <alignment horizontal="center"/>
    </xf>
    <xf numFmtId="9" fontId="0" fillId="0" borderId="2" xfId="4" applyFont="1" applyBorder="1"/>
    <xf numFmtId="9" fontId="0" fillId="0" borderId="4" xfId="4" applyFont="1" applyBorder="1"/>
    <xf numFmtId="9" fontId="0" fillId="0" borderId="10" xfId="4" applyFont="1" applyBorder="1"/>
    <xf numFmtId="9" fontId="0" fillId="0" borderId="3" xfId="4" applyFont="1" applyBorder="1"/>
    <xf numFmtId="164" fontId="0" fillId="0" borderId="37" xfId="3" applyNumberFormat="1" applyFont="1" applyBorder="1"/>
    <xf numFmtId="0" fontId="0" fillId="0" borderId="38" xfId="0" applyBorder="1"/>
    <xf numFmtId="0" fontId="1" fillId="9" borderId="15" xfId="0" applyFont="1" applyFill="1" applyBorder="1" applyAlignment="1">
      <alignment horizontal="center" wrapText="1"/>
    </xf>
    <xf numFmtId="0" fontId="38" fillId="17" borderId="29" xfId="0" applyFont="1" applyFill="1" applyBorder="1" applyAlignment="1">
      <alignment vertical="center" wrapText="1"/>
    </xf>
    <xf numFmtId="0" fontId="38" fillId="17" borderId="30" xfId="0" applyFont="1" applyFill="1" applyBorder="1" applyAlignment="1">
      <alignment vertical="center" wrapText="1"/>
    </xf>
    <xf numFmtId="0" fontId="38" fillId="17" borderId="31" xfId="0" applyFont="1" applyFill="1" applyBorder="1" applyAlignment="1">
      <alignment vertical="center" wrapText="1"/>
    </xf>
    <xf numFmtId="0" fontId="0" fillId="18" borderId="0" xfId="0" applyFill="1"/>
    <xf numFmtId="8" fontId="21" fillId="19" borderId="0" xfId="0" applyNumberFormat="1" applyFont="1" applyFill="1"/>
    <xf numFmtId="8" fontId="21" fillId="0" borderId="0" xfId="0" applyNumberFormat="1" applyFont="1"/>
    <xf numFmtId="0" fontId="36" fillId="0" borderId="24" xfId="0" applyFont="1" applyBorder="1"/>
    <xf numFmtId="9" fontId="0" fillId="0" borderId="24" xfId="4" applyFont="1" applyBorder="1"/>
    <xf numFmtId="0" fontId="21" fillId="19" borderId="0" xfId="0" applyFont="1" applyFill="1"/>
    <xf numFmtId="0" fontId="26" fillId="0" borderId="0" xfId="8" applyAlignment="1">
      <alignment horizontal="right"/>
    </xf>
    <xf numFmtId="169" fontId="26" fillId="0" borderId="0" xfId="8" applyNumberFormat="1"/>
    <xf numFmtId="1" fontId="26" fillId="0" borderId="0" xfId="8" applyNumberFormat="1"/>
    <xf numFmtId="169" fontId="26" fillId="0" borderId="0" xfId="8" applyNumberFormat="1" applyAlignment="1">
      <alignment horizontal="right"/>
    </xf>
    <xf numFmtId="2" fontId="26" fillId="0" borderId="0" xfId="8" applyNumberFormat="1" applyAlignment="1">
      <alignment horizontal="right"/>
    </xf>
    <xf numFmtId="16" fontId="26" fillId="0" borderId="0" xfId="8" applyNumberFormat="1"/>
    <xf numFmtId="168" fontId="26" fillId="0" borderId="0" xfId="8" applyNumberFormat="1" applyAlignment="1">
      <alignment horizontal="right"/>
    </xf>
    <xf numFmtId="164" fontId="0" fillId="0" borderId="0" xfId="0" applyNumberFormat="1" applyAlignment="1">
      <alignment horizontal="right"/>
    </xf>
    <xf numFmtId="0" fontId="39" fillId="0" borderId="0" xfId="0" applyFont="1"/>
    <xf numFmtId="44" fontId="39" fillId="0" borderId="0" xfId="3" applyFont="1"/>
    <xf numFmtId="44" fontId="16" fillId="0" borderId="0" xfId="3" applyFont="1"/>
    <xf numFmtId="44" fontId="4" fillId="0" borderId="0" xfId="3" applyFont="1"/>
    <xf numFmtId="44" fontId="4" fillId="0" borderId="0" xfId="3" applyFont="1" applyAlignment="1">
      <alignment vertical="center"/>
    </xf>
    <xf numFmtId="44" fontId="27" fillId="0" borderId="0" xfId="3" applyFont="1"/>
    <xf numFmtId="44" fontId="35" fillId="0" borderId="33" xfId="3" applyFont="1" applyBorder="1" applyAlignment="1">
      <alignment horizontal="left"/>
    </xf>
    <xf numFmtId="0" fontId="0" fillId="0" borderId="0" xfId="3" applyNumberFormat="1" applyFont="1"/>
    <xf numFmtId="0" fontId="2" fillId="0" borderId="0" xfId="3" applyNumberFormat="1" applyFont="1"/>
    <xf numFmtId="0" fontId="0" fillId="0" borderId="0" xfId="0" quotePrefix="1"/>
    <xf numFmtId="0" fontId="1" fillId="9" borderId="12" xfId="0" applyFont="1" applyFill="1" applyBorder="1"/>
    <xf numFmtId="0" fontId="1" fillId="9" borderId="0" xfId="0" applyFont="1" applyFill="1"/>
    <xf numFmtId="43" fontId="0" fillId="0" borderId="10" xfId="7" applyFont="1" applyBorder="1"/>
    <xf numFmtId="2" fontId="0" fillId="0" borderId="10" xfId="7" applyNumberFormat="1" applyFont="1" applyBorder="1"/>
    <xf numFmtId="0" fontId="2" fillId="0" borderId="6" xfId="0" applyFont="1" applyBorder="1" applyAlignment="1">
      <alignment horizontal="center"/>
    </xf>
    <xf numFmtId="0" fontId="40" fillId="19" borderId="39" xfId="0" applyFont="1" applyFill="1" applyBorder="1"/>
    <xf numFmtId="0" fontId="40" fillId="19" borderId="40" xfId="0" applyFont="1" applyFill="1" applyBorder="1"/>
    <xf numFmtId="8" fontId="40" fillId="19" borderId="40" xfId="0" applyNumberFormat="1" applyFont="1" applyFill="1" applyBorder="1"/>
    <xf numFmtId="0" fontId="40" fillId="19" borderId="41" xfId="0" applyFont="1" applyFill="1" applyBorder="1"/>
    <xf numFmtId="0" fontId="40" fillId="0" borderId="39" xfId="0" applyFont="1" applyBorder="1"/>
    <xf numFmtId="0" fontId="40" fillId="0" borderId="40" xfId="0" applyFont="1" applyBorder="1"/>
    <xf numFmtId="8" fontId="40" fillId="0" borderId="40" xfId="0" applyNumberFormat="1" applyFont="1" applyBorder="1"/>
    <xf numFmtId="0" fontId="40" fillId="0" borderId="41" xfId="0" applyFont="1" applyBorder="1"/>
    <xf numFmtId="0" fontId="5" fillId="0" borderId="40" xfId="2" applyBorder="1"/>
    <xf numFmtId="2" fontId="0" fillId="0" borderId="0" xfId="0" applyNumberFormat="1" applyAlignment="1">
      <alignment horizontal="left"/>
    </xf>
    <xf numFmtId="0" fontId="0" fillId="0" borderId="12" xfId="0" applyBorder="1"/>
    <xf numFmtId="9" fontId="0" fillId="0" borderId="12" xfId="4" applyFont="1" applyFill="1" applyBorder="1"/>
    <xf numFmtId="164" fontId="0" fillId="0" borderId="12" xfId="3" applyNumberFormat="1" applyFont="1" applyFill="1" applyBorder="1"/>
    <xf numFmtId="9" fontId="0" fillId="0" borderId="22" xfId="4" applyFont="1" applyFill="1" applyBorder="1"/>
    <xf numFmtId="164" fontId="0" fillId="0" borderId="22" xfId="3" applyNumberFormat="1" applyFont="1" applyFill="1" applyBorder="1"/>
    <xf numFmtId="0" fontId="2" fillId="0" borderId="6" xfId="0" applyFont="1" applyBorder="1" applyAlignment="1">
      <alignment horizontal="center" wrapText="1"/>
    </xf>
    <xf numFmtId="0" fontId="0" fillId="0" borderId="6" xfId="0" applyBorder="1" applyAlignment="1">
      <alignment horizontal="center"/>
    </xf>
    <xf numFmtId="169" fontId="0" fillId="0" borderId="6" xfId="0" applyNumberFormat="1" applyBorder="1" applyAlignment="1">
      <alignment horizontal="center"/>
    </xf>
    <xf numFmtId="2" fontId="0" fillId="0" borderId="6" xfId="0" applyNumberFormat="1" applyBorder="1" applyAlignment="1">
      <alignment horizontal="center"/>
    </xf>
    <xf numFmtId="164" fontId="0" fillId="0" borderId="15" xfId="0" applyNumberFormat="1" applyBorder="1"/>
    <xf numFmtId="164" fontId="0" fillId="0" borderId="12" xfId="0" applyNumberFormat="1" applyBorder="1"/>
    <xf numFmtId="164" fontId="0" fillId="0" borderId="22" xfId="0" applyNumberFormat="1" applyBorder="1"/>
    <xf numFmtId="0" fontId="4" fillId="0" borderId="9" xfId="0" applyFont="1" applyBorder="1"/>
    <xf numFmtId="0" fontId="4" fillId="0" borderId="10" xfId="0" applyFont="1" applyBorder="1"/>
    <xf numFmtId="0" fontId="4" fillId="0" borderId="11" xfId="0" applyFont="1" applyBorder="1"/>
    <xf numFmtId="9" fontId="0" fillId="0" borderId="9" xfId="0" applyNumberFormat="1" applyBorder="1"/>
    <xf numFmtId="9" fontId="0" fillId="0" borderId="11" xfId="0" applyNumberFormat="1" applyBorder="1"/>
    <xf numFmtId="44" fontId="0" fillId="0" borderId="0" xfId="3" applyFont="1" applyFill="1" applyBorder="1"/>
    <xf numFmtId="44" fontId="2" fillId="0" borderId="0" xfId="3" applyFont="1" applyBorder="1"/>
    <xf numFmtId="44" fontId="2" fillId="0" borderId="0" xfId="3" applyFont="1" applyFill="1" applyBorder="1"/>
    <xf numFmtId="2" fontId="4" fillId="0" borderId="9" xfId="0" applyNumberFormat="1" applyFont="1" applyBorder="1"/>
    <xf numFmtId="44" fontId="21" fillId="0" borderId="6" xfId="0" applyNumberFormat="1" applyFont="1" applyBorder="1" applyAlignment="1">
      <alignment horizontal="left"/>
    </xf>
    <xf numFmtId="9" fontId="21" fillId="0" borderId="6" xfId="0" applyNumberFormat="1" applyFont="1" applyBorder="1" applyAlignment="1">
      <alignment horizontal="center"/>
    </xf>
    <xf numFmtId="0" fontId="21" fillId="0" borderId="6" xfId="0" applyFont="1" applyBorder="1" applyAlignment="1">
      <alignment horizontal="left"/>
    </xf>
    <xf numFmtId="9" fontId="21" fillId="0" borderId="6" xfId="4" applyFont="1" applyBorder="1" applyAlignment="1">
      <alignment horizontal="center"/>
    </xf>
    <xf numFmtId="2" fontId="0" fillId="0" borderId="1" xfId="0" applyNumberFormat="1" applyBorder="1"/>
    <xf numFmtId="16" fontId="0" fillId="0" borderId="0" xfId="0" applyNumberFormat="1"/>
    <xf numFmtId="0" fontId="1" fillId="5" borderId="5" xfId="0" applyFont="1" applyFill="1" applyBorder="1" applyAlignment="1">
      <alignment horizontal="center"/>
    </xf>
    <xf numFmtId="170" fontId="0" fillId="0" borderId="24" xfId="4" applyNumberFormat="1" applyFont="1" applyBorder="1"/>
    <xf numFmtId="2" fontId="0" fillId="0" borderId="24" xfId="4" applyNumberFormat="1" applyFont="1" applyBorder="1"/>
    <xf numFmtId="0" fontId="41" fillId="0" borderId="12" xfId="0" applyFont="1" applyBorder="1" applyAlignment="1">
      <alignment horizontal="center"/>
    </xf>
    <xf numFmtId="168" fontId="29" fillId="0" borderId="12" xfId="0" applyNumberFormat="1" applyFont="1" applyBorder="1" applyAlignment="1">
      <alignment horizontal="center"/>
    </xf>
    <xf numFmtId="168" fontId="29" fillId="0" borderId="22" xfId="0" applyNumberFormat="1" applyFont="1" applyBorder="1" applyAlignment="1">
      <alignment horizontal="center"/>
    </xf>
    <xf numFmtId="0" fontId="41" fillId="0" borderId="12" xfId="0" applyFont="1" applyBorder="1"/>
    <xf numFmtId="0" fontId="29" fillId="14" borderId="0" xfId="0" applyFont="1" applyFill="1"/>
    <xf numFmtId="164" fontId="29" fillId="16" borderId="0" xfId="3" applyNumberFormat="1" applyFont="1" applyFill="1" applyBorder="1"/>
    <xf numFmtId="2" fontId="0" fillId="0" borderId="11" xfId="0" applyNumberFormat="1" applyBorder="1"/>
    <xf numFmtId="0" fontId="4" fillId="0" borderId="2" xfId="0" applyFont="1" applyBorder="1"/>
    <xf numFmtId="6" fontId="4" fillId="0" borderId="1" xfId="0" applyNumberFormat="1" applyFont="1" applyBorder="1"/>
    <xf numFmtId="0" fontId="4" fillId="0" borderId="0" xfId="0" applyFont="1" applyAlignment="1">
      <alignment horizontal="right"/>
    </xf>
    <xf numFmtId="0" fontId="4" fillId="0" borderId="1" xfId="0" applyFont="1" applyBorder="1" applyAlignment="1">
      <alignment horizontal="right"/>
    </xf>
    <xf numFmtId="0" fontId="4" fillId="0" borderId="1" xfId="0" applyFont="1" applyBorder="1"/>
    <xf numFmtId="2" fontId="4" fillId="0" borderId="1" xfId="0" applyNumberFormat="1" applyFont="1" applyBorder="1"/>
    <xf numFmtId="16" fontId="0" fillId="0" borderId="0" xfId="0" applyNumberFormat="1" applyAlignment="1">
      <alignment horizontal="left"/>
    </xf>
    <xf numFmtId="2" fontId="0" fillId="0" borderId="5" xfId="0" applyNumberFormat="1" applyBorder="1"/>
    <xf numFmtId="0" fontId="1" fillId="2" borderId="5" xfId="0" applyFont="1" applyFill="1" applyBorder="1" applyAlignment="1">
      <alignment horizontal="center"/>
    </xf>
    <xf numFmtId="0" fontId="1" fillId="2" borderId="4" xfId="0" applyFont="1" applyFill="1" applyBorder="1" applyAlignment="1">
      <alignment horizontal="center"/>
    </xf>
    <xf numFmtId="9" fontId="0" fillId="0" borderId="10" xfId="0" applyNumberFormat="1" applyBorder="1"/>
    <xf numFmtId="9" fontId="0" fillId="0" borderId="0" xfId="0" applyNumberFormat="1"/>
    <xf numFmtId="9" fontId="0" fillId="0" borderId="3" xfId="0" applyNumberFormat="1" applyBorder="1"/>
    <xf numFmtId="1" fontId="0" fillId="0" borderId="4" xfId="0" applyNumberFormat="1" applyBorder="1"/>
    <xf numFmtId="1" fontId="0" fillId="0" borderId="3" xfId="0" applyNumberFormat="1" applyBorder="1"/>
    <xf numFmtId="9" fontId="0" fillId="0" borderId="0" xfId="4" applyFont="1" applyBorder="1"/>
    <xf numFmtId="9" fontId="0" fillId="0" borderId="1" xfId="4" applyFont="1" applyBorder="1"/>
    <xf numFmtId="9" fontId="0" fillId="0" borderId="5" xfId="4" applyFont="1" applyBorder="1"/>
    <xf numFmtId="0" fontId="17" fillId="9" borderId="0" xfId="0" applyFont="1" applyFill="1" applyAlignment="1">
      <alignment wrapText="1"/>
    </xf>
    <xf numFmtId="168" fontId="0" fillId="0" borderId="2" xfId="0" applyNumberFormat="1" applyBorder="1"/>
    <xf numFmtId="168" fontId="0" fillId="0" borderId="0" xfId="0" applyNumberFormat="1"/>
    <xf numFmtId="0" fontId="6" fillId="0" borderId="0" xfId="0" applyFont="1" applyAlignment="1">
      <alignment horizontal="left"/>
    </xf>
    <xf numFmtId="0" fontId="2" fillId="0" borderId="2" xfId="0" applyFont="1" applyBorder="1" applyAlignment="1">
      <alignment horizontal="left"/>
    </xf>
    <xf numFmtId="2" fontId="0" fillId="0" borderId="10" xfId="4" applyNumberFormat="1" applyFont="1" applyBorder="1"/>
    <xf numFmtId="2" fontId="0" fillId="0" borderId="0" xfId="7" applyNumberFormat="1" applyFont="1" applyBorder="1"/>
    <xf numFmtId="43" fontId="0" fillId="0" borderId="0" xfId="7" applyFont="1" applyBorder="1"/>
    <xf numFmtId="0" fontId="4" fillId="0" borderId="23" xfId="0" applyFont="1" applyBorder="1"/>
    <xf numFmtId="0" fontId="4" fillId="0" borderId="25" xfId="0" applyFont="1" applyBorder="1"/>
    <xf numFmtId="2" fontId="4" fillId="0" borderId="23" xfId="0" applyNumberFormat="1" applyFont="1" applyBorder="1"/>
    <xf numFmtId="9" fontId="0" fillId="0" borderId="23" xfId="0" applyNumberFormat="1" applyBorder="1"/>
    <xf numFmtId="9" fontId="0" fillId="0" borderId="25" xfId="0" applyNumberFormat="1" applyBorder="1"/>
    <xf numFmtId="9" fontId="0" fillId="0" borderId="24" xfId="0" applyNumberFormat="1" applyBorder="1"/>
    <xf numFmtId="9" fontId="26" fillId="0" borderId="0" xfId="4" applyFont="1"/>
    <xf numFmtId="164" fontId="0" fillId="0" borderId="0" xfId="0" applyNumberFormat="1" applyAlignment="1">
      <alignment horizontal="center"/>
    </xf>
    <xf numFmtId="0" fontId="20" fillId="4" borderId="6" xfId="0" applyFont="1" applyFill="1" applyBorder="1" applyAlignment="1">
      <alignment wrapText="1"/>
    </xf>
    <xf numFmtId="9" fontId="0" fillId="21" borderId="6" xfId="0" applyNumberFormat="1" applyFill="1" applyBorder="1"/>
    <xf numFmtId="164" fontId="2" fillId="22" borderId="0" xfId="0" applyNumberFormat="1" applyFont="1" applyFill="1" applyAlignment="1">
      <alignment horizontal="center"/>
    </xf>
    <xf numFmtId="0" fontId="43" fillId="9" borderId="12" xfId="0" applyFont="1" applyFill="1" applyBorder="1" applyAlignment="1">
      <alignment horizontal="center" vertical="center" wrapText="1"/>
    </xf>
    <xf numFmtId="0" fontId="27" fillId="0" borderId="6" xfId="0" applyFont="1" applyBorder="1" applyAlignment="1">
      <alignment horizontal="center"/>
    </xf>
    <xf numFmtId="44" fontId="2" fillId="0" borderId="6" xfId="3" applyFont="1" applyBorder="1"/>
    <xf numFmtId="0" fontId="1" fillId="0" borderId="0" xfId="0" applyFont="1" applyAlignment="1">
      <alignment horizontal="left" wrapText="1"/>
    </xf>
    <xf numFmtId="0" fontId="40" fillId="19" borderId="40" xfId="0" applyFont="1" applyFill="1" applyBorder="1" applyAlignment="1">
      <alignment horizontal="left"/>
    </xf>
    <xf numFmtId="0" fontId="40" fillId="0" borderId="40" xfId="0" applyFont="1" applyBorder="1" applyAlignment="1">
      <alignment horizontal="left"/>
    </xf>
    <xf numFmtId="11" fontId="40" fillId="0" borderId="40" xfId="0" applyNumberFormat="1" applyFont="1" applyBorder="1" applyAlignment="1">
      <alignment horizontal="left"/>
    </xf>
    <xf numFmtId="0" fontId="21" fillId="0" borderId="0" xfId="0" applyFont="1" applyAlignment="1">
      <alignment horizontal="left"/>
    </xf>
    <xf numFmtId="0" fontId="34" fillId="0" borderId="0" xfId="0" applyFont="1" applyAlignment="1">
      <alignment horizontal="center"/>
    </xf>
    <xf numFmtId="2" fontId="35" fillId="0" borderId="0" xfId="0" applyNumberFormat="1" applyFont="1" applyAlignment="1">
      <alignment horizontal="center"/>
    </xf>
    <xf numFmtId="2" fontId="37" fillId="0" borderId="0" xfId="8" applyNumberFormat="1" applyFont="1"/>
    <xf numFmtId="2" fontId="37" fillId="0" borderId="0" xfId="4" applyNumberFormat="1" applyFont="1"/>
    <xf numFmtId="0" fontId="44" fillId="17" borderId="29" xfId="0" applyFont="1" applyFill="1" applyBorder="1" applyAlignment="1">
      <alignment vertical="center" wrapText="1"/>
    </xf>
    <xf numFmtId="0" fontId="44" fillId="17" borderId="30" xfId="0" applyFont="1" applyFill="1" applyBorder="1" applyAlignment="1">
      <alignment vertical="center" wrapText="1"/>
    </xf>
    <xf numFmtId="0" fontId="44" fillId="17" borderId="31" xfId="0" applyFont="1" applyFill="1" applyBorder="1" applyAlignment="1">
      <alignment vertical="center" wrapText="1"/>
    </xf>
    <xf numFmtId="0" fontId="2" fillId="0" borderId="42" xfId="0" applyFont="1" applyBorder="1"/>
    <xf numFmtId="0" fontId="0" fillId="0" borderId="42" xfId="0" applyBorder="1"/>
    <xf numFmtId="0" fontId="2" fillId="0" borderId="43" xfId="0" applyFont="1" applyBorder="1"/>
    <xf numFmtId="0" fontId="0" fillId="0" borderId="43" xfId="0" applyBorder="1"/>
    <xf numFmtId="164" fontId="29" fillId="0" borderId="44" xfId="3" applyNumberFormat="1" applyFont="1" applyBorder="1"/>
    <xf numFmtId="0" fontId="2" fillId="0" borderId="36" xfId="0" applyFont="1" applyBorder="1"/>
    <xf numFmtId="0" fontId="41" fillId="0" borderId="15" xfId="0" applyFont="1" applyBorder="1"/>
    <xf numFmtId="0" fontId="17" fillId="9" borderId="12" xfId="0" applyFont="1" applyFill="1" applyBorder="1" applyAlignment="1">
      <alignment horizontal="center" wrapText="1"/>
    </xf>
    <xf numFmtId="0" fontId="9" fillId="12" borderId="6" xfId="0" applyFont="1" applyFill="1" applyBorder="1"/>
    <xf numFmtId="164" fontId="0" fillId="0" borderId="0" xfId="3" applyNumberFormat="1" applyFont="1" applyAlignment="1"/>
    <xf numFmtId="0" fontId="28" fillId="9" borderId="21" xfId="0" applyFont="1" applyFill="1" applyBorder="1" applyAlignment="1">
      <alignment horizontal="center" vertical="center"/>
    </xf>
    <xf numFmtId="0" fontId="28" fillId="9" borderId="14" xfId="0" applyFont="1" applyFill="1" applyBorder="1" applyAlignment="1">
      <alignment horizontal="center" vertical="center"/>
    </xf>
    <xf numFmtId="9" fontId="29" fillId="13" borderId="12" xfId="4" applyFont="1" applyFill="1" applyBorder="1" applyAlignment="1"/>
    <xf numFmtId="164" fontId="29" fillId="0" borderId="12" xfId="3" applyNumberFormat="1" applyFont="1" applyBorder="1" applyAlignment="1"/>
    <xf numFmtId="4" fontId="29" fillId="0" borderId="22" xfId="0" applyNumberFormat="1" applyFont="1" applyBorder="1"/>
    <xf numFmtId="9" fontId="29" fillId="13" borderId="22" xfId="4" applyFont="1" applyFill="1" applyBorder="1" applyAlignment="1"/>
    <xf numFmtId="1" fontId="29" fillId="0" borderId="22" xfId="0" applyNumberFormat="1" applyFont="1" applyBorder="1"/>
    <xf numFmtId="164" fontId="29" fillId="0" borderId="22" xfId="3" applyNumberFormat="1" applyFont="1" applyBorder="1" applyAlignment="1"/>
    <xf numFmtId="9" fontId="29" fillId="15" borderId="26" xfId="4" applyFont="1" applyFill="1" applyBorder="1" applyAlignment="1"/>
    <xf numFmtId="164" fontId="29" fillId="14" borderId="26" xfId="3" applyNumberFormat="1" applyFont="1" applyFill="1" applyBorder="1" applyAlignment="1"/>
    <xf numFmtId="0" fontId="5" fillId="16" borderId="15" xfId="2" applyFill="1" applyBorder="1" applyAlignment="1"/>
    <xf numFmtId="0" fontId="31" fillId="16" borderId="15" xfId="2" applyFont="1" applyFill="1" applyBorder="1" applyAlignment="1"/>
    <xf numFmtId="0" fontId="31" fillId="16" borderId="15" xfId="2" applyFont="1" applyFill="1" applyBorder="1" applyAlignment="1">
      <alignment vertical="center"/>
    </xf>
    <xf numFmtId="164" fontId="29" fillId="16" borderId="15" xfId="3" applyNumberFormat="1" applyFont="1" applyFill="1" applyBorder="1" applyAlignment="1"/>
    <xf numFmtId="0" fontId="29" fillId="16" borderId="14" xfId="0" applyFont="1" applyFill="1" applyBorder="1"/>
    <xf numFmtId="0" fontId="29" fillId="16" borderId="15" xfId="0" applyFont="1" applyFill="1" applyBorder="1"/>
    <xf numFmtId="0" fontId="5" fillId="16" borderId="12" xfId="2" applyFill="1" applyBorder="1" applyAlignment="1"/>
    <xf numFmtId="0" fontId="31" fillId="16" borderId="12" xfId="2" applyFont="1" applyFill="1" applyBorder="1" applyAlignment="1"/>
    <xf numFmtId="0" fontId="31" fillId="16" borderId="12" xfId="2" applyFont="1" applyFill="1" applyBorder="1" applyAlignment="1">
      <alignment vertical="center"/>
    </xf>
    <xf numFmtId="1" fontId="29" fillId="16" borderId="12" xfId="0" applyNumberFormat="1" applyFont="1" applyFill="1" applyBorder="1" applyAlignment="1">
      <alignment horizontal="center" vertical="center"/>
    </xf>
    <xf numFmtId="164" fontId="29" fillId="16" borderId="12" xfId="3" applyNumberFormat="1" applyFont="1" applyFill="1" applyBorder="1" applyAlignment="1"/>
    <xf numFmtId="0" fontId="17" fillId="9" borderId="21" xfId="0" applyFont="1" applyFill="1" applyBorder="1" applyAlignment="1">
      <alignment horizontal="center" wrapText="1"/>
    </xf>
    <xf numFmtId="1" fontId="17" fillId="9" borderId="12" xfId="0" applyNumberFormat="1" applyFont="1" applyFill="1" applyBorder="1" applyAlignment="1">
      <alignment horizontal="center" wrapText="1"/>
    </xf>
    <xf numFmtId="0" fontId="17" fillId="9" borderId="15" xfId="0" applyFont="1" applyFill="1" applyBorder="1" applyAlignment="1">
      <alignment horizontal="center" wrapText="1"/>
    </xf>
    <xf numFmtId="0" fontId="2" fillId="0" borderId="44" xfId="0" applyFont="1" applyBorder="1"/>
    <xf numFmtId="0" fontId="17" fillId="9" borderId="13" xfId="0" applyFont="1" applyFill="1" applyBorder="1" applyAlignment="1">
      <alignment horizontal="center" wrapText="1"/>
    </xf>
    <xf numFmtId="0" fontId="17" fillId="9" borderId="13" xfId="0" applyFont="1" applyFill="1" applyBorder="1" applyAlignment="1">
      <alignment horizontal="center"/>
    </xf>
    <xf numFmtId="1" fontId="17" fillId="9" borderId="15" xfId="0" applyNumberFormat="1" applyFont="1" applyFill="1" applyBorder="1" applyAlignment="1">
      <alignment horizontal="center" wrapText="1"/>
    </xf>
    <xf numFmtId="0" fontId="40" fillId="19" borderId="40" xfId="0" applyFont="1" applyFill="1" applyBorder="1" applyAlignment="1">
      <alignment horizontal="center"/>
    </xf>
    <xf numFmtId="0" fontId="40" fillId="0" borderId="40" xfId="0" applyFont="1" applyBorder="1" applyAlignment="1">
      <alignment horizontal="center"/>
    </xf>
    <xf numFmtId="0" fontId="4" fillId="0" borderId="42" xfId="0" applyFont="1" applyBorder="1"/>
    <xf numFmtId="2" fontId="4" fillId="0" borderId="2" xfId="0" applyNumberFormat="1" applyFont="1" applyBorder="1"/>
    <xf numFmtId="2" fontId="0" fillId="0" borderId="3" xfId="7" applyNumberFormat="1" applyFont="1" applyBorder="1"/>
    <xf numFmtId="43" fontId="0" fillId="0" borderId="3" xfId="7" applyFont="1" applyBorder="1"/>
    <xf numFmtId="0" fontId="34" fillId="0" borderId="35" xfId="0" applyFont="1" applyBorder="1" applyAlignment="1">
      <alignment horizontal="center"/>
    </xf>
    <xf numFmtId="0" fontId="8" fillId="2" borderId="0" xfId="0" applyFont="1" applyFill="1" applyAlignment="1">
      <alignment horizontal="center"/>
    </xf>
    <xf numFmtId="0" fontId="8" fillId="7" borderId="2" xfId="0" applyFont="1" applyFill="1" applyBorder="1" applyAlignment="1">
      <alignment horizontal="center"/>
    </xf>
    <xf numFmtId="0" fontId="8" fillId="7" borderId="0" xfId="0" applyFont="1" applyFill="1" applyAlignment="1">
      <alignment horizontal="center"/>
    </xf>
    <xf numFmtId="0" fontId="7" fillId="3" borderId="0" xfId="0" applyFont="1" applyFill="1" applyAlignment="1">
      <alignment horizontal="center"/>
    </xf>
    <xf numFmtId="0" fontId="7" fillId="3" borderId="1" xfId="0" applyFont="1" applyFill="1" applyBorder="1" applyAlignment="1">
      <alignment horizontal="center"/>
    </xf>
    <xf numFmtId="0" fontId="8" fillId="4" borderId="2" xfId="0" applyFont="1" applyFill="1" applyBorder="1" applyAlignment="1">
      <alignment horizontal="center"/>
    </xf>
    <xf numFmtId="0" fontId="8" fillId="4" borderId="0" xfId="0" applyFont="1" applyFill="1" applyAlignment="1">
      <alignment horizontal="center"/>
    </xf>
    <xf numFmtId="0" fontId="8" fillId="4" borderId="1" xfId="0" applyFont="1" applyFill="1" applyBorder="1" applyAlignment="1">
      <alignment horizontal="center"/>
    </xf>
    <xf numFmtId="0" fontId="8" fillId="5" borderId="2" xfId="0" applyFont="1" applyFill="1" applyBorder="1" applyAlignment="1">
      <alignment horizontal="center"/>
    </xf>
    <xf numFmtId="0" fontId="8" fillId="5" borderId="0" xfId="0" applyFont="1" applyFill="1" applyAlignment="1">
      <alignment horizontal="center"/>
    </xf>
    <xf numFmtId="0" fontId="8" fillId="5" borderId="1" xfId="0" applyFont="1" applyFill="1" applyBorder="1" applyAlignment="1">
      <alignment horizontal="center"/>
    </xf>
    <xf numFmtId="0" fontId="8" fillId="6" borderId="2" xfId="0" applyFont="1" applyFill="1" applyBorder="1" applyAlignment="1">
      <alignment horizontal="center"/>
    </xf>
    <xf numFmtId="0" fontId="8" fillId="6" borderId="0" xfId="0" applyFont="1" applyFill="1" applyAlignment="1">
      <alignment horizontal="center"/>
    </xf>
    <xf numFmtId="0" fontId="8" fillId="6" borderId="1" xfId="0" applyFont="1" applyFill="1" applyBorder="1" applyAlignment="1">
      <alignment horizontal="center"/>
    </xf>
    <xf numFmtId="0" fontId="8" fillId="2" borderId="10" xfId="0" applyFont="1" applyFill="1" applyBorder="1" applyAlignment="1">
      <alignment horizontal="center"/>
    </xf>
    <xf numFmtId="0" fontId="8" fillId="7" borderId="9" xfId="0" applyFont="1" applyFill="1" applyBorder="1" applyAlignment="1">
      <alignment horizontal="center"/>
    </xf>
    <xf numFmtId="0" fontId="8" fillId="7" borderId="10" xfId="0" applyFont="1" applyFill="1" applyBorder="1" applyAlignment="1">
      <alignment horizontal="center"/>
    </xf>
    <xf numFmtId="0" fontId="8" fillId="7" borderId="11" xfId="0" applyFont="1" applyFill="1" applyBorder="1" applyAlignment="1">
      <alignment horizontal="center"/>
    </xf>
    <xf numFmtId="0" fontId="7" fillId="3" borderId="9" xfId="0" applyFont="1" applyFill="1" applyBorder="1" applyAlignment="1">
      <alignment horizontal="center"/>
    </xf>
    <xf numFmtId="0" fontId="7" fillId="3" borderId="10" xfId="0" applyFont="1" applyFill="1" applyBorder="1" applyAlignment="1">
      <alignment horizontal="center"/>
    </xf>
    <xf numFmtId="0" fontId="7" fillId="3" borderId="11" xfId="0" applyFont="1" applyFill="1" applyBorder="1" applyAlignment="1">
      <alignment horizontal="center"/>
    </xf>
    <xf numFmtId="0" fontId="8" fillId="4" borderId="10" xfId="0" applyFont="1" applyFill="1" applyBorder="1" applyAlignment="1">
      <alignment horizontal="center"/>
    </xf>
    <xf numFmtId="0" fontId="8" fillId="4" borderId="11" xfId="0" applyFont="1" applyFill="1" applyBorder="1" applyAlignment="1">
      <alignment horizontal="center"/>
    </xf>
    <xf numFmtId="0" fontId="8" fillId="5" borderId="9" xfId="0" applyFont="1" applyFill="1" applyBorder="1" applyAlignment="1">
      <alignment horizontal="center"/>
    </xf>
    <xf numFmtId="0" fontId="8" fillId="5" borderId="10" xfId="0" applyFont="1" applyFill="1" applyBorder="1" applyAlignment="1">
      <alignment horizontal="center"/>
    </xf>
    <xf numFmtId="0" fontId="8" fillId="5" borderId="11" xfId="0" applyFont="1" applyFill="1" applyBorder="1" applyAlignment="1">
      <alignment horizontal="center"/>
    </xf>
    <xf numFmtId="0" fontId="8" fillId="6" borderId="9" xfId="0" applyFont="1" applyFill="1" applyBorder="1" applyAlignment="1">
      <alignment horizontal="center"/>
    </xf>
    <xf numFmtId="0" fontId="8" fillId="6" borderId="10" xfId="0" applyFont="1" applyFill="1" applyBorder="1" applyAlignment="1">
      <alignment horizontal="center"/>
    </xf>
    <xf numFmtId="0" fontId="8" fillId="2" borderId="11" xfId="0" applyFont="1" applyFill="1" applyBorder="1" applyAlignment="1">
      <alignment horizontal="center"/>
    </xf>
    <xf numFmtId="0" fontId="34" fillId="0" borderId="27" xfId="0" applyFont="1" applyBorder="1" applyAlignment="1">
      <alignment horizontal="center"/>
    </xf>
    <xf numFmtId="0" fontId="34" fillId="0" borderId="28" xfId="0" applyFont="1" applyBorder="1" applyAlignment="1">
      <alignment horizontal="center"/>
    </xf>
    <xf numFmtId="0" fontId="8" fillId="7" borderId="1" xfId="0" applyFont="1" applyFill="1" applyBorder="1" applyAlignment="1">
      <alignment horizontal="center"/>
    </xf>
    <xf numFmtId="0" fontId="8" fillId="6" borderId="11" xfId="0" applyFont="1" applyFill="1" applyBorder="1" applyAlignment="1">
      <alignment horizontal="center"/>
    </xf>
    <xf numFmtId="0" fontId="8" fillId="2" borderId="9" xfId="0" applyFont="1" applyFill="1" applyBorder="1" applyAlignment="1">
      <alignment horizontal="center"/>
    </xf>
    <xf numFmtId="0" fontId="8" fillId="4" borderId="9" xfId="0" applyFont="1" applyFill="1" applyBorder="1" applyAlignment="1">
      <alignment horizontal="center"/>
    </xf>
    <xf numFmtId="0" fontId="22" fillId="10" borderId="18" xfId="0" applyFont="1" applyFill="1" applyBorder="1" applyAlignment="1">
      <alignment horizontal="center" vertical="center" wrapText="1"/>
    </xf>
    <xf numFmtId="0" fontId="22" fillId="10" borderId="19" xfId="0" applyFont="1" applyFill="1" applyBorder="1" applyAlignment="1">
      <alignment horizontal="center" vertical="center" wrapText="1"/>
    </xf>
    <xf numFmtId="0" fontId="22" fillId="10" borderId="20" xfId="0" applyFont="1" applyFill="1" applyBorder="1" applyAlignment="1">
      <alignment horizontal="center" vertical="center" wrapText="1"/>
    </xf>
    <xf numFmtId="16" fontId="22" fillId="10" borderId="18" xfId="0" applyNumberFormat="1" applyFont="1" applyFill="1" applyBorder="1" applyAlignment="1">
      <alignment horizontal="center" vertical="center" wrapText="1"/>
    </xf>
    <xf numFmtId="16" fontId="22" fillId="10" borderId="19" xfId="0" applyNumberFormat="1" applyFont="1" applyFill="1" applyBorder="1" applyAlignment="1">
      <alignment horizontal="center" vertical="center" wrapText="1"/>
    </xf>
    <xf numFmtId="16" fontId="22" fillId="10" borderId="20" xfId="0" applyNumberFormat="1" applyFont="1" applyFill="1" applyBorder="1" applyAlignment="1">
      <alignment horizontal="center" vertical="center" wrapText="1"/>
    </xf>
    <xf numFmtId="164" fontId="0" fillId="0" borderId="6" xfId="0" applyNumberFormat="1" applyBorder="1" applyAlignment="1">
      <alignment horizontal="center" vertical="center"/>
    </xf>
    <xf numFmtId="0" fontId="0" fillId="0" borderId="0" xfId="0" applyAlignment="1">
      <alignment horizontal="center" wrapText="1"/>
    </xf>
    <xf numFmtId="0" fontId="4" fillId="20" borderId="0" xfId="0" applyFont="1" applyFill="1" applyAlignment="1">
      <alignment horizontal="center"/>
    </xf>
    <xf numFmtId="0" fontId="42" fillId="0" borderId="0" xfId="0" applyFont="1" applyAlignment="1">
      <alignment horizontal="center"/>
    </xf>
  </cellXfs>
  <cellStyles count="9">
    <cellStyle name="Comma" xfId="7" builtinId="3"/>
    <cellStyle name="Currency" xfId="3" builtinId="4"/>
    <cellStyle name="GH_Table2_Header" xfId="1" xr:uid="{044E1256-E282-48BF-A5C2-DE13FE22BDE2}"/>
    <cellStyle name="Hyperlink" xfId="2" builtinId="8"/>
    <cellStyle name="N_Table0_Cell" xfId="6" xr:uid="{57560023-16AA-43AF-ABDB-1E64C1953966}"/>
    <cellStyle name="N_Table1_Header" xfId="5" xr:uid="{1A595F45-57BD-4A05-9969-7125E3120C80}"/>
    <cellStyle name="Normal" xfId="0" builtinId="0"/>
    <cellStyle name="Normal 2" xfId="8" xr:uid="{194274E1-294C-4BFE-8D7E-0A1A64FA33F6}"/>
    <cellStyle name="Percent" xfId="4" builtinId="5"/>
  </cellStyles>
  <dxfs count="207">
    <dxf>
      <numFmt numFmtId="0" formatCode="General"/>
    </dxf>
    <dxf>
      <numFmt numFmtId="12" formatCode="&quot;$&quot;#,##0.00_);[Red]\(&quot;$&quot;#,##0.00\)"/>
    </dxf>
    <dxf>
      <numFmt numFmtId="12" formatCode="&quot;$&quot;#,##0.00_);[Red]\(&quot;$&quot;#,##0.00\)"/>
    </dxf>
    <dxf>
      <numFmt numFmtId="12" formatCode="&quot;$&quot;#,##0.00_);[Red]\(&quot;$&quot;#,##0.00\)"/>
    </dxf>
    <dxf>
      <numFmt numFmtId="12" formatCode="&quot;$&quot;#,##0.00_);[Red]\(&quot;$&quot;#,##0.00\)"/>
    </dxf>
    <dxf>
      <numFmt numFmtId="12" formatCode="&quot;$&quot;#,##0.00_);[Red]\(&quot;$&quot;#,##0.00\)"/>
    </dxf>
    <dxf>
      <numFmt numFmtId="12" formatCode="&quot;$&quot;#,##0.00_);[Red]\(&quot;$&quot;#,##0.0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0" formatCode="General"/>
    </dxf>
    <dxf>
      <numFmt numFmtId="12" formatCode="&quot;$&quot;#,##0.00_);[Red]\(&quot;$&quot;#,##0.00\)"/>
    </dxf>
    <dxf>
      <numFmt numFmtId="12" formatCode="&quot;$&quot;#,##0.00_);[Red]\(&quot;$&quot;#,##0.00\)"/>
    </dxf>
    <dxf>
      <numFmt numFmtId="12" formatCode="&quot;$&quot;#,##0.00_);[Red]\(&quot;$&quot;#,##0.00\)"/>
    </dxf>
    <dxf>
      <numFmt numFmtId="12" formatCode="&quot;$&quot;#,##0.00_);[Red]\(&quot;$&quot;#,##0.00\)"/>
    </dxf>
    <dxf>
      <numFmt numFmtId="12" formatCode="&quot;$&quot;#,##0.00_);[Red]\(&quot;$&quot;#,##0.00\)"/>
    </dxf>
    <dxf>
      <numFmt numFmtId="12" formatCode="&quot;$&quot;#,##0.00_);[Red]\(&quot;$&quot;#,##0.0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0" formatCode="General"/>
    </dxf>
    <dxf>
      <numFmt numFmtId="12" formatCode="&quot;$&quot;#,##0.00_);[Red]\(&quot;$&quot;#,##0.00\)"/>
    </dxf>
    <dxf>
      <numFmt numFmtId="12" formatCode="&quot;$&quot;#,##0.00_);[Red]\(&quot;$&quot;#,##0.00\)"/>
    </dxf>
    <dxf>
      <numFmt numFmtId="12" formatCode="&quot;$&quot;#,##0.00_);[Red]\(&quot;$&quot;#,##0.00\)"/>
    </dxf>
    <dxf>
      <numFmt numFmtId="12" formatCode="&quot;$&quot;#,##0.00_);[Red]\(&quot;$&quot;#,##0.00\)"/>
    </dxf>
    <dxf>
      <numFmt numFmtId="12" formatCode="&quot;$&quot;#,##0.00_);[Red]\(&quot;$&quot;#,##0.00\)"/>
    </dxf>
    <dxf>
      <numFmt numFmtId="12" formatCode="&quot;$&quot;#,##0.00_);[Red]\(&quot;$&quot;#,##0.0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2" formatCode="0.00"/>
    </dxf>
    <dxf>
      <numFmt numFmtId="12" formatCode="&quot;$&quot;#,##0.00_);[Red]\(&quot;$&quot;#,##0.00\)"/>
    </dxf>
    <dxf>
      <numFmt numFmtId="12" formatCode="&quot;$&quot;#,##0.00_);[Red]\(&quot;$&quot;#,##0.00\)"/>
    </dxf>
    <dxf>
      <numFmt numFmtId="12" formatCode="&quot;$&quot;#,##0.00_);[Red]\(&quot;$&quot;#,##0.00\)"/>
    </dxf>
    <dxf>
      <numFmt numFmtId="12" formatCode="&quot;$&quot;#,##0.00_);[Red]\(&quot;$&quot;#,##0.00\)"/>
    </dxf>
    <dxf>
      <numFmt numFmtId="164" formatCode="&quot;$&quot;#,##0.00"/>
    </dxf>
    <dxf>
      <numFmt numFmtId="12" formatCode="&quot;$&quot;#,##0.00_);[Red]\(&quot;$&quot;#,##0.00\)"/>
    </dxf>
    <dxf>
      <numFmt numFmtId="12" formatCode="&quot;$&quot;#,##0.00_);[Red]\(&quot;$&quot;#,##0.00\)"/>
    </dxf>
    <dxf>
      <numFmt numFmtId="0" formatCode="General"/>
    </dxf>
    <dxf>
      <numFmt numFmtId="12" formatCode="&quot;$&quot;#,##0.00_);[Red]\(&quot;$&quot;#,##0.00\)"/>
    </dxf>
    <dxf>
      <numFmt numFmtId="164" formatCode="&quot;$&quot;#,##0.00"/>
    </dxf>
    <dxf>
      <numFmt numFmtId="0" formatCode="General"/>
    </dxf>
    <dxf>
      <border outline="0">
        <top style="thin">
          <color theme="4" tint="0.39997558519241921"/>
        </top>
      </border>
    </dxf>
    <dxf>
      <border outline="0">
        <bottom style="thin">
          <color theme="4" tint="0.39997558519241921"/>
        </bottom>
      </border>
    </dxf>
    <dxf>
      <font>
        <b val="0"/>
        <i val="0"/>
        <strike val="0"/>
        <condense val="0"/>
        <extend val="0"/>
        <outline val="0"/>
        <shadow val="0"/>
        <u val="none"/>
        <vertAlign val="baseline"/>
        <sz val="11"/>
        <color rgb="FF000000"/>
        <name val="Calibri"/>
        <family val="2"/>
        <scheme val="minor"/>
      </font>
    </dxf>
    <dxf>
      <numFmt numFmtId="34" formatCode="_(&quot;$&quot;* #,##0.00_);_(&quot;$&quot;* \(#,##0.00\);_(&quot;$&quot;* &quot;-&quot;??_);_(@_)"/>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numFmt numFmtId="0" formatCode="General"/>
    </dxf>
    <dxf>
      <font>
        <b/>
        <i val="0"/>
        <strike val="0"/>
        <condense val="0"/>
        <extend val="0"/>
        <outline val="0"/>
        <shadow val="0"/>
        <u val="none"/>
        <vertAlign val="baseline"/>
        <sz val="11"/>
        <color theme="1"/>
        <name val="Calibri"/>
        <family val="2"/>
        <scheme val="minor"/>
      </font>
    </dxf>
    <dxf>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fill>
        <patternFill patternType="solid">
          <fgColor theme="4" tint="0.79998168889431442"/>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family val="2"/>
        <scheme val="none"/>
      </font>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border diagonalUp="0" diagonalDown="0">
        <left/>
        <right/>
        <top style="thin">
          <color theme="4" tint="0.39997558519241921"/>
        </top>
        <bottom style="thin">
          <color theme="4" tint="0.39997558519241921"/>
        </bottom>
        <vertical/>
        <horizontal/>
      </border>
    </dxf>
    <dxf>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border diagonalUp="0" diagonalDown="0">
        <left/>
        <right/>
        <top style="thin">
          <color theme="4" tint="0.39997558519241921"/>
        </top>
        <bottom style="thin">
          <color theme="4" tint="0.39997558519241921"/>
        </bottom>
        <vertical/>
        <horizontal/>
      </border>
    </dxf>
    <dxf>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border diagonalUp="0" diagonalDown="0">
        <left/>
        <right/>
        <top style="thin">
          <color theme="4" tint="0.39997558519241921"/>
        </top>
        <bottom style="thin">
          <color theme="4" tint="0.39997558519241921"/>
        </bottom>
        <vertical/>
        <horizontal/>
      </border>
    </dxf>
    <dxf>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12" formatCode="&quot;$&quot;#,##0.00_);[Red]\(&quot;$&quot;#,##0.00\)"/>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border diagonalUp="0" diagonalDown="0">
        <left/>
        <right/>
        <top style="thin">
          <color theme="4" tint="0.39997558519241921"/>
        </top>
        <bottom style="thin">
          <color theme="4" tint="0.39997558519241921"/>
        </bottom>
        <vertical/>
        <horizontal/>
      </border>
    </dxf>
    <dxf>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border diagonalUp="0" diagonalDown="0">
        <left/>
        <right/>
        <top style="thin">
          <color theme="4" tint="0.39997558519241921"/>
        </top>
        <bottom style="thin">
          <color theme="4" tint="0.39997558519241921"/>
        </bottom>
        <vertical/>
        <horizontal/>
      </border>
    </dxf>
    <dxf>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border diagonalUp="0" diagonalDown="0">
        <left/>
        <right/>
        <top style="thin">
          <color theme="4" tint="0.39997558519241921"/>
        </top>
        <bottom style="thin">
          <color theme="4" tint="0.39997558519241921"/>
        </bottom>
        <vertical/>
        <horizontal/>
      </border>
    </dxf>
    <dxf>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12" formatCode="&quot;$&quot;#,##0.00_);[Red]\(&quot;$&quot;#,##0.00\)"/>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family val="2"/>
        <scheme val="none"/>
      </font>
      <numFmt numFmtId="164" formatCode="&quot;$&quot;#,##0.00"/>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12" formatCode="&quot;$&quot;#,##0.00_);[Red]\(&quot;$&quot;#,##0.00\)"/>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family val="2"/>
        <scheme val="none"/>
      </font>
      <numFmt numFmtId="164" formatCode="&quot;$&quot;#,##0.00"/>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164" formatCode="&quot;$&quot;#,##0.00"/>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family val="2"/>
        <scheme val="none"/>
      </font>
      <numFmt numFmtId="12" formatCode="&quot;$&quot;#,##0.00_);[Red]\(&quot;$&quot;#,##0.00\)"/>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12" formatCode="&quot;$&quot;#,##0.00_);[Red]\(&quot;$&quot;#,##0.00\)"/>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family val="2"/>
        <scheme val="none"/>
      </font>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family val="2"/>
        <scheme val="none"/>
      </font>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family val="2"/>
        <scheme val="none"/>
      </font>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numFmt numFmtId="0" formatCode="Genera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family val="2"/>
        <scheme val="none"/>
      </font>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ertAlign val="baseline"/>
        <sz val="11"/>
        <color theme="10"/>
        <name val="Calibri"/>
        <family val="2"/>
        <scheme val="minor"/>
      </font>
      <alignment horizontal="center" vertical="bottom" textRotation="0" wrapText="0" indent="0" justifyLastLine="0" shrinkToFit="0" readingOrder="0"/>
      <border diagonalUp="0" diagonalDown="0" outline="0">
        <left/>
        <right/>
        <top style="thin">
          <color theme="4" tint="0.39997558519241921"/>
        </top>
        <bottom/>
      </border>
    </dxf>
    <dxf>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8"/>
        <color theme="0"/>
        <name val="Arial"/>
        <family val="2"/>
        <scheme val="none"/>
      </font>
      <fill>
        <patternFill patternType="solid">
          <fgColor theme="4"/>
          <bgColor theme="4"/>
        </patternFill>
      </fill>
      <alignment horizontal="center" vertical="center" textRotation="0" wrapText="1" indent="0" justifyLastLine="0" shrinkToFit="0" readingOrder="0"/>
    </dxf>
    <dxf>
      <numFmt numFmtId="166" formatCode="_(&quot;$&quot;* #,##0_);_(&quot;$&quot;* \(#,##0\);_(&quot;$&quot;* &quot;-&quot;??_);_(@_)"/>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numFmt numFmtId="34" formatCode="_(&quot;$&quot;* #,##0.00_);_(&quot;$&quot;* \(#,##0.00\);_(&quot;$&quot;* &quot;-&quot;??_);_(@_)"/>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alignment horizontal="left" vertical="bottom" textRotation="0" indent="0" justifyLastLine="0" shrinkToFit="0" readingOrder="0"/>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numFmt numFmtId="164" formatCode="&quot;$&quot;#,##0.00"/>
    </dxf>
    <dxf>
      <numFmt numFmtId="164" formatCode="&quot;$&quot;#,##0.00"/>
    </dxf>
    <dxf>
      <numFmt numFmtId="164" formatCode="&quot;$&quot;#,##0.00"/>
    </dxf>
    <dxf>
      <numFmt numFmtId="164" formatCode="&quot;$&quot;#,##0.00"/>
    </dxf>
    <dxf>
      <fill>
        <patternFill patternType="none">
          <fgColor indexed="64"/>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2" formatCode="&quot;$&quot;#,##0.00_);[Red]\(&quot;$&quot;#,##0.00\)"/>
      <fill>
        <patternFill patternType="none">
          <bgColor auto="1"/>
        </patternFill>
      </fill>
    </dxf>
    <dxf>
      <font>
        <b val="0"/>
        <i val="0"/>
        <strike val="0"/>
        <condense val="0"/>
        <extend val="0"/>
        <outline val="0"/>
        <shadow val="0"/>
        <u val="none"/>
        <vertAlign val="baseline"/>
        <sz val="11"/>
        <color rgb="FF000000"/>
        <name val="Calibri"/>
        <family val="2"/>
        <scheme val="minor"/>
      </font>
      <numFmt numFmtId="12" formatCode="&quot;$&quot;#,##0.00_);[Red]\(&quot;$&quot;#,##0.00\)"/>
      <fill>
        <patternFill patternType="none">
          <fgColor rgb="FFD9E1F2"/>
          <bgColor auto="1"/>
        </patternFill>
      </fill>
    </dxf>
    <dxf>
      <fill>
        <patternFill patternType="none">
          <bgColor auto="1"/>
        </patternFill>
      </fill>
    </dxf>
    <dxf>
      <font>
        <b val="0"/>
        <i val="0"/>
        <strike val="0"/>
        <condense val="0"/>
        <extend val="0"/>
        <outline val="0"/>
        <shadow val="0"/>
        <u val="none"/>
        <vertAlign val="baseline"/>
        <sz val="11"/>
        <color rgb="FF000000"/>
        <name val="Calibri"/>
        <family val="2"/>
        <scheme val="minor"/>
      </font>
      <numFmt numFmtId="12" formatCode="&quot;$&quot;#,##0.00_);[Red]\(&quot;$&quot;#,##0.00\)"/>
      <fill>
        <patternFill patternType="none">
          <fgColor rgb="FFD9E1F2"/>
          <bgColor auto="1"/>
        </patternFill>
      </fill>
    </dxf>
    <dxf>
      <font>
        <b val="0"/>
        <i val="0"/>
        <strike val="0"/>
        <condense val="0"/>
        <extend val="0"/>
        <outline val="0"/>
        <shadow val="0"/>
        <u val="none"/>
        <vertAlign val="baseline"/>
        <sz val="11"/>
        <color rgb="FF000000"/>
        <name val="Calibri"/>
        <family val="2"/>
        <scheme val="minor"/>
      </font>
      <numFmt numFmtId="12" formatCode="&quot;$&quot;#,##0.00_);[Red]\(&quot;$&quot;#,##0.00\)"/>
      <fill>
        <patternFill patternType="none">
          <fgColor rgb="FFD9E1F2"/>
          <bgColor auto="1"/>
        </patternFill>
      </fill>
    </dxf>
    <dxf>
      <font>
        <b val="0"/>
        <i val="0"/>
        <strike val="0"/>
        <condense val="0"/>
        <extend val="0"/>
        <outline val="0"/>
        <shadow val="0"/>
        <u val="none"/>
        <vertAlign val="baseline"/>
        <sz val="11"/>
        <color rgb="FF000000"/>
        <name val="Calibri"/>
        <family val="2"/>
        <scheme val="minor"/>
      </font>
      <numFmt numFmtId="12" formatCode="&quot;$&quot;#,##0.00_);[Red]\(&quot;$&quot;#,##0.00\)"/>
      <fill>
        <patternFill patternType="none">
          <fgColor rgb="FFD9E1F2"/>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top style="thin">
          <color theme="4" tint="0.39997558519241921"/>
        </top>
      </border>
    </dxf>
    <dxf>
      <fill>
        <patternFill patternType="none">
          <bgColor auto="1"/>
        </patternFill>
      </fill>
    </dxf>
    <dxf>
      <border outline="0">
        <bottom style="thin">
          <color theme="4" tint="0.39997558519241921"/>
        </bottom>
      </border>
    </dxf>
    <dxf>
      <numFmt numFmtId="34" formatCode="_(&quot;$&quot;* #,##0.00_);_(&quot;$&quot;* \(#,##0.00\);_(&quot;$&quot;* &quot;-&quot;??_);_(@_)"/>
    </dxf>
    <dxf>
      <numFmt numFmtId="166" formatCode="_(&quot;$&quot;* #,##0_);_(&quot;$&quot;* \(#,##0\);_(&quot;$&quot;* &quot;-&quot;??_);_(@_)"/>
    </dxf>
    <dxf>
      <numFmt numFmtId="166" formatCode="_(&quot;$&quot;* #,##0_);_(&quot;$&quot;* \(#,##0\);_(&quot;$&quot;* &quot;-&quot;??_);_(@_)"/>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font>
        <strike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theme="1"/>
        <name val="Calibri"/>
        <family val="2"/>
        <scheme val="minor"/>
      </font>
      <numFmt numFmtId="164" formatCode="&quot;$&quot;#,##0.0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quot;$&quot;#,##0.0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164" formatCode="&quot;$&quot;#,##0.00"/>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164" formatCode="&quot;$&quot;#,##0.00"/>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strike val="0"/>
        <outline val="0"/>
        <shadow val="0"/>
        <u val="none"/>
        <vertAlign val="baseline"/>
        <sz val="8"/>
        <name val="Arial"/>
        <family val="2"/>
        <scheme val="none"/>
      </font>
    </dxf>
    <dxf>
      <font>
        <strike val="0"/>
        <outline val="0"/>
        <shadow val="0"/>
        <u val="none"/>
        <vertAlign val="baseline"/>
        <sz val="8"/>
        <name val="Arial"/>
        <family val="2"/>
        <scheme val="none"/>
      </font>
    </dxf>
    <dxf>
      <font>
        <b val="0"/>
        <i val="0"/>
        <strike val="0"/>
        <condense val="0"/>
        <extend val="0"/>
        <outline val="0"/>
        <shadow val="0"/>
        <u val="none"/>
        <vertAlign val="baseline"/>
        <sz val="8"/>
        <color indexed="8"/>
        <name val="Arial"/>
        <family val="2"/>
        <scheme val="none"/>
      </font>
      <numFmt numFmtId="2" formatCode="0.00"/>
    </dxf>
    <dxf>
      <font>
        <b val="0"/>
        <i val="0"/>
        <strike val="0"/>
        <condense val="0"/>
        <extend val="0"/>
        <outline val="0"/>
        <shadow val="0"/>
        <u val="none"/>
        <vertAlign val="baseline"/>
        <sz val="8"/>
        <color indexed="8"/>
        <name val="Arial"/>
        <family val="2"/>
        <scheme val="none"/>
      </font>
      <numFmt numFmtId="2" formatCode="0.00"/>
    </dxf>
    <dxf>
      <font>
        <strike val="0"/>
        <outline val="0"/>
        <shadow val="0"/>
        <u val="none"/>
        <vertAlign val="baseline"/>
        <sz val="8"/>
        <name val="Arial"/>
        <family val="2"/>
        <scheme val="none"/>
      </font>
      <numFmt numFmtId="34" formatCode="_(&quot;$&quot;* #,##0.00_);_(&quot;$&quot;* \(#,##0.00\);_(&quot;$&quot;* &quot;-&quot;??_);_(@_)"/>
    </dxf>
    <dxf>
      <font>
        <strike val="0"/>
        <outline val="0"/>
        <shadow val="0"/>
        <u val="none"/>
        <vertAlign val="baseline"/>
        <sz val="8"/>
        <name val="Arial"/>
        <family val="2"/>
        <scheme val="none"/>
      </font>
      <numFmt numFmtId="34" formatCode="_(&quot;$&quot;* #,##0.00_);_(&quot;$&quot;* \(#,##0.00\);_(&quot;$&quot;* &quot;-&quot;??_);_(@_)"/>
    </dxf>
    <dxf>
      <font>
        <strike val="0"/>
        <outline val="0"/>
        <shadow val="0"/>
        <u val="none"/>
        <vertAlign val="baseline"/>
        <sz val="8"/>
        <name val="Arial"/>
        <family val="2"/>
        <scheme val="none"/>
      </font>
      <numFmt numFmtId="34" formatCode="_(&quot;$&quot;* #,##0.00_);_(&quot;$&quot;* \(#,##0.00\);_(&quot;$&quot;* &quot;-&quot;??_);_(@_)"/>
    </dxf>
    <dxf>
      <font>
        <strike val="0"/>
        <outline val="0"/>
        <shadow val="0"/>
        <u val="none"/>
        <vertAlign val="baseline"/>
        <sz val="8"/>
        <name val="Arial"/>
        <family val="2"/>
        <scheme val="none"/>
      </font>
      <alignment horizontal="center" vertical="bottom" textRotation="0" wrapText="0" indent="0" justifyLastLine="0" shrinkToFit="0" readingOrder="0"/>
    </dxf>
    <dxf>
      <font>
        <strike val="0"/>
        <outline val="0"/>
        <shadow val="0"/>
        <u val="none"/>
        <vertAlign val="baseline"/>
        <sz val="8"/>
        <name val="Arial"/>
        <family val="2"/>
        <scheme val="none"/>
      </font>
      <alignment horizontal="center" vertical="bottom" textRotation="0" wrapText="0" indent="0" justifyLastLine="0" shrinkToFit="0" readingOrder="0"/>
    </dxf>
    <dxf>
      <font>
        <strike val="0"/>
        <outline val="0"/>
        <shadow val="0"/>
        <u val="none"/>
        <vertAlign val="baseline"/>
        <sz val="8"/>
        <name val="Arial"/>
        <family val="2"/>
        <scheme val="none"/>
      </font>
      <alignment horizontal="center" vertical="bottom" textRotation="0" wrapText="0" indent="0" justifyLastLine="0" shrinkToFit="0" readingOrder="0"/>
    </dxf>
    <dxf>
      <font>
        <strike val="0"/>
        <outline val="0"/>
        <shadow val="0"/>
        <u val="none"/>
        <vertAlign val="baseline"/>
        <sz val="8"/>
        <name val="Arial"/>
        <family val="2"/>
        <scheme val="none"/>
      </font>
    </dxf>
    <dxf>
      <font>
        <strike val="0"/>
        <outline val="0"/>
        <shadow val="0"/>
        <u val="none"/>
        <vertAlign val="baseline"/>
        <sz val="8"/>
        <name val="Arial"/>
        <family val="2"/>
        <scheme val="none"/>
      </font>
    </dxf>
    <dxf>
      <font>
        <strike val="0"/>
        <outline val="0"/>
        <shadow val="0"/>
        <u val="none"/>
        <vertAlign val="baseline"/>
        <sz val="8"/>
        <name val="Arial"/>
        <family val="2"/>
        <scheme val="none"/>
      </font>
    </dxf>
    <dxf>
      <border outline="0">
        <bottom style="thin">
          <color indexed="64"/>
        </bottom>
      </border>
    </dxf>
    <dxf>
      <font>
        <b/>
        <i val="0"/>
        <strike val="0"/>
        <condense val="0"/>
        <extend val="0"/>
        <outline val="0"/>
        <shadow val="0"/>
        <u val="none"/>
        <vertAlign val="baseline"/>
        <sz val="8"/>
        <color rgb="FFFFFFFF"/>
        <name val="Arial"/>
        <family val="2"/>
        <scheme val="none"/>
      </font>
      <fill>
        <patternFill patternType="solid">
          <fgColor rgb="FF000000"/>
          <bgColor rgb="FF4472C4"/>
        </patternFill>
      </fill>
      <alignment horizontal="general" vertical="center" textRotation="0" wrapText="1" indent="0" justifyLastLine="0" shrinkToFit="0" readingOrder="0"/>
      <border diagonalUp="0" diagonalDown="0" outline="0">
        <left style="thin">
          <color rgb="FF000000"/>
        </left>
        <right style="thin">
          <color rgb="FF000000"/>
        </right>
        <top/>
        <bottom/>
      </border>
    </dxf>
    <dxf>
      <fill>
        <patternFill patternType="none">
          <fgColor indexed="64"/>
          <bgColor indexed="65"/>
        </patternFill>
      </fill>
    </dxf>
    <dxf>
      <font>
        <b val="0"/>
        <i val="0"/>
        <strike val="0"/>
        <outline val="0"/>
        <shadow val="0"/>
        <u val="none"/>
        <vertAlign val="baseline"/>
        <sz val="11"/>
        <color theme="0"/>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microsoft.com/office/2017/10/relationships/person" Target="persons/person.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eetMetadata" Target="metadata.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14</xdr:col>
      <xdr:colOff>117475</xdr:colOff>
      <xdr:row>28</xdr:row>
      <xdr:rowOff>136525</xdr:rowOff>
    </xdr:from>
    <xdr:to>
      <xdr:col>21</xdr:col>
      <xdr:colOff>247650</xdr:colOff>
      <xdr:row>43</xdr:row>
      <xdr:rowOff>48235</xdr:rowOff>
    </xdr:to>
    <mc:AlternateContent xmlns:mc="http://schemas.openxmlformats.org/markup-compatibility/2006" xmlns:a14="http://schemas.microsoft.com/office/drawing/2010/main">
      <mc:Choice Requires="a14">
        <xdr:sp macro="" textlink="">
          <xdr:nvSpPr>
            <xdr:cNvPr id="3" name="TextBox 1">
              <a:extLst>
                <a:ext uri="{FF2B5EF4-FFF2-40B4-BE49-F238E27FC236}">
                  <a16:creationId xmlns:a16="http://schemas.microsoft.com/office/drawing/2014/main" id="{4B896DC6-2A0A-4608-BD93-B2CB1E6D9AA7}"/>
                </a:ext>
              </a:extLst>
            </xdr:cNvPr>
            <xdr:cNvSpPr txBox="1"/>
          </xdr:nvSpPr>
          <xdr:spPr>
            <a:xfrm>
              <a:off x="13604875" y="5251450"/>
              <a:ext cx="4397375" cy="26263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Rating</a:t>
              </a:r>
              <a:r>
                <a:rPr lang="en-US" sz="1100" b="1" baseline="0"/>
                <a:t> Explanation:</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Each regression was given a zconfidence rating in the categories of sample size (SS) , median </a:t>
              </a:r>
              <a14:m>
                <m:oMath xmlns:m="http://schemas.openxmlformats.org/officeDocument/2006/math">
                  <m:sSup>
                    <m:sSupPr>
                      <m:ctrlPr>
                        <a:rPr lang="en-US" sz="1100" b="0" i="1" baseline="0">
                          <a:solidFill>
                            <a:schemeClr val="dk1"/>
                          </a:solidFill>
                          <a:effectLst/>
                          <a:latin typeface="Cambria Math" panose="02040503050406030204" pitchFamily="18" charset="0"/>
                          <a:ea typeface="+mn-ea"/>
                          <a:cs typeface="+mn-cs"/>
                        </a:rPr>
                      </m:ctrlPr>
                    </m:sSupPr>
                    <m:e>
                      <m:r>
                        <a:rPr lang="en-US" sz="1100" b="0" i="1" baseline="0">
                          <a:solidFill>
                            <a:schemeClr val="dk1"/>
                          </a:solidFill>
                          <a:effectLst/>
                          <a:latin typeface="Cambria Math" panose="02040503050406030204" pitchFamily="18" charset="0"/>
                          <a:ea typeface="+mn-ea"/>
                          <a:cs typeface="+mn-cs"/>
                        </a:rPr>
                        <m:t>𝑅</m:t>
                      </m:r>
                    </m:e>
                    <m:sup>
                      <m:r>
                        <a:rPr lang="en-US" sz="1100" b="0" i="1" baseline="0">
                          <a:solidFill>
                            <a:schemeClr val="dk1"/>
                          </a:solidFill>
                          <a:effectLst/>
                          <a:latin typeface="Cambria Math" panose="02040503050406030204" pitchFamily="18" charset="0"/>
                          <a:ea typeface="+mn-ea"/>
                          <a:cs typeface="+mn-cs"/>
                        </a:rPr>
                        <m:t>2</m:t>
                      </m:r>
                    </m:sup>
                  </m:sSup>
                </m:oMath>
              </a14:m>
              <a:r>
                <a:rPr lang="en-US" sz="1100" b="0" i="0" u="none" strike="noStrike" baseline="0">
                  <a:solidFill>
                    <a:schemeClr val="dk1"/>
                  </a:solidFill>
                  <a:effectLst/>
                  <a:latin typeface="+mn-lt"/>
                  <a:ea typeface="+mn-ea"/>
                  <a:cs typeface="+mn-cs"/>
                </a:rPr>
                <a:t> (R2), and source diversity, to qualify how robust the data and corresponding regressions are. If a dataset had a sample size above 100 data points, it was marked as "High SS". If it had between 50 and 100 data points, it was marked as "Medium SS" and less than 50 corresponds to "Low SS". If the regression plot had a median </a:t>
              </a:r>
              <a14:m>
                <m:oMath xmlns:m="http://schemas.openxmlformats.org/officeDocument/2006/math">
                  <m:sSup>
                    <m:sSupPr>
                      <m:ctrlPr>
                        <a:rPr lang="en-US" sz="1100" b="0" i="1" u="none" strike="noStrike" baseline="0">
                          <a:solidFill>
                            <a:schemeClr val="dk1"/>
                          </a:solidFill>
                          <a:effectLst/>
                          <a:latin typeface="Cambria Math" panose="02040503050406030204" pitchFamily="18" charset="0"/>
                          <a:ea typeface="+mn-ea"/>
                          <a:cs typeface="+mn-cs"/>
                        </a:rPr>
                      </m:ctrlPr>
                    </m:sSupPr>
                    <m:e>
                      <m:r>
                        <a:rPr lang="en-US" sz="1100" b="0" i="1" u="none" strike="noStrike" baseline="0">
                          <a:solidFill>
                            <a:schemeClr val="dk1"/>
                          </a:solidFill>
                          <a:effectLst/>
                          <a:latin typeface="Cambria Math" panose="02040503050406030204" pitchFamily="18" charset="0"/>
                          <a:ea typeface="+mn-ea"/>
                          <a:cs typeface="+mn-cs"/>
                        </a:rPr>
                        <m:t>𝑅</m:t>
                      </m:r>
                    </m:e>
                    <m:sup>
                      <m:r>
                        <a:rPr lang="en-US" sz="1100" b="0" i="1" u="none" strike="noStrike" baseline="0">
                          <a:solidFill>
                            <a:schemeClr val="dk1"/>
                          </a:solidFill>
                          <a:effectLst/>
                          <a:latin typeface="Cambria Math" panose="02040503050406030204" pitchFamily="18" charset="0"/>
                          <a:ea typeface="+mn-ea"/>
                          <a:cs typeface="+mn-cs"/>
                        </a:rPr>
                        <m:t>2</m:t>
                      </m:r>
                    </m:sup>
                  </m:sSup>
                  <m:r>
                    <a:rPr lang="en-US" sz="1100" b="0" i="0" u="none" strike="noStrike" baseline="0">
                      <a:solidFill>
                        <a:schemeClr val="dk1"/>
                      </a:solidFill>
                      <a:effectLst/>
                      <a:latin typeface="Cambria Math" panose="02040503050406030204" pitchFamily="18" charset="0"/>
                      <a:ea typeface="+mn-ea"/>
                      <a:cs typeface="+mn-cs"/>
                    </a:rPr>
                    <m:t> </m:t>
                  </m:r>
                </m:oMath>
              </a14:m>
              <a:r>
                <a:rPr lang="en-US" sz="1100"/>
                <a:t>over 0.4, it is</a:t>
              </a:r>
              <a:r>
                <a:rPr lang="en-US" sz="1100" baseline="0"/>
                <a:t> marked as "High R2", if between 0.4 and 0.1, "Medium R2", and if lower than 0.1 it is marked as "Low R2". For source diversity, if the data set uses over two (2) different sources, it is "High Source Diversity". If there are only two (2) sources, it is "Medium Source Diversity", and if the data just comes from one (1) source then it is marked as "Low Source Diversity".</a:t>
              </a:r>
              <a:r>
                <a:rPr lang="en-US" sz="1100" baseline="0">
                  <a:solidFill>
                    <a:schemeClr val="dk1"/>
                  </a:solidFill>
                  <a:effectLst/>
                  <a:latin typeface="+mn-lt"/>
                  <a:ea typeface="+mn-ea"/>
                  <a:cs typeface="+mn-cs"/>
                </a:rPr>
                <a:t> No clear sources refers to cases where the source material was not marked for the component.</a:t>
              </a:r>
              <a:endParaRPr lang="en-US" sz="1100" baseline="0"/>
            </a:p>
          </xdr:txBody>
        </xdr:sp>
      </mc:Choice>
      <mc:Fallback xmlns="">
        <xdr:sp macro="" textlink="">
          <xdr:nvSpPr>
            <xdr:cNvPr id="2" name="TextBox 1">
              <a:extLst>
                <a:ext uri="{FF2B5EF4-FFF2-40B4-BE49-F238E27FC236}">
                  <a16:creationId xmlns:a16="http://schemas.microsoft.com/office/drawing/2014/main" id="{4B896DC6-2A0A-4608-BD93-B2CB1E6D9AA7}"/>
                </a:ext>
              </a:extLst>
            </xdr:cNvPr>
            <xdr:cNvSpPr txBox="1"/>
          </xdr:nvSpPr>
          <xdr:spPr>
            <a:xfrm>
              <a:off x="8909050" y="749300"/>
              <a:ext cx="4397375" cy="2670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Rating</a:t>
              </a:r>
              <a:r>
                <a:rPr lang="en-US" sz="1100" b="1" baseline="0"/>
                <a:t> Explanation:</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Each regression was given a zconfidence rating in the categories of sample size (SS) , median </a:t>
              </a:r>
              <a:r>
                <a:rPr lang="en-US" sz="1100" b="0" i="0" baseline="0">
                  <a:solidFill>
                    <a:schemeClr val="dk1"/>
                  </a:solidFill>
                  <a:effectLst/>
                  <a:latin typeface="Cambria Math" panose="02040503050406030204" pitchFamily="18" charset="0"/>
                  <a:ea typeface="+mn-ea"/>
                  <a:cs typeface="+mn-cs"/>
                </a:rPr>
                <a:t>𝑅</a:t>
              </a:r>
              <a:r>
                <a:rPr lang="en-US" sz="1100" b="0" i="0" baseline="0">
                  <a:solidFill>
                    <a:schemeClr val="dk1"/>
                  </a:solidFill>
                  <a:effectLst/>
                  <a:latin typeface="+mn-lt"/>
                  <a:ea typeface="+mn-ea"/>
                  <a:cs typeface="+mn-cs"/>
                </a:rPr>
                <a:t>^2</a:t>
              </a:r>
              <a:r>
                <a:rPr lang="en-US" sz="1100" b="0" i="0" u="none" strike="noStrike" baseline="0">
                  <a:solidFill>
                    <a:schemeClr val="dk1"/>
                  </a:solidFill>
                  <a:effectLst/>
                  <a:latin typeface="+mn-lt"/>
                  <a:ea typeface="+mn-ea"/>
                  <a:cs typeface="+mn-cs"/>
                </a:rPr>
                <a:t> (R2), and source diversity, to qualify how robust the data and corresponding regressions are. If a dataset had a sample size above 100 data points, it was marked as "High SS". If it had between 50 and 100 data points, it was marked as "Medium SS" and less than 50 corresponds to "Low SS". If the regression plot had a median </a:t>
              </a:r>
              <a:r>
                <a:rPr lang="en-US" sz="1100" b="0" i="0" u="none" strike="noStrike" baseline="0">
                  <a:solidFill>
                    <a:schemeClr val="dk1"/>
                  </a:solidFill>
                  <a:effectLst/>
                  <a:latin typeface="Cambria Math" panose="02040503050406030204" pitchFamily="18" charset="0"/>
                  <a:ea typeface="+mn-ea"/>
                  <a:cs typeface="+mn-cs"/>
                </a:rPr>
                <a:t>𝑅^2  </a:t>
              </a:r>
              <a:r>
                <a:rPr lang="en-US" sz="1100"/>
                <a:t>over 0.4, it is</a:t>
              </a:r>
              <a:r>
                <a:rPr lang="en-US" sz="1100" baseline="0"/>
                <a:t> marked as "High R2", if between 0.4 and 0.1, "Medium R2", and if lower than 0.1 it is marked as "Low R2". For source diversity, if the data set uses over two (2) different sources, it is "High Source Diversity". If there are only two (2) sources, it is "Medium Source Diversity", and if the data just comes from one (1) source then it is marked as "Low Source Diversity".</a:t>
              </a:r>
              <a:r>
                <a:rPr lang="en-US" sz="1100" baseline="0">
                  <a:solidFill>
                    <a:schemeClr val="dk1"/>
                  </a:solidFill>
                  <a:effectLst/>
                  <a:latin typeface="+mn-lt"/>
                  <a:ea typeface="+mn-ea"/>
                  <a:cs typeface="+mn-cs"/>
                </a:rPr>
                <a:t> No clear sources refers to cases where the source material was not marked for the component.</a:t>
              </a:r>
              <a:endParaRPr lang="en-US" sz="1100" baseline="0"/>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5</xdr:col>
      <xdr:colOff>552450</xdr:colOff>
      <xdr:row>7</xdr:row>
      <xdr:rowOff>171450</xdr:rowOff>
    </xdr:from>
    <xdr:to>
      <xdr:col>11</xdr:col>
      <xdr:colOff>180975</xdr:colOff>
      <xdr:row>19</xdr:row>
      <xdr:rowOff>9525</xdr:rowOff>
    </xdr:to>
    <xdr:sp macro="" textlink="">
      <xdr:nvSpPr>
        <xdr:cNvPr id="114" name="TextBox 2">
          <a:extLst>
            <a:ext uri="{FF2B5EF4-FFF2-40B4-BE49-F238E27FC236}">
              <a16:creationId xmlns:a16="http://schemas.microsoft.com/office/drawing/2014/main" id="{8FC3896A-2191-4BE7-BB44-3C641FA63B2E}"/>
            </a:ext>
          </a:extLst>
        </xdr:cNvPr>
        <xdr:cNvSpPr txBox="1"/>
      </xdr:nvSpPr>
      <xdr:spPr>
        <a:xfrm>
          <a:off x="5819775" y="1533525"/>
          <a:ext cx="4314825" cy="2143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No</a:t>
          </a:r>
          <a:r>
            <a:rPr lang="en-US" sz="1100" baseline="0">
              <a:solidFill>
                <a:schemeClr val="dk1"/>
              </a:solidFill>
              <a:effectLst/>
              <a:latin typeface="+mn-lt"/>
              <a:ea typeface="+mn-ea"/>
              <a:cs typeface="+mn-cs"/>
            </a:rPr>
            <a:t> performance metrics.</a:t>
          </a:r>
          <a:endParaRPr lang="en-US" sz="1100"/>
        </a:p>
        <a:p>
          <a:pPr marL="171450" indent="-171450">
            <a:buFont typeface="Arial" panose="020B0604020202020204" pitchFamily="34" charset="0"/>
            <a:buChar char="•"/>
          </a:pPr>
          <a:r>
            <a:rPr lang="en-US" sz="1100"/>
            <a:t>Limited retailer</a:t>
          </a:r>
          <a:r>
            <a:rPr lang="en-US" sz="1100" baseline="0"/>
            <a:t> costs publically available </a:t>
          </a:r>
        </a:p>
        <a:p>
          <a:pPr marL="171450" indent="-171450">
            <a:buFont typeface="Arial" panose="020B0604020202020204" pitchFamily="34" charset="0"/>
            <a:buChar char="•"/>
          </a:pPr>
          <a:r>
            <a:rPr lang="en-US" sz="1100" baseline="0"/>
            <a:t>R-values often unspecified, but most products are around R-23.</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635001</xdr:colOff>
      <xdr:row>11</xdr:row>
      <xdr:rowOff>158750</xdr:rowOff>
    </xdr:from>
    <xdr:to>
      <xdr:col>6</xdr:col>
      <xdr:colOff>87842</xdr:colOff>
      <xdr:row>26</xdr:row>
      <xdr:rowOff>28243</xdr:rowOff>
    </xdr:to>
    <xdr:pic>
      <xdr:nvPicPr>
        <xdr:cNvPr id="6" name="Picture 1">
          <a:extLst>
            <a:ext uri="{FF2B5EF4-FFF2-40B4-BE49-F238E27FC236}">
              <a16:creationId xmlns:a16="http://schemas.microsoft.com/office/drawing/2014/main" id="{A76E715D-A651-4F25-7531-95B0EE85F30B}"/>
            </a:ext>
          </a:extLst>
        </xdr:cNvPr>
        <xdr:cNvPicPr>
          <a:picLocks noChangeAspect="1"/>
        </xdr:cNvPicPr>
      </xdr:nvPicPr>
      <xdr:blipFill rotWithShape="1">
        <a:blip xmlns:r="http://schemas.openxmlformats.org/officeDocument/2006/relationships" r:embed="rId1"/>
        <a:srcRect r="49475"/>
        <a:stretch/>
      </xdr:blipFill>
      <xdr:spPr>
        <a:xfrm>
          <a:off x="3005668" y="2180167"/>
          <a:ext cx="3446991" cy="2663493"/>
        </a:xfrm>
        <a:prstGeom prst="rect">
          <a:avLst/>
        </a:prstGeom>
      </xdr:spPr>
    </xdr:pic>
    <xdr:clientData/>
  </xdr:twoCellAnchor>
  <xdr:twoCellAnchor>
    <xdr:from>
      <xdr:col>7</xdr:col>
      <xdr:colOff>0</xdr:colOff>
      <xdr:row>14</xdr:row>
      <xdr:rowOff>95250</xdr:rowOff>
    </xdr:from>
    <xdr:to>
      <xdr:col>10</xdr:col>
      <xdr:colOff>572558</xdr:colOff>
      <xdr:row>23</xdr:row>
      <xdr:rowOff>15875</xdr:rowOff>
    </xdr:to>
    <xdr:sp macro="" textlink="">
      <xdr:nvSpPr>
        <xdr:cNvPr id="87" name="TextBox 2">
          <a:extLst>
            <a:ext uri="{FF2B5EF4-FFF2-40B4-BE49-F238E27FC236}">
              <a16:creationId xmlns:a16="http://schemas.microsoft.com/office/drawing/2014/main" id="{85619A25-0B72-4A3C-88A3-F6F857AE5CC6}"/>
            </a:ext>
          </a:extLst>
        </xdr:cNvPr>
        <xdr:cNvSpPr txBox="1"/>
      </xdr:nvSpPr>
      <xdr:spPr>
        <a:xfrm>
          <a:off x="6762750" y="2804583"/>
          <a:ext cx="2752725" cy="166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Low</a:t>
          </a:r>
          <a:r>
            <a:rPr lang="en-US" sz="1100" baseline="0">
              <a:solidFill>
                <a:schemeClr val="dk1"/>
              </a:solidFill>
              <a:effectLst/>
              <a:latin typeface="+mn-lt"/>
              <a:ea typeface="+mn-ea"/>
              <a:cs typeface="+mn-cs"/>
            </a:rPr>
            <a:t> retail diversity due to a lack of public data. Data is pulled from a single retailer with varying R-values.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447675</xdr:colOff>
      <xdr:row>9</xdr:row>
      <xdr:rowOff>114300</xdr:rowOff>
    </xdr:from>
    <xdr:to>
      <xdr:col>8</xdr:col>
      <xdr:colOff>447675</xdr:colOff>
      <xdr:row>15</xdr:row>
      <xdr:rowOff>142875</xdr:rowOff>
    </xdr:to>
    <xdr:sp macro="" textlink="">
      <xdr:nvSpPr>
        <xdr:cNvPr id="6" name="TextBox 2">
          <a:extLst>
            <a:ext uri="{FF2B5EF4-FFF2-40B4-BE49-F238E27FC236}">
              <a16:creationId xmlns:a16="http://schemas.microsoft.com/office/drawing/2014/main" id="{B43190EA-A372-436C-9226-306CB63D7F28}"/>
            </a:ext>
          </a:extLst>
        </xdr:cNvPr>
        <xdr:cNvSpPr txBox="1"/>
      </xdr:nvSpPr>
      <xdr:spPr>
        <a:xfrm>
          <a:off x="6686550" y="1857375"/>
          <a:ext cx="2219325"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No</a:t>
          </a:r>
          <a:r>
            <a:rPr lang="en-US" sz="1100" baseline="0">
              <a:solidFill>
                <a:schemeClr val="dk1"/>
              </a:solidFill>
              <a:effectLst/>
              <a:latin typeface="+mn-lt"/>
              <a:ea typeface="+mn-ea"/>
              <a:cs typeface="+mn-cs"/>
            </a:rPr>
            <a:t> performance metrics.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514350</xdr:colOff>
      <xdr:row>12</xdr:row>
      <xdr:rowOff>34925</xdr:rowOff>
    </xdr:from>
    <xdr:to>
      <xdr:col>6</xdr:col>
      <xdr:colOff>0</xdr:colOff>
      <xdr:row>26</xdr:row>
      <xdr:rowOff>136193</xdr:rowOff>
    </xdr:to>
    <xdr:pic>
      <xdr:nvPicPr>
        <xdr:cNvPr id="5" name="Picture 1">
          <a:extLst>
            <a:ext uri="{FF2B5EF4-FFF2-40B4-BE49-F238E27FC236}">
              <a16:creationId xmlns:a16="http://schemas.microsoft.com/office/drawing/2014/main" id="{3354A860-53A9-09A5-31FE-6829D2BFACBA}"/>
            </a:ext>
          </a:extLst>
        </xdr:cNvPr>
        <xdr:cNvPicPr>
          <a:picLocks noChangeAspect="1"/>
        </xdr:cNvPicPr>
      </xdr:nvPicPr>
      <xdr:blipFill rotWithShape="1">
        <a:blip xmlns:r="http://schemas.openxmlformats.org/officeDocument/2006/relationships" r:embed="rId1"/>
        <a:srcRect r="49806"/>
        <a:stretch/>
      </xdr:blipFill>
      <xdr:spPr>
        <a:xfrm>
          <a:off x="2876550" y="2244725"/>
          <a:ext cx="3397250" cy="2663493"/>
        </a:xfrm>
        <a:prstGeom prst="rect">
          <a:avLst/>
        </a:prstGeom>
      </xdr:spPr>
    </xdr:pic>
    <xdr:clientData/>
  </xdr:twoCellAnchor>
  <xdr:twoCellAnchor>
    <xdr:from>
      <xdr:col>6</xdr:col>
      <xdr:colOff>447675</xdr:colOff>
      <xdr:row>13</xdr:row>
      <xdr:rowOff>85725</xdr:rowOff>
    </xdr:from>
    <xdr:to>
      <xdr:col>10</xdr:col>
      <xdr:colOff>428625</xdr:colOff>
      <xdr:row>23</xdr:row>
      <xdr:rowOff>47625</xdr:rowOff>
    </xdr:to>
    <xdr:sp macro="" textlink="">
      <xdr:nvSpPr>
        <xdr:cNvPr id="65" name="TextBox 2">
          <a:extLst>
            <a:ext uri="{FF2B5EF4-FFF2-40B4-BE49-F238E27FC236}">
              <a16:creationId xmlns:a16="http://schemas.microsoft.com/office/drawing/2014/main" id="{EA45C628-7CC3-422D-99F6-2A695CD2D51F}"/>
            </a:ext>
          </a:extLst>
        </xdr:cNvPr>
        <xdr:cNvSpPr txBox="1"/>
      </xdr:nvSpPr>
      <xdr:spPr>
        <a:xfrm>
          <a:off x="6477000" y="2600325"/>
          <a:ext cx="2809875" cy="1895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a:t>
          </a:r>
        </a:p>
        <a:p>
          <a:pPr marL="171450" indent="-171450">
            <a:buFont typeface="Arial" panose="020B0604020202020204" pitchFamily="34" charset="0"/>
            <a:buChar char="•"/>
          </a:pPr>
          <a:r>
            <a:rPr lang="en-US" sz="1100" b="0"/>
            <a:t>Data includes insulation</a:t>
          </a:r>
          <a:r>
            <a:rPr lang="en-US" sz="1100" b="0" baseline="0"/>
            <a:t> for all</a:t>
          </a:r>
          <a:r>
            <a:rPr lang="en-US" sz="1100" b="0"/>
            <a:t> pipe materials types.</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180975</xdr:colOff>
      <xdr:row>26</xdr:row>
      <xdr:rowOff>44450</xdr:rowOff>
    </xdr:from>
    <xdr:to>
      <xdr:col>5</xdr:col>
      <xdr:colOff>132236</xdr:colOff>
      <xdr:row>32</xdr:row>
      <xdr:rowOff>142727</xdr:rowOff>
    </xdr:to>
    <xdr:pic>
      <xdr:nvPicPr>
        <xdr:cNvPr id="13" name="Picture 1">
          <a:extLst>
            <a:ext uri="{FF2B5EF4-FFF2-40B4-BE49-F238E27FC236}">
              <a16:creationId xmlns:a16="http://schemas.microsoft.com/office/drawing/2014/main" id="{63423B40-8C83-A94A-9C11-DD151080D125}"/>
            </a:ext>
          </a:extLst>
        </xdr:cNvPr>
        <xdr:cNvPicPr>
          <a:picLocks noChangeAspect="1"/>
        </xdr:cNvPicPr>
      </xdr:nvPicPr>
      <xdr:blipFill>
        <a:blip xmlns:r="http://schemas.openxmlformats.org/officeDocument/2006/relationships" r:embed="rId1"/>
        <a:stretch>
          <a:fillRect/>
        </a:stretch>
      </xdr:blipFill>
      <xdr:spPr>
        <a:xfrm>
          <a:off x="180975" y="6159500"/>
          <a:ext cx="8914286" cy="11841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952500</xdr:colOff>
      <xdr:row>5</xdr:row>
      <xdr:rowOff>167640</xdr:rowOff>
    </xdr:from>
    <xdr:to>
      <xdr:col>6</xdr:col>
      <xdr:colOff>426720</xdr:colOff>
      <xdr:row>13</xdr:row>
      <xdr:rowOff>144780</xdr:rowOff>
    </xdr:to>
    <xdr:sp macro="" textlink="">
      <xdr:nvSpPr>
        <xdr:cNvPr id="2" name="TextBox 1">
          <a:extLst>
            <a:ext uri="{FF2B5EF4-FFF2-40B4-BE49-F238E27FC236}">
              <a16:creationId xmlns:a16="http://schemas.microsoft.com/office/drawing/2014/main" id="{946B8A9D-759E-B5FA-B771-604D249E7154}"/>
            </a:ext>
          </a:extLst>
        </xdr:cNvPr>
        <xdr:cNvSpPr txBox="1"/>
      </xdr:nvSpPr>
      <xdr:spPr>
        <a:xfrm>
          <a:off x="5615940" y="1447800"/>
          <a:ext cx="4709160" cy="1440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Most</a:t>
          </a:r>
          <a:r>
            <a:rPr lang="en-US" sz="1100" baseline="0"/>
            <a:t> data sources (RS Means, Homeguide, etc.) do not list differences in expect labor cost based on location for building envelope. However, due to accessibility issues, crawlspaces and attics may incur additional labor premiums.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155212</xdr:colOff>
      <xdr:row>90</xdr:row>
      <xdr:rowOff>165191</xdr:rowOff>
    </xdr:from>
    <xdr:to>
      <xdr:col>5</xdr:col>
      <xdr:colOff>1250859</xdr:colOff>
      <xdr:row>104</xdr:row>
      <xdr:rowOff>144624</xdr:rowOff>
    </xdr:to>
    <xdr:pic>
      <xdr:nvPicPr>
        <xdr:cNvPr id="844" name="Picture 2">
          <a:extLst>
            <a:ext uri="{FF2B5EF4-FFF2-40B4-BE49-F238E27FC236}">
              <a16:creationId xmlns:a16="http://schemas.microsoft.com/office/drawing/2014/main" id="{F36331A1-053C-AB57-92F4-0A479F8499CA}"/>
            </a:ext>
          </a:extLst>
        </xdr:cNvPr>
        <xdr:cNvPicPr>
          <a:picLocks noChangeAspect="1"/>
        </xdr:cNvPicPr>
      </xdr:nvPicPr>
      <xdr:blipFill rotWithShape="1">
        <a:blip xmlns:r="http://schemas.openxmlformats.org/officeDocument/2006/relationships" r:embed="rId1"/>
        <a:srcRect r="46645"/>
        <a:stretch/>
      </xdr:blipFill>
      <xdr:spPr>
        <a:xfrm>
          <a:off x="4746262" y="16519616"/>
          <a:ext cx="3608977" cy="2608973"/>
        </a:xfrm>
        <a:prstGeom prst="rect">
          <a:avLst/>
        </a:prstGeom>
      </xdr:spPr>
    </xdr:pic>
    <xdr:clientData/>
  </xdr:twoCellAnchor>
  <xdr:twoCellAnchor editAs="oneCell">
    <xdr:from>
      <xdr:col>3</xdr:col>
      <xdr:colOff>122465</xdr:colOff>
      <xdr:row>72</xdr:row>
      <xdr:rowOff>136073</xdr:rowOff>
    </xdr:from>
    <xdr:to>
      <xdr:col>6</xdr:col>
      <xdr:colOff>454</xdr:colOff>
      <xdr:row>86</xdr:row>
      <xdr:rowOff>172467</xdr:rowOff>
    </xdr:to>
    <xdr:pic>
      <xdr:nvPicPr>
        <xdr:cNvPr id="47" name="Picture 3">
          <a:extLst>
            <a:ext uri="{FF2B5EF4-FFF2-40B4-BE49-F238E27FC236}">
              <a16:creationId xmlns:a16="http://schemas.microsoft.com/office/drawing/2014/main" id="{A39CCA8E-094E-C10F-172E-2DF58863797C}"/>
            </a:ext>
          </a:extLst>
        </xdr:cNvPr>
        <xdr:cNvPicPr>
          <a:picLocks noChangeAspect="1"/>
        </xdr:cNvPicPr>
      </xdr:nvPicPr>
      <xdr:blipFill rotWithShape="1">
        <a:blip xmlns:r="http://schemas.openxmlformats.org/officeDocument/2006/relationships" r:embed="rId2"/>
        <a:srcRect l="-198" r="46446"/>
        <a:stretch/>
      </xdr:blipFill>
      <xdr:spPr>
        <a:xfrm>
          <a:off x="4816929" y="12913180"/>
          <a:ext cx="3710214" cy="2598632"/>
        </a:xfrm>
        <a:prstGeom prst="rect">
          <a:avLst/>
        </a:prstGeom>
      </xdr:spPr>
    </xdr:pic>
    <xdr:clientData/>
  </xdr:twoCellAnchor>
  <xdr:twoCellAnchor editAs="oneCell">
    <xdr:from>
      <xdr:col>3</xdr:col>
      <xdr:colOff>182698</xdr:colOff>
      <xdr:row>108</xdr:row>
      <xdr:rowOff>86724</xdr:rowOff>
    </xdr:from>
    <xdr:to>
      <xdr:col>6</xdr:col>
      <xdr:colOff>571</xdr:colOff>
      <xdr:row>122</xdr:row>
      <xdr:rowOff>54777</xdr:rowOff>
    </xdr:to>
    <xdr:pic>
      <xdr:nvPicPr>
        <xdr:cNvPr id="845" name="Picture 4">
          <a:extLst>
            <a:ext uri="{FF2B5EF4-FFF2-40B4-BE49-F238E27FC236}">
              <a16:creationId xmlns:a16="http://schemas.microsoft.com/office/drawing/2014/main" id="{2C4E9082-461C-9F2B-B3F5-0DDA00C136A5}"/>
            </a:ext>
          </a:extLst>
        </xdr:cNvPr>
        <xdr:cNvPicPr>
          <a:picLocks noChangeAspect="1"/>
        </xdr:cNvPicPr>
      </xdr:nvPicPr>
      <xdr:blipFill rotWithShape="1">
        <a:blip xmlns:r="http://schemas.openxmlformats.org/officeDocument/2006/relationships" r:embed="rId3"/>
        <a:srcRect r="46447"/>
        <a:stretch/>
      </xdr:blipFill>
      <xdr:spPr>
        <a:xfrm>
          <a:off x="4773748" y="19765374"/>
          <a:ext cx="3666309" cy="2569649"/>
        </a:xfrm>
        <a:prstGeom prst="rect">
          <a:avLst/>
        </a:prstGeom>
      </xdr:spPr>
    </xdr:pic>
    <xdr:clientData/>
  </xdr:twoCellAnchor>
  <xdr:twoCellAnchor editAs="oneCell">
    <xdr:from>
      <xdr:col>3</xdr:col>
      <xdr:colOff>92619</xdr:colOff>
      <xdr:row>126</xdr:row>
      <xdr:rowOff>28484</xdr:rowOff>
    </xdr:from>
    <xdr:to>
      <xdr:col>5</xdr:col>
      <xdr:colOff>1199605</xdr:colOff>
      <xdr:row>140</xdr:row>
      <xdr:rowOff>26521</xdr:rowOff>
    </xdr:to>
    <xdr:pic>
      <xdr:nvPicPr>
        <xdr:cNvPr id="846" name="Picture 5">
          <a:extLst>
            <a:ext uri="{FF2B5EF4-FFF2-40B4-BE49-F238E27FC236}">
              <a16:creationId xmlns:a16="http://schemas.microsoft.com/office/drawing/2014/main" id="{4F826E0A-31A3-650A-C57A-DA2A054B1D87}"/>
            </a:ext>
          </a:extLst>
        </xdr:cNvPr>
        <xdr:cNvPicPr>
          <a:picLocks noChangeAspect="1"/>
        </xdr:cNvPicPr>
      </xdr:nvPicPr>
      <xdr:blipFill rotWithShape="1">
        <a:blip xmlns:r="http://schemas.openxmlformats.org/officeDocument/2006/relationships" r:embed="rId4"/>
        <a:srcRect r="46645"/>
        <a:stretch/>
      </xdr:blipFill>
      <xdr:spPr>
        <a:xfrm>
          <a:off x="4683669" y="23002784"/>
          <a:ext cx="3629206" cy="2589471"/>
        </a:xfrm>
        <a:prstGeom prst="rect">
          <a:avLst/>
        </a:prstGeom>
      </xdr:spPr>
    </xdr:pic>
    <xdr:clientData/>
  </xdr:twoCellAnchor>
  <xdr:twoCellAnchor editAs="oneCell">
    <xdr:from>
      <xdr:col>3</xdr:col>
      <xdr:colOff>88446</xdr:colOff>
      <xdr:row>162</xdr:row>
      <xdr:rowOff>130357</xdr:rowOff>
    </xdr:from>
    <xdr:to>
      <xdr:col>5</xdr:col>
      <xdr:colOff>1168490</xdr:colOff>
      <xdr:row>177</xdr:row>
      <xdr:rowOff>8733</xdr:rowOff>
    </xdr:to>
    <xdr:pic>
      <xdr:nvPicPr>
        <xdr:cNvPr id="849" name="Picture 2">
          <a:extLst>
            <a:ext uri="{FF2B5EF4-FFF2-40B4-BE49-F238E27FC236}">
              <a16:creationId xmlns:a16="http://schemas.microsoft.com/office/drawing/2014/main" id="{5FA60EC9-6B4E-AD3D-C0C7-16D5E81469B8}"/>
            </a:ext>
          </a:extLst>
        </xdr:cNvPr>
        <xdr:cNvPicPr>
          <a:picLocks noChangeAspect="1"/>
        </xdr:cNvPicPr>
      </xdr:nvPicPr>
      <xdr:blipFill rotWithShape="1">
        <a:blip xmlns:r="http://schemas.openxmlformats.org/officeDocument/2006/relationships" r:embed="rId5"/>
        <a:srcRect r="46621"/>
        <a:stretch/>
      </xdr:blipFill>
      <xdr:spPr>
        <a:xfrm>
          <a:off x="4679496" y="29695957"/>
          <a:ext cx="3597184" cy="2662859"/>
        </a:xfrm>
        <a:prstGeom prst="rect">
          <a:avLst/>
        </a:prstGeom>
      </xdr:spPr>
    </xdr:pic>
    <xdr:clientData/>
  </xdr:twoCellAnchor>
  <xdr:twoCellAnchor editAs="oneCell">
    <xdr:from>
      <xdr:col>2</xdr:col>
      <xdr:colOff>326572</xdr:colOff>
      <xdr:row>200</xdr:row>
      <xdr:rowOff>27214</xdr:rowOff>
    </xdr:from>
    <xdr:to>
      <xdr:col>5</xdr:col>
      <xdr:colOff>676275</xdr:colOff>
      <xdr:row>214</xdr:row>
      <xdr:rowOff>125312</xdr:rowOff>
    </xdr:to>
    <xdr:pic>
      <xdr:nvPicPr>
        <xdr:cNvPr id="42" name="Picture 4">
          <a:extLst>
            <a:ext uri="{FF2B5EF4-FFF2-40B4-BE49-F238E27FC236}">
              <a16:creationId xmlns:a16="http://schemas.microsoft.com/office/drawing/2014/main" id="{CDD1915F-6F9F-76FA-0621-081B9E630013}"/>
            </a:ext>
          </a:extLst>
        </xdr:cNvPr>
        <xdr:cNvPicPr>
          <a:picLocks noChangeAspect="1"/>
        </xdr:cNvPicPr>
      </xdr:nvPicPr>
      <xdr:blipFill rotWithShape="1">
        <a:blip xmlns:r="http://schemas.openxmlformats.org/officeDocument/2006/relationships" r:embed="rId6"/>
        <a:srcRect r="46173"/>
        <a:stretch/>
      </xdr:blipFill>
      <xdr:spPr>
        <a:xfrm>
          <a:off x="4204608" y="35677928"/>
          <a:ext cx="3673928" cy="2657143"/>
        </a:xfrm>
        <a:prstGeom prst="rect">
          <a:avLst/>
        </a:prstGeom>
      </xdr:spPr>
    </xdr:pic>
    <xdr:clientData/>
  </xdr:twoCellAnchor>
  <xdr:twoCellAnchor>
    <xdr:from>
      <xdr:col>13</xdr:col>
      <xdr:colOff>478042</xdr:colOff>
      <xdr:row>72</xdr:row>
      <xdr:rowOff>133350</xdr:rowOff>
    </xdr:from>
    <xdr:to>
      <xdr:col>23</xdr:col>
      <xdr:colOff>235322</xdr:colOff>
      <xdr:row>87</xdr:row>
      <xdr:rowOff>91440</xdr:rowOff>
    </xdr:to>
    <xdr:sp macro="" textlink="">
      <xdr:nvSpPr>
        <xdr:cNvPr id="632" name="TextBox 2">
          <a:extLst>
            <a:ext uri="{FF2B5EF4-FFF2-40B4-BE49-F238E27FC236}">
              <a16:creationId xmlns:a16="http://schemas.microsoft.com/office/drawing/2014/main" id="{F2C0E9A7-EB1E-416F-A5B2-A702C21F79A6}"/>
            </a:ext>
          </a:extLst>
        </xdr:cNvPr>
        <xdr:cNvSpPr txBox="1"/>
      </xdr:nvSpPr>
      <xdr:spPr>
        <a:xfrm>
          <a:off x="14597454" y="13882968"/>
          <a:ext cx="7489339" cy="2849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a:t>
          </a:r>
        </a:p>
        <a:p>
          <a:pPr marL="171450" indent="-171450">
            <a:buFont typeface="Arial" panose="020B0604020202020204" pitchFamily="34" charset="0"/>
            <a:buChar char="•"/>
          </a:pPr>
          <a:r>
            <a:rPr lang="en-US" sz="1100" b="0"/>
            <a:t>There</a:t>
          </a:r>
          <a:r>
            <a:rPr lang="en-US" sz="1100" b="0" baseline="0"/>
            <a:t> is no expected difference in material prices by space or location in the building envelope. </a:t>
          </a:r>
        </a:p>
        <a:p>
          <a:pPr marL="171450" indent="-171450">
            <a:buFont typeface="Arial" panose="020B0604020202020204" pitchFamily="34" charset="0"/>
            <a:buChar char="•"/>
          </a:pPr>
          <a:r>
            <a:rPr lang="en-US" sz="1100" b="0" baseline="0"/>
            <a:t>Material pricing correspond with R-value (thickness of material)</a:t>
          </a:r>
        </a:p>
        <a:p>
          <a:pPr marL="628650" lvl="1" indent="-171450">
            <a:buFont typeface="Arial" panose="020B0604020202020204" pitchFamily="34" charset="0"/>
            <a:buChar char="•"/>
          </a:pPr>
          <a:r>
            <a:rPr lang="en-US" sz="1100" b="0" baseline="0"/>
            <a:t>Spray foam retail data is only available with given thicknesses. Data is extrapolated to capture additional R-values.</a:t>
          </a:r>
        </a:p>
        <a:p>
          <a:pPr marL="628650" lvl="1" indent="-171450">
            <a:buFont typeface="Arial" panose="020B0604020202020204" pitchFamily="34" charset="0"/>
            <a:buChar char="•"/>
          </a:pPr>
          <a:r>
            <a:rPr lang="en-US" sz="1100" b="0">
              <a:solidFill>
                <a:schemeClr val="dk1"/>
              </a:solidFill>
              <a:effectLst/>
              <a:latin typeface="+mn-lt"/>
              <a:ea typeface="+mn-ea"/>
              <a:cs typeface="+mn-cs"/>
            </a:rPr>
            <a:t>In</a:t>
          </a:r>
          <a:r>
            <a:rPr lang="en-US" sz="1100" b="0" baseline="0">
              <a:solidFill>
                <a:schemeClr val="dk1"/>
              </a:solidFill>
              <a:effectLst/>
              <a:latin typeface="+mn-lt"/>
              <a:ea typeface="+mn-ea"/>
              <a:cs typeface="+mn-cs"/>
            </a:rPr>
            <a:t> cases of rigid foam insulation, some products are sold at thicknesses below 1 inch, and provide R-values lower than R-5 for XPS and R-6 for ISO. EPS has variable R-values. However, in general, most installations involve increments of 1-inch thickness for rigid foam. Manual setting of bounds may be required to reflect this.</a:t>
          </a:r>
          <a:endParaRPr lang="en-US" sz="1100" b="0" baseline="0"/>
        </a:p>
        <a:p>
          <a:pPr marL="171450" indent="-171450">
            <a:buFont typeface="Arial" panose="020B0604020202020204" pitchFamily="34" charset="0"/>
            <a:buChar char="•"/>
          </a:pPr>
          <a:r>
            <a:rPr lang="en-US" sz="1100" b="0"/>
            <a:t>Batt</a:t>
          </a:r>
          <a:r>
            <a:rPr lang="en-US" sz="1100" b="0" baseline="0"/>
            <a:t> insulation and rigid foam board installation labor costs are not expected to "scale" with increasing R-value, since installation involves preparing and fastening a blanket or foam board with pre-set R-values (i.e., installation a higher R-value fiberglass batt does not require increased labor costs relative to a lower rated fiberglass batt).</a:t>
          </a:r>
        </a:p>
        <a:p>
          <a:pPr marL="171450" indent="-171450">
            <a:buFont typeface="Arial" panose="020B0604020202020204" pitchFamily="34" charset="0"/>
            <a:buChar char="•"/>
          </a:pPr>
          <a:r>
            <a:rPr lang="en-US" sz="1100" b="0" baseline="0"/>
            <a:t>There is an installation labor premium expected for attics and crawlspaces of 3% and 30% respectively. </a:t>
          </a:r>
        </a:p>
        <a:p>
          <a:pPr marL="171450" indent="-171450">
            <a:buFont typeface="Arial" panose="020B0604020202020204" pitchFamily="34" charset="0"/>
            <a:buChar char="•"/>
          </a:pPr>
          <a:r>
            <a:rPr lang="en-US" sz="1100" b="0" baseline="0"/>
            <a:t>Finished Basement retrofits are most commonly conducted as drill-and-fill. If drywall needs to be completely removed (uncommon), there is an additional demolition cost of $0.39 per square foot of drywall expected. </a:t>
          </a:r>
        </a:p>
      </xdr:txBody>
    </xdr:sp>
    <xdr:clientData/>
  </xdr:twoCellAnchor>
  <xdr:twoCellAnchor editAs="oneCell">
    <xdr:from>
      <xdr:col>3</xdr:col>
      <xdr:colOff>57149</xdr:colOff>
      <xdr:row>144</xdr:row>
      <xdr:rowOff>5939</xdr:rowOff>
    </xdr:from>
    <xdr:to>
      <xdr:col>5</xdr:col>
      <xdr:colOff>1000348</xdr:colOff>
      <xdr:row>157</xdr:row>
      <xdr:rowOff>104673</xdr:rowOff>
    </xdr:to>
    <xdr:pic>
      <xdr:nvPicPr>
        <xdr:cNvPr id="847" name="Picture 606">
          <a:extLst>
            <a:ext uri="{FF2B5EF4-FFF2-40B4-BE49-F238E27FC236}">
              <a16:creationId xmlns:a16="http://schemas.microsoft.com/office/drawing/2014/main" id="{17845058-2A6E-166F-442B-43BFA9580B0B}"/>
            </a:ext>
          </a:extLst>
        </xdr:cNvPr>
        <xdr:cNvPicPr>
          <a:picLocks noChangeAspect="1"/>
        </xdr:cNvPicPr>
      </xdr:nvPicPr>
      <xdr:blipFill rotWithShape="1">
        <a:blip xmlns:r="http://schemas.openxmlformats.org/officeDocument/2006/relationships" r:embed="rId7"/>
        <a:srcRect r="50464"/>
        <a:stretch/>
      </xdr:blipFill>
      <xdr:spPr>
        <a:xfrm>
          <a:off x="4648199" y="26275889"/>
          <a:ext cx="3460974" cy="2521894"/>
        </a:xfrm>
        <a:prstGeom prst="rect">
          <a:avLst/>
        </a:prstGeom>
      </xdr:spPr>
    </xdr:pic>
    <xdr:clientData/>
  </xdr:twoCellAnchor>
  <xdr:twoCellAnchor editAs="oneCell">
    <xdr:from>
      <xdr:col>2</xdr:col>
      <xdr:colOff>0</xdr:colOff>
      <xdr:row>182</xdr:row>
      <xdr:rowOff>37354</xdr:rowOff>
    </xdr:from>
    <xdr:to>
      <xdr:col>5</xdr:col>
      <xdr:colOff>294528</xdr:colOff>
      <xdr:row>196</xdr:row>
      <xdr:rowOff>10133</xdr:rowOff>
    </xdr:to>
    <xdr:pic>
      <xdr:nvPicPr>
        <xdr:cNvPr id="612" name="Picture 607">
          <a:extLst>
            <a:ext uri="{FF2B5EF4-FFF2-40B4-BE49-F238E27FC236}">
              <a16:creationId xmlns:a16="http://schemas.microsoft.com/office/drawing/2014/main" id="{736BC91E-78DF-1740-BA14-2624A564DFCD}"/>
            </a:ext>
          </a:extLst>
        </xdr:cNvPr>
        <xdr:cNvPicPr>
          <a:picLocks noChangeAspect="1"/>
        </xdr:cNvPicPr>
      </xdr:nvPicPr>
      <xdr:blipFill rotWithShape="1">
        <a:blip xmlns:r="http://schemas.openxmlformats.org/officeDocument/2006/relationships" r:embed="rId8"/>
        <a:srcRect r="49449"/>
        <a:stretch/>
      </xdr:blipFill>
      <xdr:spPr>
        <a:xfrm>
          <a:off x="3862294" y="34252648"/>
          <a:ext cx="3466353" cy="2657143"/>
        </a:xfrm>
        <a:prstGeom prst="rect">
          <a:avLst/>
        </a:prstGeom>
      </xdr:spPr>
    </xdr:pic>
    <xdr:clientData/>
  </xdr:twoCellAnchor>
  <xdr:twoCellAnchor editAs="oneCell">
    <xdr:from>
      <xdr:col>2</xdr:col>
      <xdr:colOff>347384</xdr:colOff>
      <xdr:row>220</xdr:row>
      <xdr:rowOff>41090</xdr:rowOff>
    </xdr:from>
    <xdr:to>
      <xdr:col>5</xdr:col>
      <xdr:colOff>284257</xdr:colOff>
      <xdr:row>235</xdr:row>
      <xdr:rowOff>102953</xdr:rowOff>
    </xdr:to>
    <xdr:pic>
      <xdr:nvPicPr>
        <xdr:cNvPr id="2" name="Picture 1">
          <a:extLst>
            <a:ext uri="{FF2B5EF4-FFF2-40B4-BE49-F238E27FC236}">
              <a16:creationId xmlns:a16="http://schemas.microsoft.com/office/drawing/2014/main" id="{2A9B9DFB-782A-7858-9F20-DC6942C16726}"/>
            </a:ext>
          </a:extLst>
        </xdr:cNvPr>
        <xdr:cNvPicPr>
          <a:picLocks noChangeAspect="1"/>
        </xdr:cNvPicPr>
      </xdr:nvPicPr>
      <xdr:blipFill rotWithShape="1">
        <a:blip xmlns:r="http://schemas.openxmlformats.org/officeDocument/2006/relationships" r:embed="rId9"/>
        <a:srcRect r="50004"/>
        <a:stretch/>
      </xdr:blipFill>
      <xdr:spPr>
        <a:xfrm>
          <a:off x="4034119" y="42365708"/>
          <a:ext cx="3257923" cy="28050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762000</xdr:colOff>
      <xdr:row>11</xdr:row>
      <xdr:rowOff>47625</xdr:rowOff>
    </xdr:from>
    <xdr:to>
      <xdr:col>6</xdr:col>
      <xdr:colOff>473075</xdr:colOff>
      <xdr:row>25</xdr:row>
      <xdr:rowOff>142543</xdr:rowOff>
    </xdr:to>
    <xdr:pic>
      <xdr:nvPicPr>
        <xdr:cNvPr id="10" name="Picture 1">
          <a:extLst>
            <a:ext uri="{FF2B5EF4-FFF2-40B4-BE49-F238E27FC236}">
              <a16:creationId xmlns:a16="http://schemas.microsoft.com/office/drawing/2014/main" id="{A5E2431F-8F5F-DDA0-5094-B1CCD4A8C80B}"/>
            </a:ext>
          </a:extLst>
        </xdr:cNvPr>
        <xdr:cNvPicPr>
          <a:picLocks noChangeAspect="1"/>
        </xdr:cNvPicPr>
      </xdr:nvPicPr>
      <xdr:blipFill rotWithShape="1">
        <a:blip xmlns:r="http://schemas.openxmlformats.org/officeDocument/2006/relationships" r:embed="rId1"/>
        <a:srcRect r="49925"/>
        <a:stretch/>
      </xdr:blipFill>
      <xdr:spPr>
        <a:xfrm>
          <a:off x="3543300" y="6410325"/>
          <a:ext cx="3463925" cy="2663493"/>
        </a:xfrm>
        <a:prstGeom prst="rect">
          <a:avLst/>
        </a:prstGeom>
      </xdr:spPr>
    </xdr:pic>
    <xdr:clientData/>
  </xdr:twoCellAnchor>
  <xdr:twoCellAnchor editAs="oneCell">
    <xdr:from>
      <xdr:col>3</xdr:col>
      <xdr:colOff>28575</xdr:colOff>
      <xdr:row>29</xdr:row>
      <xdr:rowOff>47625</xdr:rowOff>
    </xdr:from>
    <xdr:to>
      <xdr:col>6</xdr:col>
      <xdr:colOff>590550</xdr:colOff>
      <xdr:row>43</xdr:row>
      <xdr:rowOff>142543</xdr:rowOff>
    </xdr:to>
    <xdr:pic>
      <xdr:nvPicPr>
        <xdr:cNvPr id="11" name="Picture 2">
          <a:extLst>
            <a:ext uri="{FF2B5EF4-FFF2-40B4-BE49-F238E27FC236}">
              <a16:creationId xmlns:a16="http://schemas.microsoft.com/office/drawing/2014/main" id="{1E9F92FD-2DD4-0B22-A22F-7C863B20EE8A}"/>
            </a:ext>
          </a:extLst>
        </xdr:cNvPr>
        <xdr:cNvPicPr>
          <a:picLocks noChangeAspect="1"/>
        </xdr:cNvPicPr>
      </xdr:nvPicPr>
      <xdr:blipFill rotWithShape="1">
        <a:blip xmlns:r="http://schemas.openxmlformats.org/officeDocument/2006/relationships" r:embed="rId2"/>
        <a:srcRect r="49673"/>
        <a:stretch/>
      </xdr:blipFill>
      <xdr:spPr>
        <a:xfrm>
          <a:off x="4000500" y="9677400"/>
          <a:ext cx="3489325" cy="2660318"/>
        </a:xfrm>
        <a:prstGeom prst="rect">
          <a:avLst/>
        </a:prstGeom>
      </xdr:spPr>
    </xdr:pic>
    <xdr:clientData/>
  </xdr:twoCellAnchor>
  <xdr:twoCellAnchor>
    <xdr:from>
      <xdr:col>13</xdr:col>
      <xdr:colOff>438150</xdr:colOff>
      <xdr:row>11</xdr:row>
      <xdr:rowOff>9524</xdr:rowOff>
    </xdr:from>
    <xdr:to>
      <xdr:col>21</xdr:col>
      <xdr:colOff>38100</xdr:colOff>
      <xdr:row>25</xdr:row>
      <xdr:rowOff>152400</xdr:rowOff>
    </xdr:to>
    <xdr:sp macro="" textlink="">
      <xdr:nvSpPr>
        <xdr:cNvPr id="805" name="TextBox 1">
          <a:extLst>
            <a:ext uri="{FF2B5EF4-FFF2-40B4-BE49-F238E27FC236}">
              <a16:creationId xmlns:a16="http://schemas.microsoft.com/office/drawing/2014/main" id="{FA37A926-2D7C-2628-6DB3-76D23FCC6C4D}"/>
            </a:ext>
          </a:extLst>
        </xdr:cNvPr>
        <xdr:cNvSpPr txBox="1"/>
      </xdr:nvSpPr>
      <xdr:spPr>
        <a:xfrm>
          <a:off x="13449300" y="2143124"/>
          <a:ext cx="5791200" cy="2838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a:t>
          </a:r>
          <a:r>
            <a:rPr lang="en-US" sz="1100"/>
            <a:t>:</a:t>
          </a:r>
        </a:p>
        <a:p>
          <a:pPr marL="171450" indent="-171450">
            <a:buFont typeface="Arial" panose="020B0604020202020204" pitchFamily="34" charset="0"/>
            <a:buChar char="•"/>
          </a:pPr>
          <a:r>
            <a:rPr lang="en-US" sz="1100"/>
            <a:t>Several</a:t>
          </a:r>
          <a:r>
            <a:rPr lang="en-US" sz="1100" baseline="0"/>
            <a:t> factors were considered for air sealing:</a:t>
          </a: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Dependent variable: total cost, cost</a:t>
          </a:r>
          <a:r>
            <a:rPr lang="en-US" sz="1100" baseline="0">
              <a:solidFill>
                <a:schemeClr val="dk1"/>
              </a:solidFill>
              <a:effectLst/>
              <a:latin typeface="+mn-lt"/>
              <a:ea typeface="+mn-ea"/>
              <a:cs typeface="+mn-cs"/>
            </a:rPr>
            <a:t> per square foot of home</a:t>
          </a:r>
          <a:endParaRPr lang="en-US" sz="1100" baseline="0"/>
        </a:p>
        <a:p>
          <a:pPr marL="628650" lvl="1" indent="-171450">
            <a:buFont typeface="Arial" panose="020B0604020202020204" pitchFamily="34" charset="0"/>
            <a:buChar char="•"/>
          </a:pPr>
          <a:r>
            <a:rPr lang="en-US" sz="1100" baseline="0"/>
            <a:t>Indepedent variables: percent leakage reduction, age of home, and square foot of home (all are statistically significant)</a:t>
          </a:r>
        </a:p>
        <a:p>
          <a:pPr marL="171450" lvl="0" indent="-171450">
            <a:buFont typeface="Arial" panose="020B0604020202020204" pitchFamily="34" charset="0"/>
            <a:buChar char="•"/>
          </a:pPr>
          <a:r>
            <a:rPr lang="en-US" sz="1100" baseline="0"/>
            <a:t>Heteroscedasticity is detected. Log transformations were done to reduce variance, but linear-linear data still produced the best results.</a:t>
          </a:r>
        </a:p>
        <a:p>
          <a:pPr marL="171450" lvl="0" indent="-171450">
            <a:buFont typeface="Arial" panose="020B0604020202020204" pitchFamily="34" charset="0"/>
            <a:buChar char="•"/>
          </a:pPr>
          <a:r>
            <a:rPr lang="en-US" sz="1100"/>
            <a:t>Collinearity</a:t>
          </a:r>
          <a:r>
            <a:rPr lang="en-US" sz="1100" baseline="0"/>
            <a:t> was detected between percent leakage reduction and and age of home. Percent leakage was picked due to lower p-value and higher R^2 value. Square footage of home was considered by dividing it by the cost, so the indepedent variable is cost per square foot.</a:t>
          </a:r>
        </a:p>
        <a:p>
          <a:pPr marL="171450" indent="-171450">
            <a:buFont typeface="Arial" panose="020B0604020202020204" pitchFamily="34" charset="0"/>
            <a:buChar char="•"/>
          </a:pPr>
          <a:r>
            <a:rPr lang="en-US" sz="1100" baseline="0"/>
            <a:t>There is high clustering at the 0&lt;x&lt;0.4 percent reduction, but the &gt;0.4 values have higher residual error, implying that these values highly influence the regression model despite being far from the cluster.</a:t>
          </a:r>
        </a:p>
        <a:p>
          <a:pPr marL="628650" lvl="1" indent="-171450">
            <a:buFont typeface="Arial" panose="020B0604020202020204" pitchFamily="34" charset="0"/>
            <a:buChar char="•"/>
          </a:pPr>
          <a:r>
            <a:rPr lang="en-US" sz="1100" baseline="0"/>
            <a:t>To solve this, the model is split into two classes: &lt;40% reduction and &gt;40% reduction.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361950</xdr:colOff>
      <xdr:row>13</xdr:row>
      <xdr:rowOff>95250</xdr:rowOff>
    </xdr:from>
    <xdr:to>
      <xdr:col>12</xdr:col>
      <xdr:colOff>657225</xdr:colOff>
      <xdr:row>25</xdr:row>
      <xdr:rowOff>38100</xdr:rowOff>
    </xdr:to>
    <xdr:sp macro="" textlink="">
      <xdr:nvSpPr>
        <xdr:cNvPr id="2" name="TextBox 2">
          <a:extLst>
            <a:ext uri="{FF2B5EF4-FFF2-40B4-BE49-F238E27FC236}">
              <a16:creationId xmlns:a16="http://schemas.microsoft.com/office/drawing/2014/main" id="{4C44869A-2734-477A-856F-B17A4D6F393B}"/>
            </a:ext>
          </a:extLst>
        </xdr:cNvPr>
        <xdr:cNvSpPr txBox="1"/>
      </xdr:nvSpPr>
      <xdr:spPr>
        <a:xfrm>
          <a:off x="8343900" y="2609850"/>
          <a:ext cx="3867150" cy="2238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a:t>
          </a:r>
        </a:p>
        <a:p>
          <a:pPr marL="171450" indent="-171450">
            <a:buFont typeface="Arial" panose="020B0604020202020204" pitchFamily="34" charset="0"/>
            <a:buChar char="•"/>
          </a:pPr>
          <a:r>
            <a:rPr lang="en-US" sz="1100"/>
            <a:t>No</a:t>
          </a:r>
          <a:r>
            <a:rPr lang="en-US" sz="1100" baseline="0"/>
            <a:t> performance metrics.</a:t>
          </a:r>
        </a:p>
        <a:p>
          <a:pPr marL="171450" indent="-171450">
            <a:buFont typeface="Arial" panose="020B0604020202020204" pitchFamily="34" charset="0"/>
            <a:buChar char="•"/>
          </a:pPr>
          <a:r>
            <a:rPr lang="en-US" sz="1100" baseline="0"/>
            <a:t>"N/A" means no data points for glass layout.</a:t>
          </a:r>
        </a:p>
        <a:p>
          <a:pPr marL="171450" indent="-171450">
            <a:buFont typeface="Arial" panose="020B0604020202020204" pitchFamily="34" charset="0"/>
            <a:buChar char="•"/>
          </a:pPr>
          <a:r>
            <a:rPr lang="en-US" sz="1100" baseline="0"/>
            <a:t>Items categorized under "Low" confidence level are due to a lack of sufficient data points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219076</xdr:colOff>
      <xdr:row>12</xdr:row>
      <xdr:rowOff>57150</xdr:rowOff>
    </xdr:from>
    <xdr:to>
      <xdr:col>7</xdr:col>
      <xdr:colOff>377826</xdr:colOff>
      <xdr:row>26</xdr:row>
      <xdr:rowOff>152068</xdr:rowOff>
    </xdr:to>
    <xdr:pic>
      <xdr:nvPicPr>
        <xdr:cNvPr id="3" name="Picture 2">
          <a:extLst>
            <a:ext uri="{FF2B5EF4-FFF2-40B4-BE49-F238E27FC236}">
              <a16:creationId xmlns:a16="http://schemas.microsoft.com/office/drawing/2014/main" id="{70DC1066-8F19-97C6-AAE5-0CD243516A3C}"/>
            </a:ext>
          </a:extLst>
        </xdr:cNvPr>
        <xdr:cNvPicPr>
          <a:picLocks noChangeAspect="1"/>
        </xdr:cNvPicPr>
      </xdr:nvPicPr>
      <xdr:blipFill rotWithShape="1">
        <a:blip xmlns:r="http://schemas.openxmlformats.org/officeDocument/2006/relationships" r:embed="rId1"/>
        <a:srcRect r="49993"/>
        <a:stretch/>
      </xdr:blipFill>
      <xdr:spPr>
        <a:xfrm>
          <a:off x="3448051" y="2266950"/>
          <a:ext cx="3425825" cy="26571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638175</xdr:colOff>
      <xdr:row>12</xdr:row>
      <xdr:rowOff>57150</xdr:rowOff>
    </xdr:from>
    <xdr:to>
      <xdr:col>6</xdr:col>
      <xdr:colOff>238125</xdr:colOff>
      <xdr:row>27</xdr:row>
      <xdr:rowOff>66343</xdr:rowOff>
    </xdr:to>
    <xdr:pic>
      <xdr:nvPicPr>
        <xdr:cNvPr id="2" name="Picture 3">
          <a:extLst>
            <a:ext uri="{FF2B5EF4-FFF2-40B4-BE49-F238E27FC236}">
              <a16:creationId xmlns:a16="http://schemas.microsoft.com/office/drawing/2014/main" id="{0ED4BE46-EBC4-0283-86D8-6AE0DF66E0FA}"/>
            </a:ext>
          </a:extLst>
        </xdr:cNvPr>
        <xdr:cNvPicPr>
          <a:picLocks noChangeAspect="1"/>
        </xdr:cNvPicPr>
      </xdr:nvPicPr>
      <xdr:blipFill rotWithShape="1">
        <a:blip xmlns:r="http://schemas.openxmlformats.org/officeDocument/2006/relationships" r:embed="rId1"/>
        <a:srcRect r="49739"/>
        <a:stretch/>
      </xdr:blipFill>
      <xdr:spPr>
        <a:xfrm>
          <a:off x="2409825" y="2381250"/>
          <a:ext cx="3343275" cy="2755568"/>
        </a:xfrm>
        <a:prstGeom prst="rect">
          <a:avLst/>
        </a:prstGeom>
      </xdr:spPr>
    </xdr:pic>
    <xdr:clientData/>
  </xdr:twoCellAnchor>
  <xdr:twoCellAnchor>
    <xdr:from>
      <xdr:col>7</xdr:col>
      <xdr:colOff>76200</xdr:colOff>
      <xdr:row>14</xdr:row>
      <xdr:rowOff>161925</xdr:rowOff>
    </xdr:from>
    <xdr:to>
      <xdr:col>10</xdr:col>
      <xdr:colOff>790575</xdr:colOff>
      <xdr:row>24</xdr:row>
      <xdr:rowOff>161925</xdr:rowOff>
    </xdr:to>
    <xdr:sp macro="" textlink="">
      <xdr:nvSpPr>
        <xdr:cNvPr id="93" name="TextBox 2">
          <a:extLst>
            <a:ext uri="{FF2B5EF4-FFF2-40B4-BE49-F238E27FC236}">
              <a16:creationId xmlns:a16="http://schemas.microsoft.com/office/drawing/2014/main" id="{7DA03B5C-0804-A73A-4DD1-1EDEA8C25B3D}"/>
            </a:ext>
          </a:extLst>
        </xdr:cNvPr>
        <xdr:cNvSpPr txBox="1"/>
      </xdr:nvSpPr>
      <xdr:spPr>
        <a:xfrm>
          <a:off x="6181725" y="2733675"/>
          <a:ext cx="2971800" cy="183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p>
        <a:p>
          <a:pPr marL="171450" indent="-171450">
            <a:buFont typeface="Arial" panose="020B0604020202020204" pitchFamily="34" charset="0"/>
            <a:buChar char="•"/>
          </a:pPr>
          <a:r>
            <a:rPr lang="en-US" sz="1100"/>
            <a:t>Regression</a:t>
          </a:r>
          <a:r>
            <a:rPr lang="en-US" sz="1100" baseline="0"/>
            <a:t> represents total installed cost of the measure (based on LBNL field data).</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733426</xdr:colOff>
      <xdr:row>15</xdr:row>
      <xdr:rowOff>104775</xdr:rowOff>
    </xdr:from>
    <xdr:to>
      <xdr:col>12</xdr:col>
      <xdr:colOff>228601</xdr:colOff>
      <xdr:row>26</xdr:row>
      <xdr:rowOff>152400</xdr:rowOff>
    </xdr:to>
    <xdr:sp macro="" textlink="">
      <xdr:nvSpPr>
        <xdr:cNvPr id="4" name="TextBox 2">
          <a:extLst>
            <a:ext uri="{FF2B5EF4-FFF2-40B4-BE49-F238E27FC236}">
              <a16:creationId xmlns:a16="http://schemas.microsoft.com/office/drawing/2014/main" id="{F1BDFACD-DF89-4C8C-AE6F-F3BA002AED70}"/>
            </a:ext>
          </a:extLst>
        </xdr:cNvPr>
        <xdr:cNvSpPr txBox="1"/>
      </xdr:nvSpPr>
      <xdr:spPr>
        <a:xfrm>
          <a:off x="6419851" y="3009900"/>
          <a:ext cx="4171950" cy="2143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No</a:t>
          </a:r>
          <a:r>
            <a:rPr lang="en-US" sz="1100" baseline="0">
              <a:solidFill>
                <a:schemeClr val="dk1"/>
              </a:solidFill>
              <a:effectLst/>
              <a:latin typeface="+mn-lt"/>
              <a:ea typeface="+mn-ea"/>
              <a:cs typeface="+mn-cs"/>
            </a:rPr>
            <a:t> performance metrics.</a:t>
          </a:r>
          <a:endParaRPr lang="en-US" sz="1100"/>
        </a:p>
        <a:p>
          <a:pPr marL="171450" indent="-171450">
            <a:buFont typeface="Arial" panose="020B0604020202020204" pitchFamily="34" charset="0"/>
            <a:buChar char="•"/>
          </a:pPr>
          <a:r>
            <a:rPr lang="en-US" sz="1100"/>
            <a:t>Labor Data for</a:t>
          </a:r>
          <a:r>
            <a:rPr lang="en-US" sz="1100" baseline="0"/>
            <a:t> Composite came from "All" labor category</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495300</xdr:colOff>
      <xdr:row>7</xdr:row>
      <xdr:rowOff>95250</xdr:rowOff>
    </xdr:from>
    <xdr:to>
      <xdr:col>9</xdr:col>
      <xdr:colOff>200025</xdr:colOff>
      <xdr:row>16</xdr:row>
      <xdr:rowOff>38100</xdr:rowOff>
    </xdr:to>
    <xdr:sp macro="" textlink="">
      <xdr:nvSpPr>
        <xdr:cNvPr id="5" name="TextBox 2">
          <a:extLst>
            <a:ext uri="{FF2B5EF4-FFF2-40B4-BE49-F238E27FC236}">
              <a16:creationId xmlns:a16="http://schemas.microsoft.com/office/drawing/2014/main" id="{87FD8108-33B0-41BF-BD3B-61270A39A6F8}"/>
            </a:ext>
          </a:extLst>
        </xdr:cNvPr>
        <xdr:cNvSpPr txBox="1"/>
      </xdr:nvSpPr>
      <xdr:spPr>
        <a:xfrm>
          <a:off x="4924425" y="1466850"/>
          <a:ext cx="2752725" cy="166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a:solidFill>
                <a:schemeClr val="dk1"/>
              </a:solidFill>
              <a:effectLst/>
              <a:latin typeface="+mn-lt"/>
              <a:ea typeface="+mn-ea"/>
              <a:cs typeface="+mn-cs"/>
            </a:rPr>
            <a:t>No</a:t>
          </a:r>
          <a:r>
            <a:rPr lang="en-US" sz="1100" baseline="0">
              <a:solidFill>
                <a:schemeClr val="dk1"/>
              </a:solidFill>
              <a:effectLst/>
              <a:latin typeface="+mn-lt"/>
              <a:ea typeface="+mn-ea"/>
              <a:cs typeface="+mn-cs"/>
            </a:rPr>
            <a:t> performance metrics.</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38</xdr:col>
      <xdr:colOff>1149350</xdr:colOff>
      <xdr:row>24</xdr:row>
      <xdr:rowOff>19050</xdr:rowOff>
    </xdr:from>
    <xdr:to>
      <xdr:col>40</xdr:col>
      <xdr:colOff>1856962</xdr:colOff>
      <xdr:row>34</xdr:row>
      <xdr:rowOff>55916</xdr:rowOff>
    </xdr:to>
    <xdr:pic>
      <xdr:nvPicPr>
        <xdr:cNvPr id="12" name="Picture 11">
          <a:extLst>
            <a:ext uri="{FF2B5EF4-FFF2-40B4-BE49-F238E27FC236}">
              <a16:creationId xmlns:a16="http://schemas.microsoft.com/office/drawing/2014/main" id="{04016A20-EA39-4941-A8FC-F8CE04DEF808}"/>
            </a:ext>
          </a:extLst>
        </xdr:cNvPr>
        <xdr:cNvPicPr>
          <a:picLocks noChangeAspect="1"/>
        </xdr:cNvPicPr>
      </xdr:nvPicPr>
      <xdr:blipFill>
        <a:blip xmlns:r="http://schemas.openxmlformats.org/officeDocument/2006/relationships" r:embed="rId1"/>
        <a:stretch>
          <a:fillRect/>
        </a:stretch>
      </xdr:blipFill>
      <xdr:spPr>
        <a:xfrm>
          <a:off x="4603750" y="5461000"/>
          <a:ext cx="6174604" cy="1958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nbeaman/Local%20Settings/Temporary%20Internet%20Files/Content.Outlook/XY3NTGW0/DRAFT%20NREL%20SHW%20Interview%20Protocol%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chestnut001/Downloads/EERE-2014-BT-STD-0015-0044_attachment_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W Interview Guide"/>
      <sheetName val="Contact List"/>
      <sheetName val="Solar Hot Water Data"/>
      <sheetName val="Notes"/>
    </sheetNames>
    <sheetDataSet>
      <sheetData sheetId="0"/>
      <sheetData sheetId="1" refreshError="1">
        <row r="1">
          <cell r="A1" t="str">
            <v>Business Name</v>
          </cell>
          <cell r="B1" t="str">
            <v>Location</v>
          </cell>
          <cell r="C1" t="str">
            <v>Contact Name</v>
          </cell>
          <cell r="D1" t="str">
            <v>Phone Number</v>
          </cell>
          <cell r="E1" t="str">
            <v>Date Called</v>
          </cell>
          <cell r="F1" t="str">
            <v xml:space="preserve">Status </v>
          </cell>
          <cell r="G1" t="str">
            <v>Comments</v>
          </cell>
          <cell r="H1" t="str">
            <v>Email</v>
          </cell>
        </row>
        <row r="5">
          <cell r="A5" t="str">
            <v>To be populated</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ment Price"/>
    </sheetNames>
    <sheetDataSet>
      <sheetData sheetId="0" refreshError="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12C22133-65F7-4149-98B1-DACE3D7DF800}">
    <nsvFilter filterId="{830E4308-1469-4FF9-A39B-EFF33CA31E5A}" ref="A3:AC544" tableId="27">
      <columnFilter colId="5" id="{77A95C8D-FE08-4CED-9613-3235C00572E9}">
        <filter colId="5">
          <x:filters>
            <x:filter val="Seal"/>
          </x:filters>
        </filter>
      </columnFilter>
      <columnFilter colId="27" id="{24A80B7D-9D63-4A49-A609-AA81DAAD75B7}">
        <filter colId="27">
          <x:filters>
            <x:filter val="No"/>
          </x:filters>
        </filter>
      </columnFilter>
      <sortRules>
        <sortRule colId="22" id="{5CC92E3A-9194-464C-B006-353CF416AF67}">
          <sortCondition ref="W3:W544"/>
        </sortRule>
      </sortRules>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persons/person.xml><?xml version="1.0" encoding="utf-8"?>
<personList xmlns="http://schemas.microsoft.com/office/spreadsheetml/2018/threadedcomments" xmlns:x="http://schemas.openxmlformats.org/spreadsheetml/2006/main">
  <person displayName="Josh" id="{1D20171E-3CF7-4221-B471-9596DE876107}" userId="S::jchestnut@guidehouse.com::c77502c2-5095-4c35-bd34-ae9462c7e4b0"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DB7DCC8-9361-41BC-AC48-8480FE68BA5A}" name="Table1" displayName="Table1" ref="A3:AK919" totalsRowShown="0" headerRowDxfId="206" headerRowCellStyle="Normal 2" dataCellStyle="Normal 2">
  <autoFilter ref="A3:AK919" xr:uid="{EDB7DCC8-9361-41BC-AC48-8480FE68BA5A}"/>
  <tableColumns count="37">
    <tableColumn id="1" xr3:uid="{44E1F054-C5E0-47E4-B7FC-DE3EF19E68EF}" name="Product Class" dataCellStyle="Normal 2"/>
    <tableColumn id="2" xr3:uid="{65F1D85B-FC95-4FDB-AC0E-47A5E736A09E}" name="Space Type" dataCellStyle="Normal 2"/>
    <tableColumn id="3" xr3:uid="{8B07F1D1-0287-4833-B3DF-2820BE804C77}" name="Material" dataCellStyle="Normal 2"/>
    <tableColumn id="4" xr3:uid="{68D0CB57-E102-425C-BC34-1722FC95A087}" name="Face" dataCellStyle="Normal 2"/>
    <tableColumn id="5" xr3:uid="{1DD430DC-7307-4FC3-8E38-3F4CF21F117C}" name="Face Detail" dataCellStyle="Normal 2"/>
    <tableColumn id="6" xr3:uid="{B74B0583-FE13-4FCE-97A3-9503672BA6E3}" name="Thickness (in)" dataCellStyle="Normal 2"/>
    <tableColumn id="7" xr3:uid="{70DD0956-A5BF-4EE0-84D7-C046424748DF}" name="R-value" dataCellStyle="Normal 2"/>
    <tableColumn id="8" xr3:uid="{A4710356-02EB-46A8-9B83-6B579A433CAB}" name="R-Value per Inch" dataCellStyle="Normal 2"/>
    <tableColumn id="9" xr3:uid="{52A2CDFC-CCA9-4503-90E5-402225906063}" name="Materials ($/SF)" dataCellStyle="Normal 2"/>
    <tableColumn id="10" xr3:uid="{28A02FDA-C5C4-49EF-A28B-C153878957EF}" name="Install Labor Hours" dataCellStyle="Normal 2"/>
    <tableColumn id="11" xr3:uid="{BBD9F147-BF1D-4D5B-8DEE-EDDA595B5570}" name="Labor ($/SF)" dataCellStyle="Normal 2"/>
    <tableColumn id="12" xr3:uid="{810B78AF-5791-4D14-8C63-190E41F144C1}" name="Total Installed Cost ($/SF)" dataCellStyle="Normal 2"/>
    <tableColumn id="13" xr3:uid="{B130DE09-E204-4767-B1CD-6D30AAF85569}" name="Removal Labor Hours" dataCellStyle="Normal 2"/>
    <tableColumn id="14" xr3:uid="{B4464D4F-7741-4759-974C-8F51B4A86BE0}" name="Removal Labor ($/SF)" dataCellStyle="Normal 2"/>
    <tableColumn id="15" xr3:uid="{A8AEE6C4-DA5F-4BAE-8006-AF0BFF0E4BAB}" name="Lifetime" dataCellStyle="Normal 2"/>
    <tableColumn id="16" xr3:uid="{9B8A8B78-18B0-4AB5-BEF7-BA2E342015B0}" name="Year" dataCellStyle="Normal 2"/>
    <tableColumn id="17" xr3:uid="{EA52E3BE-96E5-4456-9360-E350F69192A5}" name="Notes" dataCellStyle="Normal 2"/>
    <tableColumn id="18" xr3:uid="{4D316E0B-5652-49A2-9BAF-40C55B08B1AB}" name="Source Notes" dataCellStyle="Normal 2"/>
    <tableColumn id="19" xr3:uid="{E799DBAC-4996-42D7-8A36-61058C69D562}" name="Source" dataCellStyle="Normal 2"/>
    <tableColumn id="20" xr3:uid="{C645EFBE-EE42-48DA-B741-224BD87869C6}" name="Source Link" dataCellStyle="Normal 2"/>
    <tableColumn id="21" xr3:uid="{797E955A-5F9D-4963-B1D0-3039E14EB461}" name="Wall (Wood Stud)" dataCellStyle="Normal 2"/>
    <tableColumn id="22" xr3:uid="{AEEA3DA6-3E9A-4BC1-B7DA-D8A01947913B}" name="Wall (Steel Stud)" dataCellStyle="Normal 2"/>
    <tableColumn id="23" xr3:uid="{54A82C09-1B96-460F-A727-74E25493872B}" name="Wall (Double Wood Stud)" dataCellStyle="Normal 2"/>
    <tableColumn id="24" xr3:uid="{841731A5-80EE-4FA8-8C55-FC6ACE0FE187}" name="Unfinished Basement (Wall)" dataCellStyle="Normal 2"/>
    <tableColumn id="25" xr3:uid="{A748A3F2-BB39-4204-99B5-7F10F0D3C820}" name="Unfinished Basement (Ceiling)" dataCellStyle="Normal 2"/>
    <tableColumn id="26" xr3:uid="{955F58F7-C53D-4FB6-B8CB-80D3C25066BD}" name="Finished Basement (Wall)" dataCellStyle="Normal 2"/>
    <tableColumn id="27" xr3:uid="{7F7DD386-F7DE-47B7-803E-D4F6E2B50209}" name="Finished Basement (Ceiling)" dataCellStyle="Normal 2"/>
    <tableColumn id="28" xr3:uid="{867050DD-BB20-4E02-8955-FF75C0CB5948}" name="Unfinished Attic (Roof)" dataCellStyle="Normal 2"/>
    <tableColumn id="29" xr3:uid="{356C28F2-2978-4795-9817-15590027E2DF}" name="Unfinished Attic (Ceiling)" dataCellStyle="Normal 2"/>
    <tableColumn id="30" xr3:uid="{4A52D474-44D1-4F52-81CE-1A42348F981D}" name="Finished Roof" dataCellStyle="Normal 2"/>
    <tableColumn id="31" xr3:uid="{BD0925EA-4CB6-4119-B1DD-8111A8F51605}" name="Crawlspace (Wall)" dataCellStyle="Normal 2"/>
    <tableColumn id="32" xr3:uid="{98F57F3E-5FE9-431B-9DDB-741A7DDD1FE7}" name="Crawlspace (Ceiling)" dataCellStyle="Normal 2"/>
    <tableColumn id="33" xr3:uid="{0470740E-2D65-4ACA-87EC-24F36985B10B}" name="Slab" dataCellStyle="Normal 2"/>
    <tableColumn id="34" xr3:uid="{8EB2AA2D-8B29-4ED9-9A7F-D6F6C4567AAD}" name="Rim Joist" dataCellStyle="Normal 2"/>
    <tableColumn id="35" xr3:uid="{79D0418E-9F4C-4229-AE24-3B64D4691C85}" name="CMU" dataCellStyle="Normal 2"/>
    <tableColumn id="37" xr3:uid="{1757F201-EC4D-45B3-9CB4-213BEA5C189B}" name="Calculated" dataDxfId="205" dataCellStyle="Normal 2"/>
    <tableColumn id="36" xr3:uid="{DBDE64AF-4E0A-4E89-92A9-55B945D7C631}" name="Regression" dataCellStyle="Normal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0ACE699-A7B6-4E08-9CB9-00F378BC9777}" name="Table21" displayName="Table21" ref="A3:T63" totalsRowShown="0" headerRowDxfId="151" headerRowCellStyle="Normal 2" dataCellStyle="Normal 2">
  <autoFilter ref="A3:T63" xr:uid="{80ACE699-A7B6-4E08-9CB9-00F378BC9777}"/>
  <tableColumns count="20">
    <tableColumn id="1" xr3:uid="{F94350B5-DB53-436E-A74F-CEEBEC9EBA90}" name="Product Class" dataCellStyle="Normal 2"/>
    <tableColumn id="2" xr3:uid="{15BC18E6-1102-4451-9234-1762B3BCD7D6}" name="Space Type" dataCellStyle="Normal 2"/>
    <tableColumn id="3" xr3:uid="{C4BBE964-1877-466B-B39A-781EE82D8B8E}" name="Material" dataCellStyle="Normal 2"/>
    <tableColumn id="4" xr3:uid="{89BF60A7-82B8-4136-BDFA-B43F9DC244F6}" name="Face" dataCellStyle="Normal 2"/>
    <tableColumn id="5" xr3:uid="{DB35F75C-ECE0-4E02-9661-F19A8FFDD2B1}" name="Face Detail" dataCellStyle="Normal 2"/>
    <tableColumn id="6" xr3:uid="{5DE50ED6-A1DD-4723-A3D8-A5587D2B8193}" name="Thickness (in)" dataCellStyle="Normal 2"/>
    <tableColumn id="7" xr3:uid="{A74B295F-5CDE-4671-9D5A-2444FEB33883}" name="R-value" dataCellStyle="Normal 2"/>
    <tableColumn id="8" xr3:uid="{C3E694A1-706A-4A48-B056-20BD44783E66}" name="R-Value per Inch" dataCellStyle="Normal 2"/>
    <tableColumn id="9" xr3:uid="{2294133E-B366-4443-AF86-C763DD44ACD8}" name="Materials ($/SF)" dataCellStyle="Normal 2"/>
    <tableColumn id="10" xr3:uid="{2120DF77-2AC7-4B3A-8D9D-A855EB23A074}" name="Install Labor Hours" dataCellStyle="Normal 2"/>
    <tableColumn id="11" xr3:uid="{FD009CBE-6D6B-4B44-82EC-2E8F958FEB61}" name="Labor ($/SF)" dataCellStyle="Normal 2"/>
    <tableColumn id="12" xr3:uid="{94E7EAB6-0384-43B8-BC01-C35A18BB281B}" name="Total Installed Cost ($/SF)" dataCellStyle="Normal 2"/>
    <tableColumn id="13" xr3:uid="{6CEA8199-58B5-406C-847E-15B82AD09B4E}" name="Removal Labor Hours" dataCellStyle="Normal 2"/>
    <tableColumn id="14" xr3:uid="{4A3152CD-9B26-445D-8B4C-32CBD1E2BD01}" name="Removal Labor ($/SF)" dataCellStyle="Normal 2"/>
    <tableColumn id="15" xr3:uid="{2B5EB956-84FA-4EC3-BFD2-9D2782B00176}" name="Lifetime" dataCellStyle="Normal 2"/>
    <tableColumn id="16" xr3:uid="{BA0EF3F2-C7AD-40D7-AF89-6850C40C6E1C}" name="Year" dataCellStyle="Normal 2"/>
    <tableColumn id="17" xr3:uid="{33D02A21-356F-4DA0-BBE0-FE7F9E25868B}" name="Notes" dataCellStyle="Normal 2"/>
    <tableColumn id="18" xr3:uid="{A713F4F8-7D97-4E9B-9D04-B5D32513BC5F}" name="Source Notes" dataCellStyle="Normal 2"/>
    <tableColumn id="19" xr3:uid="{5C8AF9CD-E1FA-48B4-A002-02AFFBC1F21C}" name="Source" dataCellStyle="Normal 2"/>
    <tableColumn id="20" xr3:uid="{453239D7-5E74-4674-9CFF-B6227A437430}" name="Source Link" dataCellStyle="Normal 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9B3289E-024B-4AC1-8EDF-2BA93BB95310}" name="Table22" displayName="Table22" ref="C3:T87" totalsRowShown="0" headerRowDxfId="150" headerRowCellStyle="Normal 2" dataCellStyle="Normal 2">
  <autoFilter ref="C3:T87" xr:uid="{39B3289E-024B-4AC1-8EDF-2BA93BB95310}"/>
  <tableColumns count="18">
    <tableColumn id="1" xr3:uid="{0DEB53E7-CCD5-4557-9583-87A21B46FC04}" name="Material" dataCellStyle="Normal 2"/>
    <tableColumn id="2" xr3:uid="{906A86DD-0FF8-4BFE-8281-93B3551F98A4}" name="Face" dataCellStyle="Normal 2"/>
    <tableColumn id="3" xr3:uid="{81B06C64-BB79-405E-875C-F997FC14150B}" name="Face Detail" dataCellStyle="Normal 2"/>
    <tableColumn id="4" xr3:uid="{CB595D6D-64A8-4EC0-B45A-2C41C346F007}" name="Thickness (in)" dataCellStyle="Normal 2"/>
    <tableColumn id="5" xr3:uid="{01F8DE7C-AF61-4818-95A6-15B5FE586E66}" name="R-value" dataCellStyle="Normal 2"/>
    <tableColumn id="6" xr3:uid="{0DFC0DA1-6085-49ED-BC57-494D2EB3F8CA}" name="R-Value per Inch" dataCellStyle="Normal 2"/>
    <tableColumn id="7" xr3:uid="{0ABF095C-8189-407E-8B5F-E9B0CB4B97DF}" name="Materials ($/SF)" dataCellStyle="Normal 2"/>
    <tableColumn id="8" xr3:uid="{696559EB-10D8-40C5-B4EE-F07BB5288E2C}" name="Install Labor Hours" dataCellStyle="Normal 2"/>
    <tableColumn id="9" xr3:uid="{8CA43051-2C75-4F73-8703-B8E8A045FAC2}" name="Labor ($/SF)" dataCellStyle="Normal 2"/>
    <tableColumn id="10" xr3:uid="{6C7AA387-E2F6-4941-B778-DFCB2A0DE7DB}" name="Total Installed Cost ($/SF)" dataCellStyle="Normal 2"/>
    <tableColumn id="11" xr3:uid="{473CE03E-9B14-4B23-AE58-4CB8F235A04B}" name="Removal Labor Hours" dataCellStyle="Normal 2"/>
    <tableColumn id="12" xr3:uid="{C0B2B18E-2865-4C07-A719-9958E8963B98}" name="Removal Labor ($/SF)" dataCellStyle="Normal 2"/>
    <tableColumn id="13" xr3:uid="{5AE1A8A6-D24C-46AE-976F-B1353D33B489}" name="Lifetime" dataCellStyle="Normal 2"/>
    <tableColumn id="14" xr3:uid="{CB4128F8-A61C-4E15-BD64-D56730938E47}" name="Year" dataCellStyle="Normal 2"/>
    <tableColumn id="15" xr3:uid="{1F7180A0-1785-4485-9763-4F406A8861A5}" name="Notes" dataCellStyle="Normal 2"/>
    <tableColumn id="16" xr3:uid="{840B53EE-34DB-4253-84FB-02EBD79C7251}" name="Source Notes" dataCellStyle="Normal 2"/>
    <tableColumn id="17" xr3:uid="{F693D97B-3D3B-487F-811B-6E16762CBCA2}" name="Source" dataCellStyle="Normal 2"/>
    <tableColumn id="18" xr3:uid="{E86F9C9B-1E0D-467E-AD06-3832088F1B5F}" name="Source Link"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513129A-80FE-40E4-82B8-0A0756E9176C}" name="Table23" displayName="Table23" ref="A3:T50" totalsRowShown="0" headerRowDxfId="149" headerRowCellStyle="Normal 2" dataCellStyle="Normal 2">
  <autoFilter ref="A3:T50" xr:uid="{8513129A-80FE-40E4-82B8-0A0756E9176C}"/>
  <tableColumns count="20">
    <tableColumn id="1" xr3:uid="{58E93F6F-F746-45D7-A549-B306D9B1CB6B}" name="Product Class" dataCellStyle="Normal 2"/>
    <tableColumn id="2" xr3:uid="{5CA3ED2E-8DED-4566-BF26-BD4FA9B40D25}" name="Space Type" dataCellStyle="Normal 2"/>
    <tableColumn id="3" xr3:uid="{AC996282-6080-4E98-B8D4-F926CA819E89}" name="Material" dataCellStyle="Normal 2"/>
    <tableColumn id="4" xr3:uid="{2E2D6446-98C4-4381-97F5-69EC3B800A9A}" name="Face" dataCellStyle="Normal 2"/>
    <tableColumn id="5" xr3:uid="{55EAE167-AB87-4C98-B244-A8778D78F327}" name="Face Detail" dataCellStyle="Normal 2"/>
    <tableColumn id="6" xr3:uid="{96565E3D-2020-43D6-9DAF-65C09FC8946C}" name="Thickness (in)" dataCellStyle="Normal 2"/>
    <tableColumn id="7" xr3:uid="{CEBF6292-0DCE-4CB9-8F55-1A5DC9EFC8D1}" name="R-value" dataCellStyle="Normal 2"/>
    <tableColumn id="8" xr3:uid="{BEF822E3-A840-42B6-B505-DA84A626F0FB}" name="R-Value per Inch" dataCellStyle="Normal 2"/>
    <tableColumn id="9" xr3:uid="{77019DB7-BE42-4395-907A-F19D29243BAA}" name="Materials ($/SF)" dataCellStyle="Normal 2"/>
    <tableColumn id="10" xr3:uid="{6E7491DF-AF5B-42D1-9629-57226CDFDDDE}" name="Install Labor Hours" dataCellStyle="Normal 2"/>
    <tableColumn id="11" xr3:uid="{3E197521-1EDA-45F2-AF9B-13A1B6D69982}" name="Labor ($/SF)" dataCellStyle="Normal 2"/>
    <tableColumn id="12" xr3:uid="{6D463FA4-2093-4A06-B895-5FEC101D7112}" name="Total Installed Cost ($/SF)" dataCellStyle="Normal 2"/>
    <tableColumn id="13" xr3:uid="{97937D3F-C4AD-4A6B-A39C-CA2218455BEB}" name="Removal Labor Hours" dataCellStyle="Normal 2"/>
    <tableColumn id="14" xr3:uid="{671C8BCE-9CFA-4159-A8CC-D557656B5D20}" name="Removal Labor ($/SF)" dataCellStyle="Normal 2"/>
    <tableColumn id="15" xr3:uid="{EACA0F27-8662-40CC-A8D8-1A56FA6001F5}" name="Lifetime" dataCellStyle="Normal 2"/>
    <tableColumn id="16" xr3:uid="{08AFB1CF-F6A6-4E05-83CF-629036973178}" name="Year" dataCellStyle="Normal 2"/>
    <tableColumn id="17" xr3:uid="{0DC73D94-2EBE-4696-AF01-01C0F75645E1}" name="Notes" dataCellStyle="Normal 2"/>
    <tableColumn id="18" xr3:uid="{900DE455-0358-47A4-8EE6-87C094F12D55}" name="Source Notes" dataCellStyle="Normal 2"/>
    <tableColumn id="19" xr3:uid="{49A1ADA4-D008-44E2-8698-E0E5A30ECD80}" name="Source" dataCellStyle="Normal 2"/>
    <tableColumn id="20" xr3:uid="{306D379A-B0FA-412D-B419-913D381524BF}" name="Source Link"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3EBC15D-8467-4E53-A2EE-5096D676D040}" name="Table25" displayName="Table25" ref="A3:T166" totalsRowShown="0" headerRowDxfId="148" headerRowCellStyle="Normal 2" dataCellStyle="Normal 2">
  <autoFilter ref="A3:T166" xr:uid="{F3EBC15D-8467-4E53-A2EE-5096D676D040}"/>
  <tableColumns count="20">
    <tableColumn id="1" xr3:uid="{BD46F7E8-8D92-4666-A5F3-B443FA401168}" name="Product Class" dataCellStyle="Normal 2"/>
    <tableColumn id="2" xr3:uid="{5146DDD2-2F7D-466D-B6A8-15EAB010F92E}" name="Space Type" dataCellStyle="Normal 2"/>
    <tableColumn id="3" xr3:uid="{AFE8A184-79FA-4B35-8E4D-C95DD2ECCD6F}" name="Material" dataCellStyle="Normal 2"/>
    <tableColumn id="4" xr3:uid="{A316125C-C5C5-475F-A5E9-F5DB2D3B0E09}" name="Face" dataCellStyle="Normal 2"/>
    <tableColumn id="5" xr3:uid="{9C6F7296-A455-4BB4-BF4D-78C83101B141}" name="Face Detail" dataCellStyle="Normal 2"/>
    <tableColumn id="6" xr3:uid="{63FB368E-7EDC-436E-AA5E-9C663BA52F96}" name="Thickness (in)" dataCellStyle="Normal 2"/>
    <tableColumn id="7" xr3:uid="{D67BAB33-8F73-4274-8382-12B365FC8534}" name="R-value" dataCellStyle="Normal 2"/>
    <tableColumn id="8" xr3:uid="{9F30B065-A3C2-4CA0-A173-76A8C50B363F}" name="R-Value per Inch" dataCellStyle="Normal 2"/>
    <tableColumn id="9" xr3:uid="{87DE71D5-8E8C-4B0C-B773-B7347AC5C99F}" name="Materials ($/SF)" dataCellStyle="Normal 2"/>
    <tableColumn id="10" xr3:uid="{F0AD82E7-DFB3-4146-A25B-33FF03F95682}" name="Install Labor Hours" dataCellStyle="Normal 2"/>
    <tableColumn id="11" xr3:uid="{9EDA582C-E5B1-4CC7-99AF-C99DBD21010F}" name="Labor ($/SF)" dataCellStyle="Normal 2"/>
    <tableColumn id="12" xr3:uid="{3C1CC138-6673-4F03-88CC-A38FBBA95433}" name="Total Installed Cost ($/SF)" dataCellStyle="Normal 2"/>
    <tableColumn id="13" xr3:uid="{66917ACF-7892-40C5-8BE0-194D04EAE69D}" name="Removal Labor Hours" dataCellStyle="Normal 2"/>
    <tableColumn id="14" xr3:uid="{C94E02FF-45D0-4162-A28D-9F64F796AC60}" name="Removal Labor ($/SF)" dataCellStyle="Normal 2"/>
    <tableColumn id="15" xr3:uid="{812021B1-2170-4401-A387-68AD5F844CAC}" name="Lifetime" dataCellStyle="Normal 2"/>
    <tableColumn id="16" xr3:uid="{DF3456D0-41E6-4186-8CA7-39738BC77DA8}" name="Year" dataCellStyle="Normal 2"/>
    <tableColumn id="17" xr3:uid="{6321CEDD-2745-45BC-BAA2-CFF8AF39B124}" name="Notes" dataCellStyle="Normal 2"/>
    <tableColumn id="18" xr3:uid="{36E56BFB-EA96-4BD6-970E-9C132845FEED}" name="Source Notes" dataCellStyle="Normal 2"/>
    <tableColumn id="19" xr3:uid="{A872E185-3919-4349-B4D1-4FCF6A8FB164}" name="Source" dataCellStyle="Normal 2"/>
    <tableColumn id="20" xr3:uid="{B85B6436-2366-4F94-A459-82F92ECE1910}" name="Source Link" dataCellStyle="Normal 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9845190-5672-4A7B-BC79-120F690C7989}" name="Table26" displayName="Table26" ref="A3:T158" totalsRowShown="0" headerRowDxfId="147" headerRowCellStyle="Normal 2" dataCellStyle="Normal 2">
  <autoFilter ref="A3:T158" xr:uid="{D9845190-5672-4A7B-BC79-120F690C7989}"/>
  <tableColumns count="20">
    <tableColumn id="1" xr3:uid="{CBD93AE3-F420-4C15-B5EC-3186518249E9}" name="Product Class" dataCellStyle="Normal 2"/>
    <tableColumn id="2" xr3:uid="{90995A5B-321D-4701-842C-8707CD99AFD6}" name="Space Type" dataCellStyle="Normal 2"/>
    <tableColumn id="3" xr3:uid="{4DA5E2E5-A9D7-4B96-9F42-ADB4592A8FFC}" name="Material" dataCellStyle="Normal 2"/>
    <tableColumn id="4" xr3:uid="{C6A8DD2E-9915-4C8F-9714-3390ECA27FDD}" name="Face" dataCellStyle="Normal 2"/>
    <tableColumn id="5" xr3:uid="{901A7E0D-C7E7-4DD9-A685-9A914D499E72}" name="Face Detail" dataCellStyle="Normal 2"/>
    <tableColumn id="6" xr3:uid="{E493FBAD-39C6-4D01-9632-C636F03360CD}" name="Thickness (in)" dataCellStyle="Normal 2"/>
    <tableColumn id="7" xr3:uid="{855B9D97-28D0-4629-B1F2-901A1823BED5}" name="R-value" dataCellStyle="Normal 2"/>
    <tableColumn id="8" xr3:uid="{2B76CF7F-AC8D-4C25-BC9E-9BB0091DC384}" name="R-Value per Inch" dataCellStyle="Normal 2"/>
    <tableColumn id="9" xr3:uid="{C80106AD-9978-460A-83F0-E2605420AC81}" name="Materials ($/SF)" dataCellStyle="Normal 2"/>
    <tableColumn id="10" xr3:uid="{B15C1BF0-C693-4AC7-BE5E-298045057DB3}" name="Install Labor Hours" dataCellStyle="Normal 2"/>
    <tableColumn id="11" xr3:uid="{58658F6D-F1C9-4B5C-B00E-2F53820A6795}" name="Labor ($/SF)" dataCellStyle="Normal 2"/>
    <tableColumn id="12" xr3:uid="{5B4C4715-6A89-405B-A12D-E9A1CB81C31B}" name="Total Installed Cost ($/SF)" dataCellStyle="Normal 2"/>
    <tableColumn id="13" xr3:uid="{43BA0750-75B7-42AE-88CD-09EE1B6B7BBF}" name="Removal Labor Hours" dataCellStyle="Normal 2"/>
    <tableColumn id="14" xr3:uid="{689E50C3-0EF4-42E4-80C7-D3BACB1E261F}" name="Removal Labor ($/SF)" dataCellStyle="Normal 2"/>
    <tableColumn id="15" xr3:uid="{2C903D1E-7BDD-4BF9-A026-8FBBEDE59D03}" name="Lifetime" dataCellStyle="Normal 2"/>
    <tableColumn id="16" xr3:uid="{BFD0FF11-9B64-4327-8759-AF0B3AFC9EEC}" name="Year" dataCellStyle="Normal 2"/>
    <tableColumn id="17" xr3:uid="{77C0E3DC-C013-44D9-B171-A32107823395}" name="Notes" dataCellStyle="Normal 2"/>
    <tableColumn id="18" xr3:uid="{8E89341B-14F9-46E6-9099-CC54F4A10826}" name="Source Notes" dataCellStyle="Normal 2"/>
    <tableColumn id="19" xr3:uid="{FF4C9768-2D9B-450E-87B5-CF6D2FF38539}" name="Source" dataCellStyle="Normal 2"/>
    <tableColumn id="20" xr3:uid="{D8E0DDFA-06DA-4EBD-A861-9CE3F6E65C56}" name="Source Link" dataCellStyle="Normal 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FB3A62-D1F0-47BD-9560-DC8C1504B3C4}" name="Table12" displayName="Table12" ref="A3:W400" totalsRowShown="0" headerRowDxfId="146" headerRowBorderDxfId="145" tableBorderDxfId="144">
  <autoFilter ref="A3:W400" xr:uid="{3DFB3A62-D1F0-47BD-9560-DC8C1504B3C4}"/>
  <tableColumns count="23">
    <tableColumn id="1" xr3:uid="{25BC0F73-FADF-4CE7-B9B8-D4A3B131873A}" name="Component"/>
    <tableColumn id="2" xr3:uid="{7E9FBA42-1905-4239-80D7-329C150BE414}" name="Product Class"/>
    <tableColumn id="3" xr3:uid="{FAEEB81F-CB98-4B7A-BAA8-70C005BD1CBB}" name="Brand"/>
    <tableColumn id="22" xr3:uid="{DE3CBE8A-F336-49CE-B58B-3741CC48BCB7}" name="Model Number"/>
    <tableColumn id="4" xr3:uid="{EC202D9E-7048-46A0-96E2-758775089B43}" name="Material"/>
    <tableColumn id="5" xr3:uid="{C8E38FDC-9214-4B4F-9D56-883A4F571A0A}" name="thickness_in"/>
    <tableColumn id="20" xr3:uid="{8BE230A0-5D50-4D3F-A6A2-2EE3A03141FE}" name="Height (in)"/>
    <tableColumn id="19" xr3:uid="{86930A65-E131-4756-9CC1-99EB8B9CBF7A}" name="Width (in)"/>
    <tableColumn id="21" xr3:uid="{D6089A98-B8A7-4D8D-8539-8E5FA84D1716}" name="Glass Layout"/>
    <tableColumn id="6" xr3:uid="{3B293632-12A8-4273-823E-78289A449AB3}" name="R-value"/>
    <tableColumn id="18" xr3:uid="{850EF9B0-AB77-434F-A002-99D8E998F3AF}" name="Price" dataDxfId="143" dataCellStyle="Currency"/>
    <tableColumn id="7" xr3:uid="{AAC87C34-CBEB-4785-9602-A88658DE9E12}" name="Materials ($/SF)" dataDxfId="142" dataCellStyle="Currency"/>
    <tableColumn id="8" xr3:uid="{B90F263E-6E84-45E4-AE93-A86083E71574}" name=" Install Labor Hours"/>
    <tableColumn id="9" xr3:uid="{C379399F-6716-4C7E-8AEF-01ECF569F5F4}" name="Labor ($/door)" dataCellStyle="Currency"/>
    <tableColumn id="10" xr3:uid="{837EE6DF-9719-46A5-8537-2FF0222544FC}" name="Total Installed Cost ($/door)" dataDxfId="141"/>
    <tableColumn id="11" xr3:uid="{184E003A-8C25-4D6B-89C3-21E5D776DFD7}" name="Removal Labor Hours"/>
    <tableColumn id="12" xr3:uid="{6E5F846E-84EE-4276-8D02-1717DD3D0A23}" name="Removal Labor ($/door)"/>
    <tableColumn id="13" xr3:uid="{B3B14242-81EF-44CF-8A63-7AE53497BEA2}" name="Lifetime"/>
    <tableColumn id="14" xr3:uid="{A67FB0B2-76E6-47D7-8BA0-ED63C6E5D828}" name="Year"/>
    <tableColumn id="15" xr3:uid="{662D2B31-2564-479A-81E8-5DC6E5F128F6}" name="Notes"/>
    <tableColumn id="16" xr3:uid="{B34B4497-BC23-40F5-B395-7735CCAC6DF5}" name="Source"/>
    <tableColumn id="17" xr3:uid="{06C8A15F-F0A3-4B00-B175-585BC512897D}" name="Source Link"/>
    <tableColumn id="23" xr3:uid="{4D2FE7F5-7FB2-48A7-B88C-F3A658280E77}" name="Regressio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018E76D-CB08-4A9A-8515-774DBF057100}" name="Table27" displayName="Table27" ref="A3:U45" totalsRowShown="0" dataDxfId="139" headerRowBorderDxfId="140" tableBorderDxfId="138">
  <autoFilter ref="A3:U45" xr:uid="{E018E76D-CB08-4A9A-8515-774DBF057100}"/>
  <tableColumns count="21">
    <tableColumn id="1" xr3:uid="{612E33B0-94B6-4C99-A563-465C40878BFC}" name="Component" dataDxfId="137"/>
    <tableColumn id="2" xr3:uid="{8BC86D8E-EAD0-4EB6-8D26-B5BD0110A392}" name="Brand" dataDxfId="136"/>
    <tableColumn id="3" xr3:uid="{E4D70933-02A3-474C-A50B-2176BC89C3DB}" name="Model" dataDxfId="135"/>
    <tableColumn id="4" xr3:uid="{B19CE804-760D-4EB1-9694-2AE13AE68800}" name="Type" dataDxfId="134"/>
    <tableColumn id="5" xr3:uid="{BF19CE2D-7A7C-4E01-B921-103A03BD404A}" name="Material" dataDxfId="133"/>
    <tableColumn id="6" xr3:uid="{9A6C162A-4D86-4647-B8CA-E588A0757A92}" name="Density (lb/ft)" dataDxfId="132"/>
    <tableColumn id="7" xr3:uid="{73617983-050F-4577-A044-22850ED12D0E}" name="Thickness (in)" dataDxfId="131"/>
    <tableColumn id="8" xr3:uid="{D0D92D99-4623-4A8A-A4F1-A19E35B35D96}" name="Area (sq. ft)" dataDxfId="130"/>
    <tableColumn id="20" xr3:uid="{F48FAD20-4DA8-4D3A-9FC2-C2A9532F2722}" name="Linear Feet" dataDxfId="129"/>
    <tableColumn id="9" xr3:uid="{435648A7-6170-44C0-81BC-C6B7C0B68AA6}" name="R-value" dataDxfId="128"/>
    <tableColumn id="10" xr3:uid="{FB400BD5-F380-47E4-86B8-2E328BF4486C}" name="Materials ($)" dataDxfId="127"/>
    <tableColumn id="19" xr3:uid="{61552D39-3209-419A-8581-B803C18D36DA}" name="Materials ($/sqft)" dataDxfId="126">
      <calculatedColumnFormula>Table27[[#This Row],[Materials ($)]]/Table27[[#This Row],[Area (sq. ft)]]</calculatedColumnFormula>
    </tableColumn>
    <tableColumn id="22" xr3:uid="{59973B2B-CF5F-4A0A-8EAB-512B3F4C7CBD}" name="Column1" dataDxfId="125"/>
    <tableColumn id="11" xr3:uid="{35F84EDC-A4DB-400C-B6AD-D632EC2D78AF}" name=" Install Labor Hours" dataDxfId="124"/>
    <tableColumn id="12" xr3:uid="{0E29D56A-1271-4457-8BAF-9A69BB8F05A0}" name="Labor ($)" dataDxfId="123"/>
    <tableColumn id="13" xr3:uid="{2A311467-2A7E-46CE-A1A8-488A2C2DEACB}" name="Total O&amp;P" dataDxfId="122"/>
    <tableColumn id="14" xr3:uid="{67559F05-046A-4C83-806E-3267826E5635}" name="Removal Labor Hours" dataDxfId="121"/>
    <tableColumn id="15" xr3:uid="{1B0AC76C-326F-4DA0-96A3-9B2420B030E5}" name="Date" dataDxfId="120"/>
    <tableColumn id="16" xr3:uid="{F2EFD324-56C6-4F19-B8BB-7BF75C08B42E}" name="Source" dataDxfId="119"/>
    <tableColumn id="17" xr3:uid="{C03FDE00-10D6-4D56-8BE2-2AD89C48CC69}" name="Source Link" dataDxfId="118"/>
    <tableColumn id="18" xr3:uid="{9CC45B0F-9BDF-4C51-8ABC-E93160921C9F}" name="Regression" dataDxfId="117"/>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3E754BB-36D5-4629-AA75-D4338BB47E92}" name="Table2929" displayName="Table2929" ref="A3:AB386" totalsRowShown="0" headerRowDxfId="116">
  <autoFilter ref="A3:AB386" xr:uid="{33E754BB-36D5-4629-AA75-D4338BB47E92}">
    <filterColumn colId="27">
      <filters>
        <filter val="Yes"/>
      </filters>
    </filterColumn>
  </autoFilter>
  <tableColumns count="28">
    <tableColumn id="31" xr3:uid="{9B68ED67-07CD-4AD8-ACE2-2DD05215B98F}" name="Component"/>
    <tableColumn id="1" xr3:uid="{32609818-4CA7-499B-8223-882D49AA9CC9}" name="2"/>
    <tableColumn id="2" xr3:uid="{9F36D295-C3C9-474D-9BC8-36C326E48936}" name="cost_id"/>
    <tableColumn id="3" xr3:uid="{544EAE33-8215-4891-A970-CF207C7A7A63}" name="section"/>
    <tableColumn id="4" xr3:uid="{7D5FA83A-940D-452A-BCC3-6094A6FA876B}" name="action"/>
    <tableColumn id="5" xr3:uid="{239A39D7-7F1F-43B7-9905-398935FB8547}" name="component2"/>
    <tableColumn id="6" xr3:uid="{57D7495A-6E1F-469E-9BC7-F5F2EC07356D}" name="type"/>
    <tableColumn id="7" xr3:uid="{240A52E6-A735-4BD4-979D-651248300B1F}" name="performance_1"/>
    <tableColumn id="8" xr3:uid="{D2A20174-2B15-44C9-A934-E31E4849AFC1}" name="unit_1"/>
    <tableColumn id="9" xr3:uid="{E7CA4823-80C3-42EA-9574-BBA820088FAF}" name="performance_2"/>
    <tableColumn id="10" xr3:uid="{67AAF79A-2DC8-4D4A-98F5-B0A317F8EE2D}" name="unit_2"/>
    <tableColumn id="13" xr3:uid="{4FC59BF1-9576-4E70-ADE7-7E0138A2CEFB}" name="total_cost"/>
    <tableColumn id="14" xr3:uid="{18C49A2C-D798-4719-A640-D60823B5AF44}" name="city"/>
    <tableColumn id="15" xr3:uid="{A0974548-87CA-44E9-9B8B-4155803D8D75}" name="state"/>
    <tableColumn id="16" xr3:uid="{88AFD39D-0E2C-40DF-A1D0-2A2520675A62}" name="building_type"/>
    <tableColumn id="17" xr3:uid="{4F60F3B2-65A5-4EC8-8583-EEDA7D6412D2}" name="construction_type"/>
    <tableColumn id="18" xr3:uid="{9C04DDAC-BDB5-43C0-9717-1A62EA0BFF0C}" name="foundation_type"/>
    <tableColumn id="19" xr3:uid="{AFC6154B-4C9B-4BB1-8D87-D1BBA3BD2F7E}" name="vintage"/>
    <tableColumn id="20" xr3:uid="{0B48C286-1233-4370-BB9A-399981620C22}" name="cfa_post"/>
    <tableColumn id="21" xr3:uid="{D1EDFAFD-B5C5-4180-A7AA-2811160CE38C}" name="stories_post"/>
    <tableColumn id="22" xr3:uid="{1BC89D49-E105-434C-AAE6-11EEA5452304}" name="retrofit_type_primary"/>
    <tableColumn id="23" xr3:uid="{0B339B1F-2D48-4A4D-8345-73245C8AA1F0}" name="start_year"/>
    <tableColumn id="24" xr3:uid="{D25BE230-AD82-4F55-9075-6957902481D7}" name="DuctLeakagePercentReduction"/>
    <tableColumn id="25" xr3:uid="{1E74711F-3290-421E-A9E3-6924F812E38B}" name="% Leakage Reduction (Calculated)"/>
    <tableColumn id="26" xr3:uid="{140538C5-55D3-4B07-9774-EE53E2F558DF}" name="$/sqft" dataDxfId="115">
      <calculatedColumnFormula>Table2929[[#This Row],[total_cost]]/Table2929[[#This Row],[cfa_post]]</calculatedColumnFormula>
    </tableColumn>
    <tableColumn id="28" xr3:uid="{AB78777D-B7D7-4326-A1AD-2237FC9D4CA1}" name="Total Cost (2023$)" dataDxfId="114">
      <calculatedColumnFormula>Table2929[[#This Row],[total_cost]]/INDEX(CPI!$A$3:$C$31,MATCH(Table2929[[#This Row],[start_year]],CPI!$A$3:$A$31,0),3)</calculatedColumnFormula>
    </tableColumn>
    <tableColumn id="27" xr3:uid="{2D0C9F6B-E96A-4B8F-AC48-D7F9B753787E}" name="2023$/sqft" dataDxfId="113">
      <calculatedColumnFormula>Table2929[[#This Row],[$/sqft]]/INDEX(CPI!$A$3:$C$31,MATCH(Table2929[[#This Row],[start_year]],CPI!$A$3:$A$31,0),3)</calculatedColumnFormula>
    </tableColumn>
    <tableColumn id="29" xr3:uid="{15CE8A88-12D2-411F-8B2A-9EF8BB110D47}" name="Regression?" dataDxfId="112"/>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CF5DA2-67E2-4FCE-B3E0-7AE5A2BB3EE9}" name="Table13" displayName="Table13" ref="A3:Y533" totalsRowShown="0" headerRowDxfId="111">
  <autoFilter ref="A3:Y533" xr:uid="{57CF5DA2-67E2-4FCE-B3E0-7AE5A2BB3EE9}"/>
  <tableColumns count="25">
    <tableColumn id="1" xr3:uid="{8B57E9AB-430D-4856-827C-9E101C4584B7}" name="Component"/>
    <tableColumn id="2" xr3:uid="{B034CC5E-BF37-4D13-8A91-9B69EF4AE152}" name="Product Class"/>
    <tableColumn id="3" xr3:uid="{1C053DF5-E9BA-4EE0-BF94-5EDFB2557C95}" name="Brand" dataDxfId="110"/>
    <tableColumn id="4" xr3:uid="{0C879CC1-8143-4B4D-9618-3C87C1E400D4}" name="Model" dataDxfId="109"/>
    <tableColumn id="5" xr3:uid="{FBB52074-DBDF-42AD-8702-671A1195D23C}" name="Material" dataDxfId="108"/>
    <tableColumn id="6" xr3:uid="{0DCBD424-A80D-4FD8-AECC-A23973A9F6D9}" name="Area (ft2)" dataDxfId="107"/>
    <tableColumn id="7" xr3:uid="{56F834F4-B899-4593-9E5C-0E1567E6538C}" name="Color" dataDxfId="106"/>
    <tableColumn id="8" xr3:uid="{E5DD9190-F5AE-4517-9AF9-9A77BF9278C3}" name="Color Finish" dataDxfId="105"/>
    <tableColumn id="9" xr3:uid="{B2A94655-D520-4234-9008-76A716E2F8E9}" name="Finish" dataDxfId="104"/>
    <tableColumn id="24" xr3:uid="{F28F662E-8752-451C-BE00-01F4BB6F9614}" name="Weight" dataDxfId="103"/>
    <tableColumn id="10" xr3:uid="{9A0A0235-F137-4D53-8D91-DEFEA492FBF9}" name="R-value"/>
    <tableColumn id="11" xr3:uid="{CC3F0D66-0AA9-4C42-AD7F-4E409B1D654B}" name="Price" dataDxfId="102" dataCellStyle="Currency"/>
    <tableColumn id="22" xr3:uid="{3DE9991A-ECDA-4E6D-854D-6E7B388658F6}" name="Material $/SF" dataDxfId="101" dataCellStyle="Currency">
      <calculatedColumnFormula>Table13[[#This Row],[Price]]/Table13[[#This Row],[Area (ft2)]]</calculatedColumnFormula>
    </tableColumn>
    <tableColumn id="25" xr3:uid="{7BB4EF72-7062-48C4-88B0-7CE8DDA47090}" name="Material $/LB" dataDxfId="100" dataCellStyle="Currency"/>
    <tableColumn id="12" xr3:uid="{2462504B-C0EC-486A-BBCF-B05E11B1C8F0}" name=" Install Labor Hours"/>
    <tableColumn id="13" xr3:uid="{E6FBA58F-F5FE-4E78-BFE0-AB54C291142D}" name="Labor ($/SF)" dataCellStyle="Currency"/>
    <tableColumn id="14" xr3:uid="{97ED4B06-3F8C-4C83-9B31-666FC8E79E33}" name="Total Installed Cost ($/SF)"/>
    <tableColumn id="15" xr3:uid="{1AE4C0FE-01B9-4C04-BCCD-8BFD7DD4F1B3}" name="Removal Labor Hours"/>
    <tableColumn id="16" xr3:uid="{5A1B3DF8-4B87-4D17-A2DE-FAEAC083DCED}" name="Removal Labor ($/SF)" dataCellStyle="Currency"/>
    <tableColumn id="17" xr3:uid="{06F9EB6A-FF7F-4728-96F6-C1CE8DBFBAB6}" name="Lifetime"/>
    <tableColumn id="18" xr3:uid="{7D9E236A-4775-47E7-8924-B6A1809DDF0D}" name="Year"/>
    <tableColumn id="19" xr3:uid="{B765E800-9F08-4EE4-BC1F-3D3946201701}" name="Notes"/>
    <tableColumn id="20" xr3:uid="{3BBBF26E-F794-427D-A14E-A89BAE23BB60}" name="Source"/>
    <tableColumn id="21" xr3:uid="{F520D68D-C714-46E0-BD6F-216125AE1D4E}" name="Source Link"/>
    <tableColumn id="23" xr3:uid="{3100FEAD-2E34-42F7-BDA7-F72098C3B152}" name="Typ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82CC7EE-DCC3-4DDF-A8FD-3026D46904AA}" name="Table17" displayName="Table17" ref="A3:W32" totalsRowShown="0">
  <autoFilter ref="A3:W32" xr:uid="{482CC7EE-DCC3-4DDF-A8FD-3026D46904AA}"/>
  <tableColumns count="23">
    <tableColumn id="1" xr3:uid="{76AD55FF-7CE2-4C78-8A1A-1DBE4864E490}" name="Component"/>
    <tableColumn id="2" xr3:uid="{BE4E5174-3941-48ED-AF2C-78D8FDA077EA}" name="Product Class"/>
    <tableColumn id="3" xr3:uid="{4C68D46C-FF75-4B1F-B70B-EF55EC7C3106}" name="Brand"/>
    <tableColumn id="4" xr3:uid="{7164E245-0AF7-4DFE-A0E6-827783CAF080}" name="Model"/>
    <tableColumn id="5" xr3:uid="{D465828B-C089-4616-B9AF-793D4609DDD3}" name="Product Description"/>
    <tableColumn id="6" xr3:uid="{83ED59B0-4B0B-4BEC-940F-793523D8C965}" name="Length (ft)"/>
    <tableColumn id="7" xr3:uid="{5C6D6566-8C3D-4571-811B-34E9901C9C9E}" name="Width (in)"/>
    <tableColumn id="8" xr3:uid="{A2CE19B1-AE1F-40BD-B36F-E458BE9A94EC}" name="Thickness (in)"/>
    <tableColumn id="9" xr3:uid="{427FCC81-9A17-4D04-A952-F6B8D1E19484}" name="R-value"/>
    <tableColumn id="10" xr3:uid="{2869F165-95E8-4274-9F18-5FD2338F2F17}" name="Price" dataDxfId="99" dataCellStyle="Currency"/>
    <tableColumn id="11" xr3:uid="{D4724E47-1CB6-4D3E-A62D-89B9428B2FA4}" name="Area (sq ft)"/>
    <tableColumn id="12" xr3:uid="{E4F602CA-BFB2-4EB6-801C-D427512812BA}" name="Materials ($/SF)" dataCellStyle="Currency"/>
    <tableColumn id="13" xr3:uid="{B97961E9-0C4B-4275-9470-0F09985BAEDB}" name=" Install Labor Hours"/>
    <tableColumn id="14" xr3:uid="{3B30462C-627D-407B-A3AD-58EFCE0DB269}" name="Labor ($/SF)"/>
    <tableColumn id="15" xr3:uid="{E3349253-33E6-40BF-A0EA-4B9DE6A4B565}" name="Total Installed Cost ($/SF)"/>
    <tableColumn id="16" xr3:uid="{4FD3785D-E5B8-4503-946D-15909931FCDB}" name="Removal Labor Hours"/>
    <tableColumn id="17" xr3:uid="{E9B1CF56-6C2E-49CC-8832-EFDB63AF515E}" name="Removal Labor ($/SF)"/>
    <tableColumn id="18" xr3:uid="{3AB58602-8DA9-46DF-873A-285E97693EFC}" name="Lifetime"/>
    <tableColumn id="19" xr3:uid="{BABFC059-6650-48BC-B46F-F8C4799F5D59}" name="Year"/>
    <tableColumn id="20" xr3:uid="{9EC3EF34-1E70-4A20-BE75-280DC19B9C2B}" name="Notes"/>
    <tableColumn id="21" xr3:uid="{3F0420BE-79D9-4728-9ACB-7946B7802FEC}" name="Source"/>
    <tableColumn id="22" xr3:uid="{A684B717-9F9A-4D12-A3EF-365DB277C7BC}" name="Source Link"/>
    <tableColumn id="23" xr3:uid="{BC3E5DA6-3EE9-4361-940B-0CF09CD4F2FC}" name="Regressio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2A76206-4C67-4A9E-A163-8409020878B3}" name="Table9" displayName="Table9" ref="AM3:AX12" totalsRowShown="0" headerRowDxfId="204" dataDxfId="202" headerRowBorderDxfId="203" dataCellStyle="Normal 2">
  <autoFilter ref="AM3:AX12" xr:uid="{B2A76206-4C67-4A9E-A163-8409020878B3}"/>
  <tableColumns count="12">
    <tableColumn id="1" xr3:uid="{979D9E88-FF5A-4C3A-A012-2DBED4224CF7}" name="Component" dataDxfId="201" dataCellStyle="Normal 2"/>
    <tableColumn id="2" xr3:uid="{6DB26C25-2A75-4C4D-AAFC-2CA871F8077F}" name="Product Class" dataDxfId="200" dataCellStyle="Normal 2"/>
    <tableColumn id="3" xr3:uid="{1059D3A7-C314-4B55-8F55-8EBB05582C4A}" name="Install" dataDxfId="199" dataCellStyle="Currency">
      <calculatedColumnFormula>AVERAGE(K28:K35,K309:K328)</calculatedColumnFormula>
    </tableColumn>
    <tableColumn id="4" xr3:uid="{1EC23604-2267-4D48-ABDE-466783EA7C22}" name="Removal" dataDxfId="198" dataCellStyle="Currency"/>
    <tableColumn id="5" xr3:uid="{4F37A78B-0327-492B-B5BF-39FA8FF62455}" name="Total New Construction" dataDxfId="197" dataCellStyle="Currency">
      <calculatedColumnFormula>Table9[[#This Row],[Install]]</calculatedColumnFormula>
    </tableColumn>
    <tableColumn id="6" xr3:uid="{249C6CDF-74C9-4045-990B-4735D928D6FA}" name="Total Retrofit" dataDxfId="196" dataCellStyle="Normal 2">
      <calculatedColumnFormula>Table9[[#This Row],[Total New Construction]]+Table9[[#This Row],[Removal]]</calculatedColumnFormula>
    </tableColumn>
    <tableColumn id="7" xr3:uid="{59FB93F6-2F33-42EA-B776-2BBF0335EBAE}" name="New Construction (%)" dataDxfId="195" dataCellStyle="Normal 2">
      <calculatedColumnFormula>1+Table9[[#This Row],[Install]]/AVERAGE(I74:I81)</calculatedColumnFormula>
    </tableColumn>
    <tableColumn id="8" xr3:uid="{43FAF08B-F430-408D-8C54-817F6E5C60A8}" name="Retrofit (%)" dataDxfId="194" dataCellStyle="Normal 2">
      <calculatedColumnFormula>Table9[[#This Row],[New Construction (%)]]+Table9[[#This Row],[Removal]]/AVERAGE(I74:I81)</calculatedColumnFormula>
    </tableColumn>
    <tableColumn id="11" xr3:uid="{FC7E45ED-C80D-48F4-A2E5-07DE98422696}" name="New Construction adder" dataDxfId="193" dataCellStyle="Percent"/>
    <tableColumn id="12" xr3:uid="{975828AC-A1DB-46F3-8E6A-63D43FFE925A}" name="Retrofit adder" dataDxfId="192" dataCellStyle="Percent"/>
    <tableColumn id="9" xr3:uid="{E0BC9DC4-B27F-4E46-BABC-DE6F3F910CCA}" name="Date of Data" dataDxfId="191" dataCellStyle="Normal 2"/>
    <tableColumn id="10" xr3:uid="{EEE4819E-C975-4708-A2F9-515DC2823730}" name="Source" dataDxfId="190" dataCellStyle="Normal 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CB119AC-D6FC-4A55-A960-E6C2A772E86A}" name="Table10" displayName="Table10" ref="A3:R66" totalsRowCount="1" headerRowDxfId="98" headerRowBorderDxfId="97" tableBorderDxfId="96" totalsRowBorderDxfId="95">
  <autoFilter ref="A3:R65" xr:uid="{24B9458C-35D4-442D-8C32-DACC14BF4188}"/>
  <sortState xmlns:xlrd2="http://schemas.microsoft.com/office/spreadsheetml/2017/richdata2" ref="A4:R65">
    <sortCondition ref="A3:A65"/>
  </sortState>
  <tableColumns count="18">
    <tableColumn id="1" xr3:uid="{9E332589-04B7-467C-84AB-41F960AC9F3A}" name="Component" dataDxfId="94" totalsRowDxfId="93" dataCellStyle="Hyperlink"/>
    <tableColumn id="2" xr3:uid="{35AFBFF6-1429-4717-A8BC-A36F51C94FDB}" name="R-Value" dataDxfId="92" totalsRowDxfId="91"/>
    <tableColumn id="11" xr3:uid="{624081C3-25A0-4098-9F52-113070B87A5C}" name="R / in" dataDxfId="90" totalsRowDxfId="89">
      <calculatedColumnFormula>Table10[[#This Row],[R-Value]]/Table10[[#This Row],[SIP Panel Thickness (in)]]</calculatedColumnFormula>
    </tableColumn>
    <tableColumn id="3" xr3:uid="{2CEBD44A-A49C-4F20-BFEC-D44328DA3CE5}" name="SIP Panel Thickness (in)" dataDxfId="88" totalsRowDxfId="87"/>
    <tableColumn id="4" xr3:uid="{43F7BB56-5D22-46B9-A3D5-AA5E66B68A14}" name="Specs" dataDxfId="86" totalsRowDxfId="85"/>
    <tableColumn id="5" xr3:uid="{86BB3D9D-CBB6-4D12-8EE6-B0CFE8FF8D5B}" name="Total Cost" dataDxfId="84" totalsRowDxfId="83"/>
    <tableColumn id="6" xr3:uid="{1868F749-B67E-4B22-B080-F6E47858075D}" name="$ / square ft" dataDxfId="82" totalsRowDxfId="81"/>
    <tableColumn id="16" xr3:uid="{42FD3A9C-E230-43D9-835A-B26181FAA690}" name="Install Labor Hours" dataDxfId="80" totalsRowDxfId="79"/>
    <tableColumn id="9" xr3:uid="{9A6D2CDF-5FE5-449D-9351-11E5C77BE91E}" name="Labor ($/sqft)" dataDxfId="78" totalsRowDxfId="77"/>
    <tableColumn id="17" xr3:uid="{B9CFD636-6168-406B-9602-EB2E7F466360}" name="Total Installed Cost ($/SF)" dataDxfId="76" totalsRowDxfId="75"/>
    <tableColumn id="18" xr3:uid="{79EC49B8-AC5E-4278-A943-18072CE4D64B}" name="Removal Hours" dataDxfId="74" totalsRowDxfId="73"/>
    <tableColumn id="12" xr3:uid="{8F6E6B0F-5E09-40B9-9F5A-D94551BAECB8}" name="Removal Costs" dataDxfId="72" totalsRowDxfId="71"/>
    <tableColumn id="10" xr3:uid="{F57CA0C5-01ED-4CB4-B49D-F24B1A528DFC}" name="Total O&amp;P" dataDxfId="70" totalsRowDxfId="69"/>
    <tableColumn id="20" xr3:uid="{5A482A34-11BA-425F-AF40-0B2DB51A3CBA}" name="Year" dataDxfId="68" totalsRowDxfId="67"/>
    <tableColumn id="19" xr3:uid="{B6B4A2F2-5A65-4977-BC6F-CC3D341DF416}" name="Notes" dataDxfId="66" totalsRowDxfId="65"/>
    <tableColumn id="14" xr3:uid="{A65701C8-3D27-4B8C-8BF4-2BE1274C0D7E}" name="Source" dataDxfId="64" totalsRowDxfId="63" dataCellStyle="Hyperlink"/>
    <tableColumn id="7" xr3:uid="{53B2780E-6FA2-4497-86B8-21B83DB9069E}" name="Link" dataDxfId="62" totalsRowDxfId="61"/>
    <tableColumn id="8" xr3:uid="{7126EA69-5103-4F27-A492-4F2EE0216F38}" name="Regression" dataDxfId="60" totalsRowDxfId="59" dataCellStyle="Percent"/>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E05DA2A-D735-450B-88B4-5F0DE5F58796}" name="Table18" displayName="Table18" ref="A3:V88" totalsRowShown="0" headerRowDxfId="58">
  <autoFilter ref="A3:V88" xr:uid="{9E05DA2A-D735-450B-88B4-5F0DE5F58796}"/>
  <tableColumns count="22">
    <tableColumn id="1" xr3:uid="{8B34BE3A-7165-4F01-AB8E-ACA5F332508D}" name="Component"/>
    <tableColumn id="2" xr3:uid="{5E91E312-17EF-40EA-8133-57914B74DEF7}" name="Product Class"/>
    <tableColumn id="3" xr3:uid="{DC84E447-ED47-43E5-B9AE-699E5B568200}" name="Brand"/>
    <tableColumn id="4" xr3:uid="{3EC034CA-9D0D-45FD-A598-23A6F9E76F86}" name="Model"/>
    <tableColumn id="5" xr3:uid="{94C952E7-CE53-4AE6-B1AE-6325A3DCC31B}" name="Product Description"/>
    <tableColumn id="6" xr3:uid="{6DBBAFF5-3C71-43B7-87BA-6C5A003F88AD}" name="Length (inches)"/>
    <tableColumn id="7" xr3:uid="{F0B861BE-8E5E-4130-96D8-CBA160667407}" name="Width (inches)"/>
    <tableColumn id="8" xr3:uid="{F56B89FE-D2ED-4406-926C-D1D302144CF6}" name="Area (sq. in.)"/>
    <tableColumn id="9" xr3:uid="{12A12069-240A-4819-BB9F-775C9EE2EC07}" name="Thickness (inch)"/>
    <tableColumn id="10" xr3:uid="{885E9BB4-EF73-45FA-AEEE-2361BD3C6599}" name="Price ($)"/>
    <tableColumn id="11" xr3:uid="{18F1DD8E-C9B2-4596-86FA-9728B1915C41}" name="Materials ($/SF)" dataDxfId="57"/>
    <tableColumn id="12" xr3:uid="{FE38750C-A2CF-4414-8944-FA0549F7356B}" name=" Install Labor Hours"/>
    <tableColumn id="13" xr3:uid="{16F0FEA3-9F25-479D-9A56-1B995F698A51}" name="Labor ($/SF)"/>
    <tableColumn id="14" xr3:uid="{963E2190-9B03-4A25-968C-CBB6A8AD56E6}" name="Total Installed Cost ($/SF)"/>
    <tableColumn id="15" xr3:uid="{9889C1B4-7619-4366-9CB1-AACD2F2802FA}" name="Removal Labor Hours"/>
    <tableColumn id="16" xr3:uid="{88D26828-99E6-4ED4-B604-502168B24258}" name="Removal Labor ($/SF)"/>
    <tableColumn id="17" xr3:uid="{6DE4462A-017C-4AC1-A613-0512A89FD28E}" name="Lifetime"/>
    <tableColumn id="18" xr3:uid="{FCEF417A-09BF-4F32-8116-38C0353BEA32}" name="Year"/>
    <tableColumn id="19" xr3:uid="{816BAA2C-236F-4B0A-8600-8D7D30EF4657}" name="Notes"/>
    <tableColumn id="20" xr3:uid="{B59307C5-62A7-449C-AF93-D5F97317FABD}" name="Source"/>
    <tableColumn id="21" xr3:uid="{E508DE26-E1D8-4EB4-9223-537F4341E0ED}" name="Source Link"/>
    <tableColumn id="22" xr3:uid="{1332BC2E-F6C7-4814-8D16-83A4CDD76D42}" name="Regressio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66D4062-57FA-468F-A387-E1ED40033B4B}" name="Table16" displayName="Table16" ref="A3:Z335" totalsRowShown="0" headerRowDxfId="56">
  <autoFilter ref="A3:Z335" xr:uid="{C66D4062-57FA-468F-A387-E1ED40033B4B}">
    <filterColumn colId="11">
      <filters>
        <filter val="Vinyl"/>
      </filters>
    </filterColumn>
  </autoFilter>
  <tableColumns count="26">
    <tableColumn id="1" xr3:uid="{7667883A-EBFD-4743-B19A-12591A6EBF5F}" name="Component"/>
    <tableColumn id="2" xr3:uid="{F1DA86E6-D66B-4B8A-A203-83419B02189D}" name="Class"/>
    <tableColumn id="30" xr3:uid="{3896ECE5-2EE6-40BB-B4F5-C259F00AAAF5}" name="Fill"/>
    <tableColumn id="3" xr3:uid="{A69FF3C4-7F2A-41AC-BA95-325CC0D459B0}" name="Brand" dataDxfId="55"/>
    <tableColumn id="4" xr3:uid="{634F7749-69BD-42A8-A7F2-A428358AA73C}" name="Model" dataDxfId="54"/>
    <tableColumn id="5" xr3:uid="{D6EAF2F4-D438-40B6-8AAB-12E2B5FFD6B4}" name="Glazing" dataDxfId="53"/>
    <tableColumn id="6" xr3:uid="{FBDF5684-B6C7-4642-8F86-8B2C21284254}" name="U-Factor" dataDxfId="52"/>
    <tableColumn id="7" xr3:uid="{0C147CEC-1C1F-4A6D-92CC-C601296E2ED5}" name="SHGC" dataDxfId="51"/>
    <tableColumn id="24" xr3:uid="{904932DA-3D85-4262-80A7-3E21935F67C9}" name="Width(in)xHeight(in)" dataDxfId="50"/>
    <tableColumn id="25" xr3:uid="{7E99E8D5-D2CC-4119-967F-7227C245F69F}" name="Area (sq. in)" dataDxfId="49"/>
    <tableColumn id="8" xr3:uid="{2F9E8C2E-CCC3-4B2A-B1C2-B2BB0586CEB3}" name="Glass Type" dataDxfId="48"/>
    <tableColumn id="9" xr3:uid="{9524199B-9F9F-4C28-AF62-D87604428AB7}" name="Material" dataDxfId="47"/>
    <tableColumn id="11" xr3:uid="{AC8CACD3-49FB-4B53-B422-26A2387CAE1B}" name="Price" dataDxfId="46" dataCellStyle="Currency"/>
    <tableColumn id="12" xr3:uid="{D55F16E2-E242-4F6A-83E1-0D69E9A04680}" name="Materials ($/SF)" dataDxfId="45">
      <calculatedColumnFormula>Table16[[#This Row],[Price]]/Table16[[#This Row],[Area (sq. in)]]*144</calculatedColumnFormula>
    </tableColumn>
    <tableColumn id="13" xr3:uid="{57E81F87-0D3C-429F-9603-E280711A35BF}" name="Install Labor Hours"/>
    <tableColumn id="14" xr3:uid="{0EE5C65B-1F76-41D8-AEDC-C021627D9A19}" name="Labor ($/window)"/>
    <tableColumn id="15" xr3:uid="{A394B9B4-984C-4F04-9622-A3390BA6DACB}" name="Total Installed Cost ($/window)"/>
    <tableColumn id="16" xr3:uid="{B625DAA1-9C54-4042-8F57-54DD44541036}" name="Removal Labor Hours"/>
    <tableColumn id="17" xr3:uid="{88D2EAB2-37DC-4A4B-AD89-E58E976E177D}" name="Removal Labor ($/window)"/>
    <tableColumn id="18" xr3:uid="{BCBFB158-1BBA-4666-B9E3-CFF287677015}" name="Lifetime"/>
    <tableColumn id="19" xr3:uid="{514CBBD7-2275-49D9-87E6-6D998916F9F9}" name="Year"/>
    <tableColumn id="20" xr3:uid="{731EF2B9-99F8-4AD3-8E34-84A0CF64C18B}" name="Notes"/>
    <tableColumn id="21" xr3:uid="{9C2BCDB1-96C2-43FF-AA32-8E022691006E}" name="Source"/>
    <tableColumn id="22" xr3:uid="{9125E427-510E-4EE4-BC8E-FDEB5CA9E4BB}" name="Source Link" dataDxfId="44"/>
    <tableColumn id="23" xr3:uid="{0CC7EEA1-20BD-4157-8B54-965235BA0738}" name="Regression"/>
    <tableColumn id="26" xr3:uid="{9889EBA1-AFAC-4657-8C98-60B197A58756}" name="Outlier"/>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77072F1-FAC6-4227-8B5D-F4E83CC3CAC0}" name="Table2727" displayName="Table2727" ref="A3:T241" totalsRowShown="0" headerRowBorderDxfId="43" tableBorderDxfId="42">
  <autoFilter ref="A3:T241" xr:uid="{477072F1-FAC6-4227-8B5D-F4E83CC3CAC0}"/>
  <tableColumns count="20">
    <tableColumn id="1" xr3:uid="{30C1433D-FB33-4915-93A0-D95AFC922A98}" name="Component"/>
    <tableColumn id="2" xr3:uid="{98A1D6B6-A05C-48A5-BFA3-E624FEF2791C}" name="Brand"/>
    <tableColumn id="3" xr3:uid="{8014921B-D9BC-41D9-AEB3-31FD3FB76DB1}" name="Model"/>
    <tableColumn id="4" xr3:uid="{3DE3B9F2-73A2-4D13-B0C3-6CCCEEBF2156}" name="Type"/>
    <tableColumn id="6" xr3:uid="{EAA189CD-2895-4BD8-AE58-D702C1FF11EE}" name="Compatible Pipe Material"/>
    <tableColumn id="5" xr3:uid="{AF14DA05-D72E-4743-8CFD-CCB590E39F5D}" name="Material"/>
    <tableColumn id="19" xr3:uid="{1C99B6BB-7611-4597-9751-61E4AE2A93A1}" name="Linear Feet" dataDxfId="41">
      <calculatedColumnFormula>_xlfn.XLOOKUP(Table2727[[#This Row],[Model]],$AI$13:$AI$228,$AH$13:$AH$228,"UNKNOWN")</calculatedColumnFormula>
    </tableColumn>
    <tableColumn id="7" xr3:uid="{73BB7A79-7493-4A04-8C22-A3CFF4971A97}" name="Wall Thickness (in)"/>
    <tableColumn id="8" xr3:uid="{0EF3E9B6-2BC3-4139-83F8-16B254E72D1E}" name="Iron Pipe Size (in.)"/>
    <tableColumn id="9" xr3:uid="{AE3A8525-4F7F-4736-9E1D-EC4A0DD8D563}" name="R-value"/>
    <tableColumn id="20" xr3:uid="{5DE90C26-7FFF-4EE4-9C17-D462865B2961}" name="Listed Material Price" dataDxfId="40"/>
    <tableColumn id="10" xr3:uid="{0106F51B-7E63-4229-9474-749C9E639851}" name="Materials ($/LF)" dataDxfId="39">
      <calculatedColumnFormula>Table2727[[#This Row],[Listed Material Price]]/Table2727[[#This Row],[Linear Feet]]</calculatedColumnFormula>
    </tableColumn>
    <tableColumn id="11" xr3:uid="{5FA7058A-BEBC-46A5-AA40-A54CCB42824D}" name=" Install Labor Hours"/>
    <tableColumn id="12" xr3:uid="{EE553631-83C8-41DC-8856-4C920D05DBAE}" name="Labor ($)"/>
    <tableColumn id="13" xr3:uid="{E6812787-3442-4B5F-B5B6-3E3C58E7C7EA}" name="Total O&amp;P"/>
    <tableColumn id="14" xr3:uid="{8EA49E1E-95A3-4A76-B174-B623BCD60F3B}" name="Removal Labor Hours" dataDxfId="38">
      <calculatedColumnFormula>Table2727[[#This Row],[Materials ($/LF)]]/Table2727[[#This Row],[Linear Feet]]</calculatedColumnFormula>
    </tableColumn>
    <tableColumn id="15" xr3:uid="{0EBFE739-A45E-469C-94EE-536DA4A310B8}" name="Removal Labor ($/pipe)"/>
    <tableColumn id="16" xr3:uid="{A0BC966D-839B-4101-9129-6CD950F429F8}" name="Source"/>
    <tableColumn id="17" xr3:uid="{4500E26E-C975-4C05-B6BB-9DA37C253C5F}" name="Source Link"/>
    <tableColumn id="18" xr3:uid="{54C884EE-58B3-4E80-9CA3-1BBAE8B4304E}" name="Regression"/>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E02F9F7-CB0F-4037-8E76-71E799B4C78D}" name="Table15" displayName="Table15" ref="E6:Q132" totalsRowShown="0">
  <autoFilter ref="E6:Q132" xr:uid="{DC2C496F-BA95-490D-93C3-F786BA118770}"/>
  <tableColumns count="13">
    <tableColumn id="1" xr3:uid="{4244018B-3B1A-4DC9-B43C-124FA41AA73C}" name="Description"/>
    <tableColumn id="2" xr3:uid="{DCE2AB4C-4393-436D-A68B-0D1F78F259E8}" name="Quantity"/>
    <tableColumn id="3" xr3:uid="{250EC2E2-4022-4A68-A0BC-1F29B582AD1C}" name="Unit"/>
    <tableColumn id="4" xr3:uid="{4FE7FC0C-664B-4703-9679-EC1D85697E2F}" name="Crew"/>
    <tableColumn id="5" xr3:uid="{B3ADEE25-24D1-4809-8236-29A62CF30141}" name="Material" dataDxfId="37"/>
    <tableColumn id="6" xr3:uid="{879DA6F4-3D93-4CF9-BF80-E957537CBC69}" name="Labor" dataDxfId="36"/>
    <tableColumn id="7" xr3:uid="{874E5BA6-E71B-45F1-A9A7-960C9B4738C4}" name="Equipment" dataDxfId="35"/>
    <tableColumn id="8" xr3:uid="{8A89B9E7-F3F1-4A5E-B074-2C0B97DC1118}" name="Total" dataDxfId="34">
      <calculatedColumnFormula>SUM(I7,J7,K7)</calculatedColumnFormula>
    </tableColumn>
    <tableColumn id="9" xr3:uid="{6DFC658B-802C-49C0-8EA1-40648B8441F7}" name="Material O&amp;P" dataDxfId="33"/>
    <tableColumn id="10" xr3:uid="{DFDBF0B1-C7D4-4416-9959-FEFD5AC89405}" name="Labor O&amp;P" dataDxfId="32"/>
    <tableColumn id="11" xr3:uid="{4B02F31E-EDF4-4029-94B3-5C3878F4FF52}" name="Equipment O&amp;P"/>
    <tableColumn id="12" xr3:uid="{187A3894-6156-48A0-8274-4D32C963A996}" name="Total O&amp;P" dataDxfId="31">
      <calculatedColumnFormula>SUM(M7,N7,O7)</calculatedColumnFormula>
    </tableColumn>
    <tableColumn id="13" xr3:uid="{F892B9EB-BD63-487B-B3A2-6C85EAB330B1}" name="Labor Hours" dataDxfId="30"/>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DCE9B28-9876-4B7A-8C27-A76DB1CBC697}" name="Table3" displayName="Table3" ref="C8:O15" totalsRowShown="0" headerRowDxfId="29" headerRowBorderDxfId="28" tableBorderDxfId="27">
  <autoFilter ref="C8:O15" xr:uid="{0649ACEA-442C-4571-8882-F65AE0853A48}"/>
  <tableColumns count="13">
    <tableColumn id="1" xr3:uid="{D9BB36DB-A283-4675-81FF-84DCC58CA40A}" name="Description"/>
    <tableColumn id="2" xr3:uid="{A9FA580F-0F19-4923-8AA5-7CD29183F4BC}" name="Quantity"/>
    <tableColumn id="3" xr3:uid="{BE7904B6-6A03-4919-95AC-25EFE4744C04}" name="Unit"/>
    <tableColumn id="4" xr3:uid="{8DDFE3A3-1249-4295-88DC-9AA46B4CEEB0}" name="Crew"/>
    <tableColumn id="5" xr3:uid="{4D602686-30B6-4C12-B8A4-32F93533274D}" name="Material" dataDxfId="26"/>
    <tableColumn id="6" xr3:uid="{CCD38D2F-1F55-48A2-9D5D-204BC7CBB389}" name="Labor" dataDxfId="25"/>
    <tableColumn id="7" xr3:uid="{A6A4BC14-A6BC-4C97-B1DE-BB2B10C9F1D2}" name="Equipment"/>
    <tableColumn id="8" xr3:uid="{21615BF9-AA51-4AF4-A8DB-9EC992482339}" name="Total" dataDxfId="24">
      <calculatedColumnFormula>SUM(G9,H9)</calculatedColumnFormula>
    </tableColumn>
    <tableColumn id="9" xr3:uid="{8EB02B36-818A-4050-8BC1-9F933F71299C}" name="Material O&amp;P" dataDxfId="23"/>
    <tableColumn id="10" xr3:uid="{FB2EE296-E1A2-441C-A4C6-64C4698ABCB8}" name="Labor O&amp;P" dataDxfId="22"/>
    <tableColumn id="11" xr3:uid="{59B6DD6E-DDCB-40A3-9076-E0AD392026E7}" name="Equipment O&amp;P"/>
    <tableColumn id="12" xr3:uid="{3286A6F9-FC8B-40F3-BC3D-2D628709D674}" name="Total O&amp;P" dataDxfId="21">
      <calculatedColumnFormula>SUM(K9,L9)</calculatedColumnFormula>
    </tableColumn>
    <tableColumn id="13" xr3:uid="{17587346-0866-4021-8A6B-9AF1E3BABD73}" name="Labor Hours" dataDxfId="20"/>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80536F3-B16F-4F45-9709-71CACEA9DB2D}" name="Table4" displayName="Table4" ref="D13:P39" totalsRowShown="0" headerRowDxfId="19" headerRowBorderDxfId="18" tableBorderDxfId="17">
  <autoFilter ref="D13:P39" xr:uid="{04938D85-9CE5-4159-98C2-4BEEE6742E7A}"/>
  <tableColumns count="13">
    <tableColumn id="1" xr3:uid="{32DC7DD2-FBE3-420F-A2E0-8F2C62F6D7E5}" name="Description"/>
    <tableColumn id="2" xr3:uid="{437F1BAE-D226-42FA-83ED-9DB12985F2B4}" name="Quantity"/>
    <tableColumn id="3" xr3:uid="{4B5F267F-398F-4420-876B-6392D6CA38A5}" name="Unit"/>
    <tableColumn id="4" xr3:uid="{3698659A-F962-4775-9673-2E58F3E867CC}" name="Crew"/>
    <tableColumn id="5" xr3:uid="{AFFFAE1A-6824-43A8-AB45-EDA09F550D55}" name="Material" dataDxfId="16"/>
    <tableColumn id="6" xr3:uid="{3EA09264-F68D-4C5C-8AA6-70EA995E5BE4}" name="Labor" dataDxfId="15"/>
    <tableColumn id="7" xr3:uid="{E37A7C02-7669-429F-8068-2450A2955582}" name="Equipment"/>
    <tableColumn id="8" xr3:uid="{3F868AEA-CB25-44AD-8652-DD1800A46C6E}" name="Total" dataDxfId="14">
      <calculatedColumnFormula>SUM(H14,I14,J14)</calculatedColumnFormula>
    </tableColumn>
    <tableColumn id="9" xr3:uid="{629C621C-5E4F-4B81-9E6F-9347004D9514}" name="Material O&amp;P" dataDxfId="13"/>
    <tableColumn id="10" xr3:uid="{88C68760-E90C-4491-AC51-8ECC455FF77A}" name="Labor O&amp;P" dataDxfId="12"/>
    <tableColumn id="11" xr3:uid="{B3255A58-FA7A-40DF-8354-A23DBFA863ED}" name="Equipment O&amp;P"/>
    <tableColumn id="12" xr3:uid="{AC126931-C064-46D6-9C89-A86460C10E0E}" name="Total O&amp;P" dataDxfId="11">
      <calculatedColumnFormula>SUM(L14,M14,N14)</calculatedColumnFormula>
    </tableColumn>
    <tableColumn id="13" xr3:uid="{41E1D67C-8EF5-49EC-BCF1-DB66BAD694EE}" name="Labor Hours" dataDxfId="10"/>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71B2366-E761-40C9-A439-C39FB1FCB920}" name="Table2" displayName="Table2" ref="D6:P92" totalsRowShown="0" headerRowDxfId="9" headerRowBorderDxfId="8" tableBorderDxfId="7">
  <autoFilter ref="D6:P92" xr:uid="{593BB8FD-2C28-49A9-A680-E2A86F2194C1}"/>
  <tableColumns count="13">
    <tableColumn id="1" xr3:uid="{B54BC75B-F2EE-4473-9C66-C58D0083E21F}" name="Description"/>
    <tableColumn id="2" xr3:uid="{0E95D3BA-7BF8-45F6-9086-86AEADCF7B24}" name="Quantity"/>
    <tableColumn id="3" xr3:uid="{5862B24D-9345-4ABD-8860-6E7D09FA1539}" name="Unit"/>
    <tableColumn id="4" xr3:uid="{F483261E-819A-4B9A-A3AF-925EF40177CC}" name="Crew"/>
    <tableColumn id="5" xr3:uid="{14F9850F-CF8C-4749-8B8E-5F306F0C7A9A}" name="Material" dataDxfId="6"/>
    <tableColumn id="6" xr3:uid="{2F16DC4A-E8EF-4991-A2F3-F8EF373D6440}" name="Labor" dataDxfId="5"/>
    <tableColumn id="7" xr3:uid="{4D8CEF48-01F0-4C72-AF67-3CF9D1574C29}" name="Equipment"/>
    <tableColumn id="8" xr3:uid="{504D8938-A424-4597-A47E-C36CFC131358}" name="Total" dataDxfId="4">
      <calculatedColumnFormula>SUM(H7,I7,J7)</calculatedColumnFormula>
    </tableColumn>
    <tableColumn id="9" xr3:uid="{8E83C40A-189C-49F7-87B0-60F3BD8D6E55}" name="Material O&amp;P" dataDxfId="3"/>
    <tableColumn id="10" xr3:uid="{88F97A8C-40B3-42EC-B65A-309698238141}" name="Labor O&amp;P" dataDxfId="2"/>
    <tableColumn id="11" xr3:uid="{BFC7E11E-6DDD-40E5-9072-01E47F1FD40B}" name="Equipment O&amp;P"/>
    <tableColumn id="12" xr3:uid="{840509FE-862D-4C9D-9603-B2DC77CFA2F2}" name="Total O&amp;P" dataDxfId="1">
      <calculatedColumnFormula>SUM(L7,M7,N7)</calculatedColumnFormula>
    </tableColumn>
    <tableColumn id="13" xr3:uid="{6064B4FE-4E8C-42C6-8D7A-6F61F686A9D5}" name="Labor Hours"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F355E406-1A3F-4D8D-A380-DD0C6193853D}" name="Table28" displayName="Table28" ref="A3:AC544" totalsRowShown="0" headerRowDxfId="189" dataDxfId="188" tableBorderDxfId="187">
  <autoFilter ref="A3:AC544" xr:uid="{830E4308-1469-4FF9-A39B-EFF33CA31E5A}"/>
  <tableColumns count="29">
    <tableColumn id="1" xr3:uid="{9A8469EB-D1ED-4200-A55B-A5A5C5F26BCB}" name="2" dataDxfId="186"/>
    <tableColumn id="2" xr3:uid="{842A64A8-A35C-4094-AD18-0B49EA788362}" name="cost_id" dataDxfId="185"/>
    <tableColumn id="26" xr3:uid="{C3F66C63-F955-4673-A28A-D2F37C494636}" name="Component" dataDxfId="184"/>
    <tableColumn id="29" xr3:uid="{0C8EA16B-2A11-48FE-8684-86C8B08F2E27}" name="Class" dataDxfId="183">
      <calculatedColumnFormula>IF(Table28[[#This Row],[% Leakage Reduction (Calculated)]]&gt;0.4, "Greater than 40% Air Reduction", "Less than 40% Air Reduction")</calculatedColumnFormula>
    </tableColumn>
    <tableColumn id="3" xr3:uid="{8E21EF63-B67F-4F90-8C6A-BAD1A87C93A5}" name="section" dataDxfId="182"/>
    <tableColumn id="4" xr3:uid="{77A95C8D-FE08-4CED-9613-3235C00572E9}" name="action" dataDxfId="181"/>
    <tableColumn id="5" xr3:uid="{693D2FE0-57B0-4D25-B196-5CFBE89E11D6}" name="component2" dataDxfId="180"/>
    <tableColumn id="14" xr3:uid="{20DE49CB-09CB-4ED4-ABD6-E134099E058E}" name="building_type" dataDxfId="179"/>
    <tableColumn id="7" xr3:uid="{1540B5D4-C109-4E5F-96AA-3110654A2BEF}" name="performance_1" dataDxfId="178"/>
    <tableColumn id="8" xr3:uid="{3614217B-9617-411B-8E7C-4F35A5DC9B3A}" name="unit_1" dataDxfId="177"/>
    <tableColumn id="9" xr3:uid="{9A202888-DC76-4501-9F00-4516BE264DA9}" name="performance_2" dataDxfId="176"/>
    <tableColumn id="10" xr3:uid="{D5726696-4C81-4923-99AE-CE9037B5D251}" name="unit_2" dataDxfId="175"/>
    <tableColumn id="22" xr3:uid="{B654EC57-9E69-4932-A5EB-AF318AB81593}" name="% Leakage Reduction (Calculated)" dataDxfId="174" dataCellStyle="Percent">
      <calculatedColumnFormula>ABS((I4-K4)/I4)</calculatedColumnFormula>
    </tableColumn>
    <tableColumn id="18" xr3:uid="{5BA5DA4A-7B10-4172-B16B-836FD1B7222D}" name="sq_ft_home" dataDxfId="173" dataCellStyle="Percent"/>
    <tableColumn id="19" xr3:uid="{DB24687F-EBF6-42DC-8948-1DC35C1A6736}" name="stories_post" dataDxfId="172" dataCellStyle="Percent"/>
    <tableColumn id="17" xr3:uid="{EEABD43E-E40A-41B2-BBDF-AEC678D128D7}" name="year_built" dataDxfId="171"/>
    <tableColumn id="30" xr3:uid="{DDFD5D76-A6FF-4589-9F13-89D8CBEE4104}" name="age_home_years" dataDxfId="170">
      <calculatedColumnFormula>2023-Table28[[#This Row],[year_built]]</calculatedColumnFormula>
    </tableColumn>
    <tableColumn id="11" xr3:uid="{5F03553E-6D19-4561-87B3-5C1ED7F8553C}" name="total_cost" dataDxfId="169"/>
    <tableColumn id="12" xr3:uid="{A017C6D1-863B-491E-B2CF-D4A7B3C7609C}" name="city" dataDxfId="168"/>
    <tableColumn id="13" xr3:uid="{5D69A150-C97B-4343-B7C5-53948531A152}" name="state" dataDxfId="167"/>
    <tableColumn id="21" xr3:uid="{96FB52CA-1917-4368-B7B4-D2E30EEC3BBF}" name="start_year" dataDxfId="166"/>
    <tableColumn id="24" xr3:uid="{A45D3BDC-71E4-4681-A022-06CDD4F929D3}" name="$/sqft" dataDxfId="165" dataCellStyle="Currency">
      <calculatedColumnFormula>IFERROR(IF(R4/N4&lt;&gt;0, R4/N4, ""), "")</calculatedColumnFormula>
    </tableColumn>
    <tableColumn id="25" xr3:uid="{5CC92E3A-9194-464C-B006-353CF416AF67}" name="2023$/sqft" dataDxfId="164">
      <calculatedColumnFormula>Table28[[#This Row],[$/sqft]]/INDEX(CPI!$A$3:$C$31,MATCH(Table28[[#This Row],[start_year]],CPI!$A$3:$A$31,0),3)</calculatedColumnFormula>
    </tableColumn>
    <tableColumn id="15" xr3:uid="{8DABA9CE-5387-43DF-9145-CFA90217E7C3}" name="construction_type" dataDxfId="163"/>
    <tableColumn id="16" xr3:uid="{ABE4FA95-325F-49A2-9AA3-4E42158CE067}" name="foundation_type" dataDxfId="162"/>
    <tableColumn id="20" xr3:uid="{0B0A562A-F8FC-4E62-A319-FBE178EBA9DD}" name="retrofit_type_primary" dataDxfId="161"/>
    <tableColumn id="23" xr3:uid="{E1DEB9A3-35D8-4D07-A79F-9925DBA87FE8}" name="EnvelopeLeakagePercentReduction" dataDxfId="160"/>
    <tableColumn id="27" xr3:uid="{24A80B7D-9D63-4A49-A609-AA81DAAD75B7}" name="Outlier" dataDxfId="159"/>
    <tableColumn id="31" xr3:uid="{37617938-DD55-4902-A81E-64A5C3465AF3}" name="Regression" dataDxfId="15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2C7CEDE-2C31-4FED-BFA0-F1983AACB898}" name="Table5" displayName="Table5" ref="A3:T205" totalsRowShown="0" headerRowDxfId="157" headerRowCellStyle="Normal 2" dataCellStyle="Normal 2">
  <autoFilter ref="A3:T205" xr:uid="{52C7CEDE-2C31-4FED-BFA0-F1983AACB898}"/>
  <tableColumns count="20">
    <tableColumn id="1" xr3:uid="{3B0CF2A5-5712-42AC-87AF-F8E86DE3E077}" name="Product Class" dataCellStyle="Normal 2"/>
    <tableColumn id="2" xr3:uid="{04EA2E51-AA96-408B-8D4E-CE863729477C}" name="Space Type" dataCellStyle="Normal 2"/>
    <tableColumn id="3" xr3:uid="{1E9A6F17-C096-491B-8A7A-E1EF384FC675}" name="Material" dataCellStyle="Normal 2"/>
    <tableColumn id="4" xr3:uid="{1AF9F107-3439-4C08-9412-617DD746240A}" name="Face" dataCellStyle="Normal 2"/>
    <tableColumn id="5" xr3:uid="{34D9BFB3-E24A-4EA1-9903-8BEA9CF4058B}" name="Face Detail" dataCellStyle="Normal 2"/>
    <tableColumn id="6" xr3:uid="{74B70190-015A-4C37-8A1C-3462645C47AF}" name="Thickness (in)" dataCellStyle="Normal 2"/>
    <tableColumn id="7" xr3:uid="{495AC184-AF71-418E-AC58-643DA82B785B}" name="R-value" dataCellStyle="Normal 2"/>
    <tableColumn id="8" xr3:uid="{17021582-AD68-406E-84A7-3952E2BB867C}" name="R-Value per Inch" dataCellStyle="Normal 2"/>
    <tableColumn id="9" xr3:uid="{032EDC2C-E000-4FB0-BF8F-3C89CC7107D7}" name="Materials ($/SF)" dataCellStyle="Normal 2"/>
    <tableColumn id="10" xr3:uid="{A3055F8E-EEE6-4693-A052-A1637D10FBE8}" name="Install Labor Hours" dataCellStyle="Normal 2"/>
    <tableColumn id="11" xr3:uid="{EAC728F3-4EC2-4793-B722-B751E0C9B39A}" name="Labor ($/SF)" dataCellStyle="Normal 2"/>
    <tableColumn id="12" xr3:uid="{95887FCB-2ED9-41EF-9C48-E14740D55D38}" name="Total Installed Cost ($/SF)" dataCellStyle="Normal 2"/>
    <tableColumn id="13" xr3:uid="{48C0A662-56C5-4711-8D0D-E40F5F1CF03C}" name="Removal Labor Hours" dataCellStyle="Normal 2"/>
    <tableColumn id="14" xr3:uid="{2614A7C7-B168-4C81-816F-DF2A1A879740}" name="Removal Labor ($/SF)" dataCellStyle="Normal 2"/>
    <tableColumn id="15" xr3:uid="{026CBC4C-BA61-4E48-A2BB-231A9E8E69B2}" name="Lifetime" dataCellStyle="Normal 2"/>
    <tableColumn id="16" xr3:uid="{06D160CA-6416-4AAD-B25C-A0F706C65E08}" name="Year" dataCellStyle="Normal 2"/>
    <tableColumn id="17" xr3:uid="{25C37656-22D5-47FF-A088-B21102342DD1}" name="Notes" dataCellStyle="Normal 2"/>
    <tableColumn id="18" xr3:uid="{B017BFF2-A069-445D-BB98-B487041CC0C9}" name="Source Notes" dataCellStyle="Normal 2"/>
    <tableColumn id="19" xr3:uid="{41990DA7-7600-4439-BD80-C6089E575DFE}" name="Source" dataCellStyle="Normal 2"/>
    <tableColumn id="20" xr3:uid="{36315E59-83F3-42C6-8237-2ADB7EA781D5}" name="Source Link"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21AA41B-4B72-4914-B591-056C2C0BE590}" name="Table7" displayName="Table7" ref="A3:T205" totalsRowShown="0" headerRowDxfId="156" headerRowCellStyle="Normal 2" dataCellStyle="Normal 2">
  <autoFilter ref="A3:T205" xr:uid="{121AA41B-4B72-4914-B591-056C2C0BE590}"/>
  <tableColumns count="20">
    <tableColumn id="1" xr3:uid="{B8619424-43E1-4ABC-818F-4D760C994011}" name="Product Class" dataCellStyle="Normal 2"/>
    <tableColumn id="2" xr3:uid="{B199CE74-6F05-4AE7-A0D1-ECCBEEDF7C43}" name="Space Type" dataCellStyle="Normal 2"/>
    <tableColumn id="3" xr3:uid="{F53D3C9C-490B-4880-8B43-9E1F50AC52C3}" name="Material" dataCellStyle="Normal 2"/>
    <tableColumn id="4" xr3:uid="{957B9679-965A-4C02-9A2D-09714AA6A94F}" name="Face" dataCellStyle="Normal 2"/>
    <tableColumn id="5" xr3:uid="{345CCA4F-FB34-44BF-8DA3-A17AA4DE8A9A}" name="Face Detail" dataCellStyle="Normal 2"/>
    <tableColumn id="6" xr3:uid="{DB70E9E2-D3B3-4836-96E6-4BEEE750A45C}" name="Thickness (in)" dataCellStyle="Normal 2"/>
    <tableColumn id="7" xr3:uid="{20121F6B-8E9D-4171-A07D-C97238BD1A0C}" name="R-value" dataCellStyle="Normal 2"/>
    <tableColumn id="8" xr3:uid="{AC317713-9508-43FD-8250-1D2ECFD25873}" name="R-Value per Inch" dataCellStyle="Normal 2"/>
    <tableColumn id="9" xr3:uid="{47A63ED5-B852-4DF5-B94D-F849683F8593}" name="Materials ($/SF)" dataCellStyle="Normal 2"/>
    <tableColumn id="10" xr3:uid="{9BFE8921-B246-43B6-B38A-663005C7B30D}" name="Install Labor Hours" dataCellStyle="Normal 2"/>
    <tableColumn id="11" xr3:uid="{8921E550-3905-4673-96BE-5ED8F906B17D}" name="Labor ($/SF)" dataCellStyle="Normal 2"/>
    <tableColumn id="12" xr3:uid="{F0AD0FB1-D5C9-492F-916B-F1B1C603D793}" name="Total Installed Cost ($/SF)" dataCellStyle="Normal 2"/>
    <tableColumn id="13" xr3:uid="{8BB1A84F-AF56-46C8-A4B9-64E6701FFA00}" name="Removal Labor Hours" dataCellStyle="Normal 2"/>
    <tableColumn id="14" xr3:uid="{418DE0A4-C3E5-461B-8E3F-0FFC1ACD072C}" name="Removal Labor ($/SF)" dataCellStyle="Normal 2"/>
    <tableColumn id="15" xr3:uid="{2E0797E1-16A2-4A45-9EAE-F53B322CE10C}" name="Lifetime" dataCellStyle="Normal 2"/>
    <tableColumn id="16" xr3:uid="{44FDFFB2-83B5-4D41-94C3-F5BAFFDB8C28}" name="Year" dataCellStyle="Normal 2"/>
    <tableColumn id="17" xr3:uid="{4EAC6C3C-41E4-4722-A3A4-D23C29FD6FBD}" name="Notes" dataCellStyle="Normal 2"/>
    <tableColumn id="18" xr3:uid="{6CE6755A-0DF6-4554-A3C0-2B7A34CE8F07}" name="Source Notes" dataCellStyle="Normal 2"/>
    <tableColumn id="19" xr3:uid="{F83EDDDC-7AD4-4170-B5BD-95CEB8FFCF58}" name="Source" dataCellStyle="Normal 2"/>
    <tableColumn id="20" xr3:uid="{C749405A-8DCB-4BC5-8446-763F1C8D829C}" name="Source Link"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E77ACD9-F8B5-46A1-844F-B9A5F8C726C4}" name="Table11" displayName="Table11" ref="A3:T50" totalsRowShown="0" headerRowDxfId="155" headerRowCellStyle="Normal 2" dataCellStyle="Normal 2">
  <autoFilter ref="A3:T50" xr:uid="{3E77ACD9-F8B5-46A1-844F-B9A5F8C726C4}"/>
  <tableColumns count="20">
    <tableColumn id="1" xr3:uid="{10C345FF-EBAE-4004-9538-225A7E89C216}" name="Product Class" dataCellStyle="Normal 2"/>
    <tableColumn id="2" xr3:uid="{FEF11B38-87C0-438C-9A71-94901109B2BF}" name="Space Type" dataCellStyle="Normal 2"/>
    <tableColumn id="3" xr3:uid="{2272F239-1493-4883-AD3C-8416CFBB503A}" name="Material" dataCellStyle="Normal 2"/>
    <tableColumn id="4" xr3:uid="{D664FB6D-926B-4156-A267-6B5FBDF652E3}" name="Face" dataCellStyle="Normal 2"/>
    <tableColumn id="5" xr3:uid="{9C0D68C5-3EFD-4726-B353-87F536775576}" name="Face Detail" dataCellStyle="Normal 2"/>
    <tableColumn id="6" xr3:uid="{111C07CF-3C52-44B8-994E-E3A991834385}" name="Thickness (in)" dataCellStyle="Normal 2"/>
    <tableColumn id="7" xr3:uid="{BAC7372E-9AA2-492F-AF8E-FA6630BD33A4}" name="R-value" dataCellStyle="Normal 2"/>
    <tableColumn id="8" xr3:uid="{4B2CE6FB-AFBF-40B3-9A90-D249BF8C3B5D}" name="R-Value per Inch" dataCellStyle="Normal 2"/>
    <tableColumn id="9" xr3:uid="{2944D9FA-942A-46BA-8998-DBCA5249FB36}" name="Materials ($/SF)" dataCellStyle="Normal 2"/>
    <tableColumn id="10" xr3:uid="{46615341-59AB-4D87-9BBB-59DBBA13EC05}" name="Install Labor Hours" dataCellStyle="Normal 2"/>
    <tableColumn id="11" xr3:uid="{36A02A13-1E31-4E4A-B312-09F69F90374F}" name="Labor ($/SF)" dataCellStyle="Normal 2"/>
    <tableColumn id="12" xr3:uid="{A7F28C4A-16CC-4E4F-9F34-1C3324F6D861}" name="Total Installed Cost ($/SF)" dataCellStyle="Normal 2"/>
    <tableColumn id="13" xr3:uid="{CAD4C701-EDC3-4142-B0A7-A0727E519FAC}" name="Removal Labor Hours" dataCellStyle="Normal 2"/>
    <tableColumn id="14" xr3:uid="{C9C6BA9F-5713-4E0F-91F1-507233736830}" name="Removal Labor ($/SF)" dataCellStyle="Normal 2"/>
    <tableColumn id="15" xr3:uid="{5F1E2E94-4BAA-4839-9E09-DFA553CB99B5}" name="Lifetime" dataCellStyle="Normal 2"/>
    <tableColumn id="16" xr3:uid="{37881663-EF24-4E6C-9FE4-AF957276D943}" name="Year" dataCellStyle="Normal 2"/>
    <tableColumn id="17" xr3:uid="{FEDA9585-8E05-4DCE-B5D6-E8EB7463C403}" name="Notes" dataCellStyle="Normal 2"/>
    <tableColumn id="18" xr3:uid="{9B9ACF30-601A-4806-92E6-EEA63BCEF007}" name="Source Notes" dataCellStyle="Normal 2"/>
    <tableColumn id="19" xr3:uid="{DEB37B3A-149D-4940-B767-D35117756022}" name="Source" dataCellStyle="Normal 2"/>
    <tableColumn id="20" xr3:uid="{1A000088-49FF-4E8B-90C0-76B7972B5791}" name="Source Link" dataCellStyle="Normal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A13B8DB-9CFA-4FCC-A2E8-05C50BCB7A9B}" name="Table14" displayName="Table14" ref="A3:T196" totalsRowShown="0" headerRowDxfId="154" headerRowCellStyle="Normal 2" dataCellStyle="Normal 2">
  <autoFilter ref="A3:T196" xr:uid="{5A13B8DB-9CFA-4FCC-A2E8-05C50BCB7A9B}"/>
  <tableColumns count="20">
    <tableColumn id="1" xr3:uid="{C2910878-CDC7-4FDA-AA8D-0D0DE0248ABD}" name="Product Class" dataCellStyle="Normal 2"/>
    <tableColumn id="2" xr3:uid="{6B89BD7D-A92E-4455-BBD4-8779A905F7BF}" name="Space Type" dataCellStyle="Normal 2"/>
    <tableColumn id="3" xr3:uid="{A3C338A9-7FC5-4764-B0B8-88ADBCF0635F}" name="Material" dataCellStyle="Normal 2"/>
    <tableColumn id="4" xr3:uid="{2EEF966B-833B-44A3-8A25-0F36548A46DF}" name="Face" dataCellStyle="Normal 2"/>
    <tableColumn id="5" xr3:uid="{F9D443BC-E4D0-4B5E-949B-88AD24A07788}" name="Face Detail" dataCellStyle="Normal 2"/>
    <tableColumn id="6" xr3:uid="{E82CD8D4-99C9-4323-8F3D-1BB1893CDE5B}" name="Thickness (in)" dataCellStyle="Normal 2"/>
    <tableColumn id="7" xr3:uid="{820F1E92-3E10-474B-BED0-3B533093284C}" name="R-value" dataCellStyle="Normal 2"/>
    <tableColumn id="8" xr3:uid="{5CA25924-4FFD-431A-AFF6-0CA54D4111D2}" name="R-Value per Inch" dataCellStyle="Normal 2"/>
    <tableColumn id="9" xr3:uid="{C63340C2-835D-4AC9-BA08-4D5F8C51E0E5}" name="Materials ($/SF)" dataCellStyle="Normal 2"/>
    <tableColumn id="10" xr3:uid="{B59D04D6-5217-4864-A12A-7BB9182A45A9}" name="Install Labor Hours" dataCellStyle="Normal 2"/>
    <tableColumn id="11" xr3:uid="{F5219638-428A-40C3-BE61-6F54FA84DA7A}" name="Labor ($/SF)" dataCellStyle="Normal 2"/>
    <tableColumn id="12" xr3:uid="{2A2C78F5-82EA-421A-B57C-0887FD020403}" name="Total Installed Cost ($/SF)" dataCellStyle="Normal 2"/>
    <tableColumn id="13" xr3:uid="{8B07C2D1-E835-43DB-AEE3-CF760CBFA2C2}" name="Removal Labor Hours" dataCellStyle="Normal 2"/>
    <tableColumn id="14" xr3:uid="{37287F25-31BA-48E4-BFF6-01B2A4B44926}" name="Removal Labor ($/SF)" dataCellStyle="Normal 2"/>
    <tableColumn id="15" xr3:uid="{502C0A5C-6E6D-4E97-9E7D-7D102400A0C1}" name="Lifetime" dataCellStyle="Normal 2"/>
    <tableColumn id="16" xr3:uid="{F0EC3E05-8272-48C2-BF6A-792F80BF2F27}" name="Year" dataCellStyle="Normal 2"/>
    <tableColumn id="17" xr3:uid="{57001080-428F-4A66-9477-287FE5C5E380}" name="Notes" dataCellStyle="Normal 2"/>
    <tableColumn id="18" xr3:uid="{91BE5203-EE9E-4BE0-A68E-03558AB8AFAC}" name="Source Notes" dataCellStyle="Normal 2"/>
    <tableColumn id="19" xr3:uid="{21060A88-D405-4D35-9E70-9DB928659ED3}" name="Source" dataCellStyle="Normal 2"/>
    <tableColumn id="20" xr3:uid="{6DBFEB94-7A85-49BC-B174-1411AA993054}" name="Source Link"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8490E11-CD3A-4EE7-BCE5-A9B9BB618D15}" name="Table19" displayName="Table19" ref="A3:T226" totalsRowShown="0" headerRowDxfId="153" headerRowCellStyle="Normal 2" dataCellStyle="Normal 2">
  <autoFilter ref="A3:T226" xr:uid="{98490E11-CD3A-4EE7-BCE5-A9B9BB618D15}"/>
  <tableColumns count="20">
    <tableColumn id="1" xr3:uid="{7C7D445F-F682-4BAC-87BA-73FC3C0F253F}" name="Product Class" dataCellStyle="Normal 2"/>
    <tableColumn id="2" xr3:uid="{C810ED36-FE5C-4470-A39C-C0EE9217B2D9}" name="Space Type" dataCellStyle="Normal 2"/>
    <tableColumn id="3" xr3:uid="{DE34DD75-8C46-4BDA-8008-CFD7866423C2}" name="Material" dataCellStyle="Normal 2"/>
    <tableColumn id="4" xr3:uid="{8F3C696B-591D-4832-ADB9-FC3289A7F8FB}" name="Face" dataCellStyle="Normal 2"/>
    <tableColumn id="5" xr3:uid="{8A7A9A0E-BB70-4A2C-8D8A-6DDEA1EFBA09}" name="Face Detail" dataCellStyle="Normal 2"/>
    <tableColumn id="6" xr3:uid="{506C8D18-3A27-4CD6-8337-8C5F7A0D7600}" name="Thickness (in)" dataCellStyle="Normal 2"/>
    <tableColumn id="7" xr3:uid="{7C21DF94-D0F7-448F-B0EB-41BEAB50B5BD}" name="R-value" dataCellStyle="Normal 2"/>
    <tableColumn id="8" xr3:uid="{0B1A5054-9B25-4E33-BE54-4DCC11175D8A}" name="R-Value per Inch" dataCellStyle="Normal 2"/>
    <tableColumn id="9" xr3:uid="{40C7861A-7D03-4825-9718-48EEE940FB29}" name="Materials ($/SF)" dataCellStyle="Normal 2"/>
    <tableColumn id="10" xr3:uid="{A804D2F0-9152-4467-B57F-88DB6CDCD936}" name="Install Labor Hours" dataCellStyle="Normal 2"/>
    <tableColumn id="11" xr3:uid="{33696C29-95D9-48CE-A09E-311E87ACC069}" name="Labor ($/SF)" dataCellStyle="Normal 2"/>
    <tableColumn id="12" xr3:uid="{50054EEC-E146-4B8F-80FE-DAB4484326F1}" name="Total Installed Cost ($/SF)" dataCellStyle="Normal 2"/>
    <tableColumn id="13" xr3:uid="{53AD73E7-5858-4D05-95B0-1F136BD6587C}" name="Removal Labor Hours" dataCellStyle="Normal 2"/>
    <tableColumn id="14" xr3:uid="{8493B2B7-18C4-4B3B-9A97-59B35E2F0908}" name="Removal Labor ($/SF)" dataCellStyle="Normal 2"/>
    <tableColumn id="15" xr3:uid="{45C1208C-0B17-4B42-BF8F-E6F3503DAB2A}" name="Lifetime" dataCellStyle="Normal 2"/>
    <tableColumn id="16" xr3:uid="{6CA5926B-9034-4616-A0FD-B7AA860CC64F}" name="Year" dataCellStyle="Normal 2"/>
    <tableColumn id="17" xr3:uid="{C8E00268-248F-4F23-8D09-AFFE4F6C9EA8}" name="Notes" dataCellStyle="Normal 2"/>
    <tableColumn id="18" xr3:uid="{374041E6-E5D0-41EC-92AF-7720C778712D}" name="Source Notes" dataCellStyle="Normal 2"/>
    <tableColumn id="19" xr3:uid="{2746BB5B-511C-40F8-AE1A-2B8D51DAA823}" name="Source" dataCellStyle="Normal 2"/>
    <tableColumn id="20" xr3:uid="{B8F682F8-119D-46B5-8DA9-D1D582320BC5}" name="Source Link" dataCellStyle="Normal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1B2C708-A715-4F6E-A589-8C64C2D502E4}" name="Table20" displayName="Table20" ref="A3:T179" totalsRowShown="0" headerRowDxfId="152" headerRowCellStyle="Normal 2" dataCellStyle="Normal 2">
  <autoFilter ref="A3:T179" xr:uid="{21B2C708-A715-4F6E-A589-8C64C2D502E4}"/>
  <tableColumns count="20">
    <tableColumn id="1" xr3:uid="{55725721-D768-48DC-828E-2FA88861A238}" name="Product Class" dataCellStyle="Normal 2"/>
    <tableColumn id="2" xr3:uid="{9A5811B3-DEEB-4EF4-8BFF-E0F0736575E8}" name="Space Type" dataCellStyle="Normal 2"/>
    <tableColumn id="3" xr3:uid="{CD52BF48-71D7-4046-9257-8D2F9E6A7580}" name="Material" dataCellStyle="Normal 2"/>
    <tableColumn id="4" xr3:uid="{2D243326-2EB4-419B-A44F-6C2CEF2AFFD5}" name="Face" dataCellStyle="Normal 2"/>
    <tableColumn id="5" xr3:uid="{89677191-4315-4EA9-B2CC-25FC25B81CBC}" name="Face Detail" dataCellStyle="Normal 2"/>
    <tableColumn id="6" xr3:uid="{40396574-1AB2-471E-A754-B79C4084FBF0}" name="Thickness (in)" dataCellStyle="Normal 2"/>
    <tableColumn id="7" xr3:uid="{B3FC67AE-FD2A-4BC0-BB1F-C78A19A91697}" name="R-value" dataCellStyle="Normal 2"/>
    <tableColumn id="8" xr3:uid="{2E616B0D-E772-4149-A71E-A8B23E0C546B}" name="R-Value per Inch" dataCellStyle="Normal 2"/>
    <tableColumn id="9" xr3:uid="{A9193CCF-9F4B-4A09-93A5-1809D1ED94F5}" name="Materials ($/SF)" dataCellStyle="Normal 2"/>
    <tableColumn id="10" xr3:uid="{2F7F733F-F644-4278-902B-CD8DA38BC3B6}" name="Install Labor Hours" dataCellStyle="Normal 2"/>
    <tableColumn id="11" xr3:uid="{C2F3B2D5-DFB1-4A37-A682-D63848E15D30}" name="Labor ($/SF)" dataCellStyle="Normal 2"/>
    <tableColumn id="12" xr3:uid="{AFBB6C36-7BC3-4E66-B582-28A2C577EFD4}" name="Total Installed Cost ($/SF)" dataCellStyle="Normal 2"/>
    <tableColumn id="13" xr3:uid="{F13853E6-94DD-49DB-A536-9121F9CB0CB2}" name="Removal Labor Hours" dataCellStyle="Normal 2"/>
    <tableColumn id="14" xr3:uid="{1CD93347-4451-4551-93AD-6841D3216E8B}" name="Removal Labor ($/SF)" dataCellStyle="Normal 2"/>
    <tableColumn id="15" xr3:uid="{4C418327-5C31-4FC7-A534-CFC76745DDC9}" name="Lifetime" dataCellStyle="Normal 2"/>
    <tableColumn id="16" xr3:uid="{64850EFA-BEEA-4B79-8EFE-8D71B0408794}" name="Year" dataCellStyle="Normal 2"/>
    <tableColumn id="17" xr3:uid="{15446D7C-9633-4CD6-8E81-AB40793263CF}" name="Notes" dataCellStyle="Normal 2"/>
    <tableColumn id="18" xr3:uid="{9EE53086-6E71-41D2-9538-2ED512B3B17C}" name="Source Notes" dataCellStyle="Normal 2"/>
    <tableColumn id="19" xr3:uid="{3DFAD23E-6E0B-4A63-9853-675229CB5A30}" name="Source" dataCellStyle="Normal 2"/>
    <tableColumn id="20" xr3:uid="{829EE2AB-C2F7-4AA0-9BB1-94E1D06FF8B5}" name="Source Link" dataCellStyle="Normal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3" dT="2023-09-29T19:09:25.35" personId="{1D20171E-3CF7-4221-B471-9596DE876107}" id="{7F2A2AD9-80E2-4E3E-AC38-9B2B2D2BEE69}">
    <text xml:space="preserve">Assumed R-23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13" Type="http://schemas.openxmlformats.org/officeDocument/2006/relationships/hyperlink" Target="https://www.lowes.com/pl/Brick-veneer-siding-Siding-stone-veneer-Building-supplies/4294684428" TargetMode="External"/><Relationship Id="rId18" Type="http://schemas.openxmlformats.org/officeDocument/2006/relationships/hyperlink" Target="https://www.homedepot.com/p/GenStone-Chicago-Brick-22-5-in-x-11-75-in-Brick-Veneer-Siding-Half-Panel-EACBQP/309651479" TargetMode="External"/><Relationship Id="rId26" Type="http://schemas.openxmlformats.org/officeDocument/2006/relationships/hyperlink" Target="https://www.homedepot.com/p/LaHabra-9-lb-Exterior-Stucco-Color-Patch-50-Crystal-White-3324-00050/205128702" TargetMode="External"/><Relationship Id="rId3" Type="http://schemas.openxmlformats.org/officeDocument/2006/relationships/hyperlink" Target="https://www.homedepot.com/p/Koni-Brick-Old-Chicago-Cafe-8-20-in-x-2-50-in-Thin-Brick-10-76-sq-ft-Flats-Manufactured-Stone-Siding-KBFT-449CAFE/311860325" TargetMode="External"/><Relationship Id="rId21" Type="http://schemas.openxmlformats.org/officeDocument/2006/relationships/hyperlink" Target="https://www.menards.com/main/building-materials/siding/stone-veneer-panels-siding/nichiha-vintagebrick-trade-siding-wall-panel-9-sq-ft/ed451/p-1444449349711-c-19691.htm" TargetMode="External"/><Relationship Id="rId7" Type="http://schemas.openxmlformats.org/officeDocument/2006/relationships/hyperlink" Target="https://www.lowes.com/pd/Old-Mill-Thin-Brick-Systems-Colonial-2-25-in-x-7-625-in-Castle-Gate-Brick-Veneer-Individual-Piece-7-3-Sq-ft/5013975937" TargetMode="External"/><Relationship Id="rId12" Type="http://schemas.openxmlformats.org/officeDocument/2006/relationships/hyperlink" Target="https://www.lowes.com/pd/Z-Brick-Americana-Liberty-Gray-2-3-in-x-8-in-Individual-Piece-Brick-Veneer/50065361" TargetMode="External"/><Relationship Id="rId17" Type="http://schemas.openxmlformats.org/officeDocument/2006/relationships/hyperlink" Target="https://www.homedepot.com/p/GenStone-Chicago-Brick-22-5-in-x-22-5-in-Brick-Veneer-Siding-Full-Panel-EACBHP/309651477" TargetMode="External"/><Relationship Id="rId25" Type="http://schemas.openxmlformats.org/officeDocument/2006/relationships/hyperlink" Target="https://www.homedepot.com/p/LaHabra-Perma-Flex-65-lb-Fine-Stucco-Grade-Acrylic-Finish-1196/203009615" TargetMode="External"/><Relationship Id="rId33" Type="http://schemas.openxmlformats.org/officeDocument/2006/relationships/comments" Target="../comments2.xml"/><Relationship Id="rId2" Type="http://schemas.openxmlformats.org/officeDocument/2006/relationships/hyperlink" Target="https://www.homedepot.com/p/Koni-Brick-Old-Chicago-Blanc-8-20-in-x-2-50-in-Thin-Brick-10-76-sq-ft-Flats-Manufactured-Stone-Siding-KBFT-214BLC/207188986" TargetMode="External"/><Relationship Id="rId16" Type="http://schemas.openxmlformats.org/officeDocument/2006/relationships/hyperlink" Target="https://www.homedepot.com/p/GenStone-Classic-Brick-22-1-2-in-x-22-1-4-in-Veneer-Siding-Full-Panel-EACHP/309750243" TargetMode="External"/><Relationship Id="rId20" Type="http://schemas.openxmlformats.org/officeDocument/2006/relationships/hyperlink" Target="https://www.menards.com/main/building-materials/siding/stone-veneer-panels-siding/flexebrick-flat-brick-veneer-11-sq-ft/n-48-sw-nf/p-4364363666235024-c-19691.htm?tid=a892ef63-bcd4-43fb-b558-e9228fd511da&amp;ipos=3&amp;exp=false" TargetMode="External"/><Relationship Id="rId29" Type="http://schemas.openxmlformats.org/officeDocument/2006/relationships/hyperlink" Target="https://www.homedepot.com/p/LaHabra-9-lbs-Exterior-Stucco-Color-Patch-24-Santa-Fe-3324-00024/205128668" TargetMode="External"/><Relationship Id="rId1" Type="http://schemas.openxmlformats.org/officeDocument/2006/relationships/hyperlink" Target="https://www.homedepot.com/p/Amerimax-Home-Products-24-in-x-50-ft-ALC-Musket-Brown-over-White-Aluminum-Trim-Coil-6912459/205664368" TargetMode="External"/><Relationship Id="rId6" Type="http://schemas.openxmlformats.org/officeDocument/2006/relationships/hyperlink" Target="https://www.lowes.com/pd/Old-Mill-Thin-Brick-Systems-Colonial-2-25-in-x-7-625-in-Boston-Mill-Brick-Veneer-Individual-Piece-7-3-Sq-ft/5013975961" TargetMode="External"/><Relationship Id="rId11" Type="http://schemas.openxmlformats.org/officeDocument/2006/relationships/hyperlink" Target="https://www.lowes.com/pd/Old-Mill-Thin-Brick-Systems-Brickweb-Columbia-Street-10-5-in-x-28-in-Panel-Brick-Veneer/3736445" TargetMode="External"/><Relationship Id="rId24" Type="http://schemas.openxmlformats.org/officeDocument/2006/relationships/hyperlink" Target="https://www.homedepot.com/p/LaHabra-Allegro-II-12-lb-Stucco-Base-1020/204114439" TargetMode="External"/><Relationship Id="rId32" Type="http://schemas.openxmlformats.org/officeDocument/2006/relationships/table" Target="../tables/table18.xml"/><Relationship Id="rId5" Type="http://schemas.openxmlformats.org/officeDocument/2006/relationships/hyperlink" Target="https://www.homedepot.com/p/Urestone-Old-Town-24-in-x-46-3-8-in-Faux-Used-Brick-Panel-4-Pack-ul2600pk-70/206677842" TargetMode="External"/><Relationship Id="rId15" Type="http://schemas.openxmlformats.org/officeDocument/2006/relationships/hyperlink" Target="https://www.lowes.com/pl/Brick-veneer-siding-Siding-stone-veneer-Building-supplies/4294684428?offset=24" TargetMode="External"/><Relationship Id="rId23" Type="http://schemas.openxmlformats.org/officeDocument/2006/relationships/hyperlink" Target="https://www.homedepot.com/p/Rapid-Set-25-lbs-Stucco-Patch-71020025/203110401" TargetMode="External"/><Relationship Id="rId28" Type="http://schemas.openxmlformats.org/officeDocument/2006/relationships/hyperlink" Target="https://www.homedepot.com/p/LaHabra-9-lb-Exterior-Stucco-Color-Patch-97-Pacific-Sand-3324-00097/205128835" TargetMode="External"/><Relationship Id="rId10" Type="http://schemas.openxmlformats.org/officeDocument/2006/relationships/hyperlink" Target="https://www.lowes.com/pd/Old-Mill-Thin-Brick-Systems-Colonial-2-25-in-x-7-625-in-Rushmore-Brick-Veneer-Individual-Piece-7-3-Sq-ft/5013975919" TargetMode="External"/><Relationship Id="rId19" Type="http://schemas.openxmlformats.org/officeDocument/2006/relationships/hyperlink" Target="https://www.menards.com/main/building-materials/siding/stone-veneer-panels-siding/z-brick-reg-brick-veneer-3-5-sq-ft/5411050/p-1444448134395-c-19691.htm?tid=b92bc3aa-254e-42cc-9024-365bde9709c8&amp;ipos=1&amp;exp=false" TargetMode="External"/><Relationship Id="rId31" Type="http://schemas.openxmlformats.org/officeDocument/2006/relationships/vmlDrawing" Target="../drawings/vmlDrawing2.vml"/><Relationship Id="rId4" Type="http://schemas.openxmlformats.org/officeDocument/2006/relationships/hyperlink" Target="https://www.homedepot.com/b/Building-Materials-Siding-Brick-Veneer-Siding/N-5yc1vZ2fkpaoy" TargetMode="External"/><Relationship Id="rId9" Type="http://schemas.openxmlformats.org/officeDocument/2006/relationships/hyperlink" Target="https://www.lowes.com/pd/Old-Mill-Thin-Brick-Systems-Brickweb-Rushmore-10-5-in-x-28-in-Panel-Brick-Veneer/3736471" TargetMode="External"/><Relationship Id="rId14" Type="http://schemas.openxmlformats.org/officeDocument/2006/relationships/hyperlink" Target="https://www.lowes.com/pd/Z-Brick-INCA-Old-Chicago-2-3-in-x-8-in-Individual-Piece-Brick-Veneer/50065355" TargetMode="External"/><Relationship Id="rId22" Type="http://schemas.openxmlformats.org/officeDocument/2006/relationships/hyperlink" Target="https://www.menards.com/main/building-materials/siding/stone-veneer-panels-siding/z-brick-reg-brick-veneer-3-5-sq-ft/5411105/p-1444448133525-c-19691.htm" TargetMode="External"/><Relationship Id="rId27" Type="http://schemas.openxmlformats.org/officeDocument/2006/relationships/hyperlink" Target="https://www.homedepot.com/p/LaHabra-9-lb-Exterior-Stucco-Color-Patch-97-Pacific-Sand-3324-00097/205128835" TargetMode="External"/><Relationship Id="rId30" Type="http://schemas.openxmlformats.org/officeDocument/2006/relationships/hyperlink" Target="https://www.homedepot.com/p/LaHabra-9-lb-Exterior-Stucco-Color-Patch-504-Blue-Grey-3324-00504/205128910" TargetMode="External"/><Relationship Id="rId8" Type="http://schemas.openxmlformats.org/officeDocument/2006/relationships/hyperlink" Target="https://www.lowes.com/pd/Old-Mill-Thin-Brick-Systems-Brickweb-Boston-Mill-10-5-in-x-28-in-Panel-Brick-Veneer/3736449"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8.xml.rels><?xml version="1.0" encoding="UTF-8" standalone="yes"?>
<Relationships xmlns="http://schemas.openxmlformats.org/package/2006/relationships"><Relationship Id="rId13" Type="http://schemas.openxmlformats.org/officeDocument/2006/relationships/hyperlink" Target="https://www.lowes.com/pd/BuildBlock-8-Insulating-Concrete-Form-Straight/3228030" TargetMode="External"/><Relationship Id="rId18" Type="http://schemas.openxmlformats.org/officeDocument/2006/relationships/hyperlink" Target="https://icfsupplyco.com/" TargetMode="External"/><Relationship Id="rId26" Type="http://schemas.openxmlformats.org/officeDocument/2006/relationships/hyperlink" Target="https://www.menards.com/main/building-materials/concrete-cement-masonry/concrete-forms/liteform-reg-8-straight-block-insulated-concrete-form/lf08/p-7919224473478597-c-5653.htm" TargetMode="External"/><Relationship Id="rId3" Type="http://schemas.openxmlformats.org/officeDocument/2006/relationships/hyperlink" Target="https://www.cabletiesandmore.com/foxblocks-icf-blocks-concrete-forms?pid=21475" TargetMode="External"/><Relationship Id="rId21" Type="http://schemas.openxmlformats.org/officeDocument/2006/relationships/hyperlink" Target="https://icfsupplyco.com/" TargetMode="External"/><Relationship Id="rId34" Type="http://schemas.microsoft.com/office/2017/10/relationships/threadedComment" Target="../threadedComments/threadedComment1.xml"/><Relationship Id="rId7" Type="http://schemas.openxmlformats.org/officeDocument/2006/relationships/hyperlink" Target="https://icfsupplyco.com/" TargetMode="External"/><Relationship Id="rId12" Type="http://schemas.openxmlformats.org/officeDocument/2006/relationships/hyperlink" Target="https://www.menards.com/main/building-materials/concrete-cement-masonry/concrete-forms/liteform-reg-8-straight-block-insulated-concrete-form/lf08/p-7919224473478597-c-5653.htm" TargetMode="External"/><Relationship Id="rId17" Type="http://schemas.openxmlformats.org/officeDocument/2006/relationships/hyperlink" Target="https://www.cabletiesandmore.com/foxblocks-icf-blocks-concrete-forms?pid=21475" TargetMode="External"/><Relationship Id="rId25" Type="http://schemas.openxmlformats.org/officeDocument/2006/relationships/hyperlink" Target="https://www.cabletiesandmore.com/foxblocks-icf-blocks-concrete-forms?pid=21475" TargetMode="External"/><Relationship Id="rId33" Type="http://schemas.openxmlformats.org/officeDocument/2006/relationships/comments" Target="../comments3.xml"/><Relationship Id="rId2" Type="http://schemas.openxmlformats.org/officeDocument/2006/relationships/hyperlink" Target="https://buildersontario.com/icf-foundation-cost-2" TargetMode="External"/><Relationship Id="rId16" Type="http://schemas.openxmlformats.org/officeDocument/2006/relationships/hyperlink" Target="https://www.menards.com/main/building-materials/concrete-cement-masonry/concrete-forms/liteform-reg-6-straight-block-insulated-concrete-form/lf06/p-4221069730789628-c-5653.htm?tid=c6c47deb-c918-4a64-8eef-b7085e9ed0c4&amp;ipos=2&amp;exp=false" TargetMode="External"/><Relationship Id="rId20" Type="http://schemas.openxmlformats.org/officeDocument/2006/relationships/hyperlink" Target="https://icfsupplyco.com/" TargetMode="External"/><Relationship Id="rId29" Type="http://schemas.openxmlformats.org/officeDocument/2006/relationships/hyperlink" Target="https://www.menards.com/main/building-materials/concrete-cement-masonry/concrete-forms/liteform-reg-6-straight-block-insulated-concrete-form/lf06/p-4221069730789628-c-5653.htm?tid=c6c47deb-c918-4a64-8eef-b7085e9ed0c4&amp;ipos=2&amp;exp=false" TargetMode="External"/><Relationship Id="rId1" Type="http://schemas.openxmlformats.org/officeDocument/2006/relationships/hyperlink" Target="https://www.huduser.gov/publications/pdf/icfbenefit.pdf" TargetMode="External"/><Relationship Id="rId6" Type="http://schemas.openxmlformats.org/officeDocument/2006/relationships/hyperlink" Target="https://icfsupplyco.com/" TargetMode="External"/><Relationship Id="rId11" Type="http://schemas.openxmlformats.org/officeDocument/2006/relationships/hyperlink" Target="https://www.cabletiesandmore.com/foxblocks-icf-blocks-concrete-forms?pid=21475" TargetMode="External"/><Relationship Id="rId24" Type="http://schemas.openxmlformats.org/officeDocument/2006/relationships/hyperlink" Target="https://www.cabletiesandmore.com/foxblocks-icf-blocks-concrete-forms?pid=21475" TargetMode="External"/><Relationship Id="rId32" Type="http://schemas.openxmlformats.org/officeDocument/2006/relationships/vmlDrawing" Target="../drawings/vmlDrawing3.vml"/><Relationship Id="rId5" Type="http://schemas.openxmlformats.org/officeDocument/2006/relationships/hyperlink" Target="https://icfsupplyco.com/" TargetMode="External"/><Relationship Id="rId15" Type="http://schemas.openxmlformats.org/officeDocument/2006/relationships/hyperlink" Target="https://www.menards.com/main/building-materials/concrete-cement-masonry/concrete-forms/liteform-reg-6-straight-block-insulated-concrete-form/lf06/p-4221069730789628-c-5653.htm?tid=c6c47deb-c918-4a64-8eef-b7085e9ed0c4&amp;ipos=2&amp;exp=false" TargetMode="External"/><Relationship Id="rId23" Type="http://schemas.openxmlformats.org/officeDocument/2006/relationships/hyperlink" Target="https://www.cabletiesandmore.com/foxblocks-icf-blocks-concrete-forms?pid=21475" TargetMode="External"/><Relationship Id="rId28" Type="http://schemas.openxmlformats.org/officeDocument/2006/relationships/hyperlink" Target="https://www.homedepot.com/p/SmartBlock-6-in-ICF-End-Pieces-6-lbs-14-5-in-W-x-2-25-ft-L-Insulated-Concrete-Form-for-ICFs-Box-of-30-12VWFE6/203012859" TargetMode="External"/><Relationship Id="rId10" Type="http://schemas.openxmlformats.org/officeDocument/2006/relationships/hyperlink" Target="https://www.cabletiesandmore.com/foxblocks-icf-blocks-concrete-forms?pid=21475" TargetMode="External"/><Relationship Id="rId19" Type="http://schemas.openxmlformats.org/officeDocument/2006/relationships/hyperlink" Target="https://icfsupplyco.com/" TargetMode="External"/><Relationship Id="rId31" Type="http://schemas.openxmlformats.org/officeDocument/2006/relationships/drawing" Target="../drawings/drawing9.xml"/><Relationship Id="rId4" Type="http://schemas.openxmlformats.org/officeDocument/2006/relationships/hyperlink" Target="https://icfsupplyco.com/" TargetMode="External"/><Relationship Id="rId9" Type="http://schemas.openxmlformats.org/officeDocument/2006/relationships/hyperlink" Target="https://www.cabletiesandmore.com/foxblocks-icf-blocks-concrete-forms?pid=21475" TargetMode="External"/><Relationship Id="rId14" Type="http://schemas.openxmlformats.org/officeDocument/2006/relationships/hyperlink" Target="https://www.homedepot.com/p/SmartBlock-6-in-ICF-End-Pieces-6-lbs-14-5-in-W-x-2-25-ft-L-Insulated-Concrete-Form-for-ICFs-Box-of-30-12VWFE6/203012859" TargetMode="External"/><Relationship Id="rId22" Type="http://schemas.openxmlformats.org/officeDocument/2006/relationships/hyperlink" Target="https://www.cabletiesandmore.com/foxblocks-icf-blocks-concrete-forms?pid=21475" TargetMode="External"/><Relationship Id="rId27" Type="http://schemas.openxmlformats.org/officeDocument/2006/relationships/hyperlink" Target="https://www.lowes.com/pd/BuildBlock-8-Insulating-Concrete-Form-Straight/3228030" TargetMode="External"/><Relationship Id="rId30" Type="http://schemas.openxmlformats.org/officeDocument/2006/relationships/printerSettings" Target="../printerSettings/printerSettings7.bin"/><Relationship Id="rId8" Type="http://schemas.openxmlformats.org/officeDocument/2006/relationships/hyperlink" Target="https://www.cabletiesandmore.com/foxblocks-icf-blocks-concrete-forms?pid=21475"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117" Type="http://schemas.openxmlformats.org/officeDocument/2006/relationships/hyperlink" Target="http://www.usafoam.com/closedcellfoam/polystyrene.html" TargetMode="External"/><Relationship Id="rId21" Type="http://schemas.openxmlformats.org/officeDocument/2006/relationships/hyperlink" Target="https://www.menards.com/main/building-materials/insulation/foam-board-insulation/owens-corning-reg-foamular-reg-r-10-polystyrene-foam-board-insulation-2-x-4-x-8/654956/p-1444450504310-c-5779.htm?tid=e7baaec4-a751-4990-b0a3-9c0104f3407f&amp;ipos=1&amp;exp=false" TargetMode="External"/><Relationship Id="rId42" Type="http://schemas.openxmlformats.org/officeDocument/2006/relationships/hyperlink" Target="https://insulation.supply/product/foamular-150-1-5-x-4-ft-x-8-ft-r-7-5-scored-squared-edge-insulation-sheathing/" TargetMode="External"/><Relationship Id="rId63" Type="http://schemas.openxmlformats.org/officeDocument/2006/relationships/hyperlink" Target="https://insulation.supply/product/foamular-404-3-x-2-ft-x-8-ft-r-15-channel-edge-insulation-sheathing/" TargetMode="External"/><Relationship Id="rId84" Type="http://schemas.openxmlformats.org/officeDocument/2006/relationships/hyperlink" Target="https://www.bestmaterials.com/detail.aspx?ID=22924" TargetMode="External"/><Relationship Id="rId138" Type="http://schemas.openxmlformats.org/officeDocument/2006/relationships/hyperlink" Target="http://www.usafoam.com/closedcellfoam/polystyrene.html" TargetMode="External"/><Relationship Id="rId159" Type="http://schemas.openxmlformats.org/officeDocument/2006/relationships/hyperlink" Target="https://www.lowes.com/pd/FROTH-PAK-Low-GWP-650-Spray-Gun-Spray-Foam-Insulation/5001957645" TargetMode="External"/><Relationship Id="rId170" Type="http://schemas.openxmlformats.org/officeDocument/2006/relationships/hyperlink" Target="https://www.amazon.com/sspa/click?ie=UTF8&amp;spc=MTo3NjE2MTE4MTIzMzc3NjIwOjE2OTQ2MjY4MDk6c3BfbXRmOjIwMDAwMjAzMDE0MDE3MTo6MDo6&amp;url=%2FTouch-N-Seal-FK-200-Component-Spray-Included%2Fdp%2FB00415FI3Y%2Fref%3Dsr_1_43_sspa%3Fkeywords%3DClosed%2BCell%2BFoam%2BSpray%26qid%3D1694626809%26sr%3D8-43-spons%26sp_csd%3Dd2lkZ2V0TmFtZT1zcF9tdGY%26psc%3D1" TargetMode="External"/><Relationship Id="rId191" Type="http://schemas.openxmlformats.org/officeDocument/2006/relationships/hyperlink" Target="https://www.lowes.com/pd/Johns-Manville-Common-0-75-in-x-4-ft-x-8-ft-Actual-0-75-in-x-4-ft-x-8-ft-AP-Foil-1-R-5-Faced-Polyisocyanurate-Foam-Board-Insulation/3851105" TargetMode="External"/><Relationship Id="rId205" Type="http://schemas.openxmlformats.org/officeDocument/2006/relationships/hyperlink" Target="https://www.grainger.com/product/ITW-High-Temperature-Insulation-19NE88" TargetMode="External"/><Relationship Id="rId226" Type="http://schemas.openxmlformats.org/officeDocument/2006/relationships/hyperlink" Target="https://www.dunnlumber.com/Store/ProductDetail.aspx?pid=468&amp;pg=1543&amp;pl1=2352&amp;returnUrl=%7e%2fProducts.aspx%3fpl1%3d2352%26pg%3d1543%26sort%3dStockClassSort%26direction%3dasc" TargetMode="External"/><Relationship Id="rId107" Type="http://schemas.openxmlformats.org/officeDocument/2006/relationships/hyperlink" Target="https://www.homedepot.com/p/R-Tech-2-in-x-48-in-x-8-ft-R-7-7-EPS-Rigid-Foam-Board-Insulation-310891/202532856" TargetMode="External"/><Relationship Id="rId11" Type="http://schemas.openxmlformats.org/officeDocument/2006/relationships/hyperlink" Target="https://www.menards.com/main/building-materials/insulation/loose-fill-insulation/insulmax-reg-blow-in-cellulose-insulation/1611640/p-1642874295786737-c-5777.htm?tid=-2855046567077017077&amp;ipos=1" TargetMode="External"/><Relationship Id="rId32" Type="http://schemas.openxmlformats.org/officeDocument/2006/relationships/hyperlink" Target="https://www.menards.com/main/building-materials/insulation/foam-board-insulation/owens-corning-reg-foamular-reg-r-12-5-polystyrene-foam-board-insulation-2-1-2-x-4-x-8/340570/p-1444450496636-c-5779.htm?tid=77ae6c3c-fae5-4d36-b079-ede474c88c54&amp;ipos=12&amp;exp=false" TargetMode="External"/><Relationship Id="rId53" Type="http://schemas.openxmlformats.org/officeDocument/2006/relationships/hyperlink" Target="https://insulation.supply/product/foamular-250-2-x-4-ft-x-8-ft-r-10-scored-squared-edge-insulation-sheathing/" TargetMode="External"/><Relationship Id="rId74" Type="http://schemas.openxmlformats.org/officeDocument/2006/relationships/hyperlink" Target="https://store.hbsnj.com/products/1-1-2x4x8--foamular-scorbrd-r7-5-93.html" TargetMode="External"/><Relationship Id="rId128" Type="http://schemas.openxmlformats.org/officeDocument/2006/relationships/hyperlink" Target="http://www.usafoam.com/closedcellfoam/polystyrene.html" TargetMode="External"/><Relationship Id="rId149" Type="http://schemas.openxmlformats.org/officeDocument/2006/relationships/hyperlink" Target="https://insulation.supply/product/foam-board-insulation-75-in-x-2-ft-x-8-ft-r-2-9-eps-proboard/" TargetMode="External"/><Relationship Id="rId5" Type="http://schemas.openxmlformats.org/officeDocument/2006/relationships/hyperlink" Target="https://www.lowes.com/pd/Owens-Corning-AttiCat-R-19-Blown-In-Insulation-Sound-Barrier/50370322" TargetMode="External"/><Relationship Id="rId95" Type="http://schemas.openxmlformats.org/officeDocument/2006/relationships/hyperlink" Target="https://www.menards.com/main/building-materials/insulation/foam-board-insulation/laminated-expanded-polystyrene-foam-board-insulation-4-x-8/1632120/p-1444435971616-c-5779.htm" TargetMode="External"/><Relationship Id="rId160" Type="http://schemas.openxmlformats.org/officeDocument/2006/relationships/hyperlink" Target="https://www.amazon.com/Froth-Pak-Insulation-Insulates-Penetrations-Polyurethane/dp/B098R9NM5D/ref=sr_1_5?keywords=Closed%2BCell%2BFoam%2BSpray&amp;qid=1694624239&amp;sr=8-5&amp;th=1" TargetMode="External"/><Relationship Id="rId181" Type="http://schemas.openxmlformats.org/officeDocument/2006/relationships/hyperlink" Target="https://www.energyefficientsolutions.com/Roof-Spray-Foam.asp?item=FOAM060" TargetMode="External"/><Relationship Id="rId216" Type="http://schemas.openxmlformats.org/officeDocument/2006/relationships/hyperlink" Target="https://www.grainger.com/product/ITW-High-Temperature-Insulation-19NE95" TargetMode="External"/><Relationship Id="rId237" Type="http://schemas.openxmlformats.org/officeDocument/2006/relationships/hyperlink" Target="https://www.homedepot.com/p/FROTH-PAK-Low-GWP-650-Spray-Foam-Sealant-Insulation-Kit-12031907/323690577" TargetMode="External"/><Relationship Id="rId22" Type="http://schemas.openxmlformats.org/officeDocument/2006/relationships/hyperlink" Target="https://www.menards.com/main/building-materials/insulation/foam-board-insulation/owens-corning-reg-foamular-reg-r-15-polystyrene-foam-board-insulation-3-x-4-x-8/798369/p-1444450494247-c-5779.htm?tid=a16906cc-f881-4fdb-88b6-201bb0030383&amp;ipos=3&amp;exp=false" TargetMode="External"/><Relationship Id="rId43" Type="http://schemas.openxmlformats.org/officeDocument/2006/relationships/hyperlink" Target="https://insulation.supply/product/foamular-400-2-x-4-ft-x-8-ft-r-10-squared-edge-insulation-sheathing/" TargetMode="External"/><Relationship Id="rId64" Type="http://schemas.openxmlformats.org/officeDocument/2006/relationships/hyperlink" Target="https://insulation.supply/product/foamular-250-2-5-x-4-ft-x-8-ft-r-12-5-scored-squared-edge-insulation-sheathing/" TargetMode="External"/><Relationship Id="rId118" Type="http://schemas.openxmlformats.org/officeDocument/2006/relationships/hyperlink" Target="http://www.usafoam.com/closedcellfoam/polystyrene.html" TargetMode="External"/><Relationship Id="rId139" Type="http://schemas.openxmlformats.org/officeDocument/2006/relationships/hyperlink" Target="http://www.usafoam.com/closedcellfoam/polystyrene.html" TargetMode="External"/><Relationship Id="rId85" Type="http://schemas.openxmlformats.org/officeDocument/2006/relationships/hyperlink" Target="https://www.bestmaterials.com/detail.aspx?ID=22926" TargetMode="External"/><Relationship Id="rId150" Type="http://schemas.openxmlformats.org/officeDocument/2006/relationships/hyperlink" Target="https://www.dunnlumber.com/Store/ProductDetail.aspx?pid=258224&amp;pg=1543&amp;pl1=2352&amp;returnUrl=%7e%2fProducts.aspx%3fpl1%3d2352%26pg%3d1543%26sort%3dStockClassSort%26direction%3dasc" TargetMode="External"/><Relationship Id="rId171" Type="http://schemas.openxmlformats.org/officeDocument/2006/relationships/hyperlink" Target="https://www.amazon.com/7565021120-Touch-Seal-Insulation-Pre-Connected/dp/B08XBZ5BKY/ref=sr_1_66?keywords=Closed+Cell+Foam+Spray&amp;qid=1694626805&amp;sr=8-66" TargetMode="External"/><Relationship Id="rId192" Type="http://schemas.openxmlformats.org/officeDocument/2006/relationships/hyperlink" Target="https://www.homedepot.com/p/RMAX-Pro-Select-R-Matte-Plus-3-1-in-x-48-in-x-8-ft-R-6-0-ISO-Rigid-Foam-Board-Insulation-637900/313501508" TargetMode="External"/><Relationship Id="rId206" Type="http://schemas.openxmlformats.org/officeDocument/2006/relationships/hyperlink" Target="https://www.grainger.com/product/ITW-High-Temperature-Insulation-19NE97" TargetMode="External"/><Relationship Id="rId227" Type="http://schemas.openxmlformats.org/officeDocument/2006/relationships/hyperlink" Target="https://www.dunnlumber.com/Store/ProductDetail.aspx?pid=470&amp;pg=1543&amp;pl1=2352&amp;returnUrl=%7e%2fProducts.aspx%3fpl1%3d2352%26pg%3d1543%26sort%3dStockClassSort%26direction%3dasc" TargetMode="External"/><Relationship Id="rId12" Type="http://schemas.openxmlformats.org/officeDocument/2006/relationships/hyperlink" Target="https://www.menards.com/main/building-materials/insulation/loose-fill-insulation/ecofill-reg-wx-fiberglass-blow-in-insulation-106-6-sf-r-19/1616004/p-105478727772-c-5777.htm?tid=-3308181725456180522&amp;ipos=2" TargetMode="External"/><Relationship Id="rId33" Type="http://schemas.openxmlformats.org/officeDocument/2006/relationships/hyperlink" Target="https://www.menards.com/main/building-materials/insulation/foam-board-insulation/owens-corning-reg-foamular-reg-r-10-polystyrene-foam-board-insulation-2-x-4-x-8/654957/p-1444450471143-c-5779.htm?tid=77ae6c3c-fae5-4d36-b079-ede474c88c54&amp;ipos=14&amp;exp=false" TargetMode="External"/><Relationship Id="rId108" Type="http://schemas.openxmlformats.org/officeDocument/2006/relationships/hyperlink" Target="https://www.homedepot.com/p/R-Tech-1-in-x-48-in-x-8-ft-R-3-85-Insulating-Sheathing-320821/202532854" TargetMode="External"/><Relationship Id="rId129" Type="http://schemas.openxmlformats.org/officeDocument/2006/relationships/hyperlink" Target="http://www.usafoam.com/closedcellfoam/polystyrene.html" TargetMode="External"/><Relationship Id="rId54" Type="http://schemas.openxmlformats.org/officeDocument/2006/relationships/hyperlink" Target="https://insulation.supply/product/foamular-600-1-5-x-2-ft-x-8-ft-r-5-squared-edge-insulation-sheathing/" TargetMode="External"/><Relationship Id="rId75" Type="http://schemas.openxmlformats.org/officeDocument/2006/relationships/hyperlink" Target="https://store.hbsnj.com/products/1x2-x8--foamular-t-g--r5---16--92.html" TargetMode="External"/><Relationship Id="rId96" Type="http://schemas.openxmlformats.org/officeDocument/2006/relationships/hyperlink" Target="https://www.menards.com/main/building-materials/insulation/foam-board-insulation/expanded-polystyrene-foam-board-insulation-4-x-8/1632082/p-1444435971777-c-5779.htm?tid=-2514649842940884272&amp;ipos=2" TargetMode="External"/><Relationship Id="rId140" Type="http://schemas.openxmlformats.org/officeDocument/2006/relationships/hyperlink" Target="http://www.usafoam.com/closedcellfoam/polystyrene.html" TargetMode="External"/><Relationship Id="rId161" Type="http://schemas.openxmlformats.org/officeDocument/2006/relationships/hyperlink" Target="https://www.amazon.com/Froth-Pak-Insulation-Insulates-Penetrations-Polyurethane/dp/B097NMX6TC/ref=sr_1_15?keywords=Closed+Cell+Foam+Spray&amp;qid=1694624239&amp;sr=8-15" TargetMode="External"/><Relationship Id="rId182" Type="http://schemas.openxmlformats.org/officeDocument/2006/relationships/hyperlink" Target="https://www.energyefficientsolutions.com/Roof-Spray-Foam.asp?item=FOAM340" TargetMode="External"/><Relationship Id="rId217" Type="http://schemas.openxmlformats.org/officeDocument/2006/relationships/hyperlink" Target="https://www.grainger.com/product/ITW-High-Temperature-Insulation-19NF01" TargetMode="External"/><Relationship Id="rId6" Type="http://schemas.openxmlformats.org/officeDocument/2006/relationships/hyperlink" Target="https://www.lowes.com/collections/Owens-Corning-AttiCat/GR_1942" TargetMode="External"/><Relationship Id="rId238" Type="http://schemas.openxmlformats.org/officeDocument/2006/relationships/vmlDrawing" Target="../drawings/vmlDrawing1.vml"/><Relationship Id="rId23" Type="http://schemas.openxmlformats.org/officeDocument/2006/relationships/hyperlink" Target="https://www.menards.com/main/building-materials/insulation/foam-board-insulation/owens-corning-reg-foamular-reg-r-20-polystyrene-foam-board-insulation-4-x-4-x-8/270879/p-1444450493765-c-5779.htm?tid=7bd87bb9-663f-414b-9e4f-92b1756964b3&amp;ipos=4&amp;exp=false" TargetMode="External"/><Relationship Id="rId119" Type="http://schemas.openxmlformats.org/officeDocument/2006/relationships/hyperlink" Target="http://www.usafoam.com/closedcellfoam/polystyrene.html" TargetMode="External"/><Relationship Id="rId44" Type="http://schemas.openxmlformats.org/officeDocument/2006/relationships/hyperlink" Target="https://insulation.supply/product/foamular-400-3-x-4-ft-x-8-ft-r-15-squared-edge-insulation-sheathing/" TargetMode="External"/><Relationship Id="rId65" Type="http://schemas.openxmlformats.org/officeDocument/2006/relationships/hyperlink" Target="https://insulation.supply/product/foamular-ins-sheath-laminated-0-5-x-4-ft-x-8-ft-r-3-squared-edge-insulation-sheathing/" TargetMode="External"/><Relationship Id="rId86" Type="http://schemas.openxmlformats.org/officeDocument/2006/relationships/hyperlink" Target="https://www.bestmaterials.com/detail.aspx?ID=22927" TargetMode="External"/><Relationship Id="rId130" Type="http://schemas.openxmlformats.org/officeDocument/2006/relationships/hyperlink" Target="http://www.usafoam.com/closedcellfoam/polystyrene.html" TargetMode="External"/><Relationship Id="rId151" Type="http://schemas.openxmlformats.org/officeDocument/2006/relationships/hyperlink" Target="https://www.dunnlumber.com/Store/ProductDetail.aspx?pid=258262&amp;pg=1543&amp;pl1=2352&amp;returnUrl=%7e%2fProducts.aspx%3fpl1%3d2352%26pg%3d1543%26sort%3dStockClassSort%26direction%3dasc" TargetMode="External"/><Relationship Id="rId172" Type="http://schemas.openxmlformats.org/officeDocument/2006/relationships/hyperlink" Target="https://www.walmart.com/ip/Vega-Bond-V200-Closed-Cell-Spray-Foam-Insulation-Kit-2-Part-Foam-Sealant-200BF/847931991?from=/search" TargetMode="External"/><Relationship Id="rId193" Type="http://schemas.openxmlformats.org/officeDocument/2006/relationships/hyperlink" Target="https://insulation4us.com/products/rmax-4ft-x-8ft-polyiso-rigid-foam-insulation-board-thermasheath-3?variant=39436758450225" TargetMode="External"/><Relationship Id="rId207" Type="http://schemas.openxmlformats.org/officeDocument/2006/relationships/hyperlink" Target="https://www.grainger.com/product/ITW-High-Temperature-Insulation-19NE98" TargetMode="External"/><Relationship Id="rId228" Type="http://schemas.openxmlformats.org/officeDocument/2006/relationships/hyperlink" Target="https://store.hbsnj.com/products/4x8x1-polyiso-foil-sheathg-r-6-5-95.html" TargetMode="External"/><Relationship Id="rId13" Type="http://schemas.openxmlformats.org/officeDocument/2006/relationships/hyperlink" Target="https://www.menards.com/main/building-materials/insulation/loose-fill-insulation/guardian-fiberglass-blow-in-insulation-65-3-sf-r-30/510521/p-1444437014319-c-5777.htm?tid=-4867482995818981070&amp;ipos=4" TargetMode="External"/><Relationship Id="rId109" Type="http://schemas.openxmlformats.org/officeDocument/2006/relationships/hyperlink" Target="https://www.homedepot.com/p/SilveRboard-0-625-in-x-48-in-x-24-in-72-sq-ft-R-3-Graphite-Radiant-Barrier-Wall-Insulation-Kit-9-Sheets-Kit-SBGXS062502PKIT/306858613" TargetMode="External"/><Relationship Id="rId34" Type="http://schemas.openxmlformats.org/officeDocument/2006/relationships/hyperlink" Target="https://www.menards.com/main/building-materials/insulation/foam-board-insulation/owens-corning-reg-foamular-reg-r-15-polystyrene-foam-board-insulation-3-x-4-x-8/270840/p-1444450503441-c-5779.htm?tid=bb9acd29-7649-4296-82ac-12991575bf2d&amp;ipos=18&amp;exp=false" TargetMode="External"/><Relationship Id="rId55" Type="http://schemas.openxmlformats.org/officeDocument/2006/relationships/hyperlink" Target="https://insulation.supply/product/foamular-250-3-x-4-ft-x-8-ft-r-15-squared-edge-insulation-sheathing/" TargetMode="External"/><Relationship Id="rId76" Type="http://schemas.openxmlformats.org/officeDocument/2006/relationships/hyperlink" Target="https://store.hbsnj.com/products/2--4x8--foam-scoreboard-r10-100.html" TargetMode="External"/><Relationship Id="rId97" Type="http://schemas.openxmlformats.org/officeDocument/2006/relationships/hyperlink" Target="https://www.menards.com/main/building-materials/insulation/foam-board-insulation/expanded-polystyrene-foam-board-insulation-4-x-8/1632105/p-1444435971090-c-5779.htm" TargetMode="External"/><Relationship Id="rId120" Type="http://schemas.openxmlformats.org/officeDocument/2006/relationships/hyperlink" Target="http://www.usafoam.com/closedcellfoam/polystyrene.html" TargetMode="External"/><Relationship Id="rId141" Type="http://schemas.openxmlformats.org/officeDocument/2006/relationships/hyperlink" Target="http://www.usafoam.com/closedcellfoam/polystyrene.html" TargetMode="External"/><Relationship Id="rId7" Type="http://schemas.openxmlformats.org/officeDocument/2006/relationships/hyperlink" Target="https://www.lowes.com/collections/Johns-Manville-Attic-protector-Collection/GR_4334" TargetMode="External"/><Relationship Id="rId162" Type="http://schemas.openxmlformats.org/officeDocument/2006/relationships/hyperlink" Target="https://www.amazon.com/Vega-Bond-V200-Closed-Spray/dp/B0CDNXP856/ref=sr_1_16?keywords=Closed+Cell+Foam+Spray&amp;qid=1694624239&amp;sr=8-16" TargetMode="External"/><Relationship Id="rId183" Type="http://schemas.openxmlformats.org/officeDocument/2006/relationships/hyperlink" Target="https://allprodepot.com/product/touch-n-seal-120-roof-foam-kit-low-gwp/" TargetMode="External"/><Relationship Id="rId218" Type="http://schemas.openxmlformats.org/officeDocument/2006/relationships/hyperlink" Target="https://www.menards.com/main/building-materials/insulation/foam-board-insulation/johns-manville-foil-faced-polyiso-foam-board-insulation-4-x-8/90034716/p-1444438920894-c-5779.htm?tid=1985683173885688947&amp;ipos=1" TargetMode="External"/><Relationship Id="rId239" Type="http://schemas.openxmlformats.org/officeDocument/2006/relationships/table" Target="../tables/table1.xml"/><Relationship Id="rId24" Type="http://schemas.openxmlformats.org/officeDocument/2006/relationships/hyperlink" Target="https://www.menards.com/main/building-materials/insulation/foam-board-insulation/owens-corning-reg-foamular-reg-r-10-polystyrene-foam-board-insulation-2-x-4-x-8/270144/p-1444450492529-c-5779.htm?tid=9c2372a6-7d1f-48ea-8f10-8a3578586730&amp;ipos=5&amp;exp=false" TargetMode="External"/><Relationship Id="rId45" Type="http://schemas.openxmlformats.org/officeDocument/2006/relationships/hyperlink" Target="https://insulation.supply/product/foamular-400-1-x-2-ft-x-8-ft-r-5-squared-edge-insulation-sheathing/" TargetMode="External"/><Relationship Id="rId66" Type="http://schemas.openxmlformats.org/officeDocument/2006/relationships/hyperlink" Target="https://insulation.supply/product/foamular-half-inch-0-5-x-4-ft-x-8-ft-r-3-squared-edge-insulation-sheathing/" TargetMode="External"/><Relationship Id="rId87" Type="http://schemas.openxmlformats.org/officeDocument/2006/relationships/hyperlink" Target="https://www.bestmaterials.com/detail.aspx?ID=22925" TargetMode="External"/><Relationship Id="rId110" Type="http://schemas.openxmlformats.org/officeDocument/2006/relationships/hyperlink" Target="http://www.usafoam.com/closedcellfoam/polystyrene.html" TargetMode="External"/><Relationship Id="rId131" Type="http://schemas.openxmlformats.org/officeDocument/2006/relationships/hyperlink" Target="http://www.usafoam.com/closedcellfoam/polystyrene.html" TargetMode="External"/><Relationship Id="rId152" Type="http://schemas.openxmlformats.org/officeDocument/2006/relationships/hyperlink" Target="https://www.dunnlumber.com/Store/ProductDetail.aspx?pid=258277&amp;pg=1543&amp;pl1=2352&amp;returnUrl=%7e%2fProducts.aspx%3fpl1%3d2352%26pg%3d1543%26sort%3dStockClassSort%26direction%3dasc%26pageIndex%3d12" TargetMode="External"/><Relationship Id="rId173" Type="http://schemas.openxmlformats.org/officeDocument/2006/relationships/hyperlink" Target="https://www.walmart.com/ip/Vega-Bond-V600-Slow-Rise-Closed-Cell-Spray-Foam-Kit-600-Board-Feet-Coverage/1098506150?from=/search" TargetMode="External"/><Relationship Id="rId194" Type="http://schemas.openxmlformats.org/officeDocument/2006/relationships/hyperlink" Target="https://insulation4us.com/products/rmax-4ft-x-8ft-polyiso-rigid-foam-insulation-board-thermasheath-3?variant=39436758450225" TargetMode="External"/><Relationship Id="rId208" Type="http://schemas.openxmlformats.org/officeDocument/2006/relationships/hyperlink" Target="https://www.grainger.com/product/ITW-High-Temperature-Insulation-19NE99" TargetMode="External"/><Relationship Id="rId229" Type="http://schemas.openxmlformats.org/officeDocument/2006/relationships/hyperlink" Target="https://store.hbsnj.com/products/4x8x1-5-polyiso-foil-shthg-r9-8-97.html" TargetMode="External"/><Relationship Id="rId240" Type="http://schemas.openxmlformats.org/officeDocument/2006/relationships/table" Target="../tables/table2.xml"/><Relationship Id="rId14" Type="http://schemas.openxmlformats.org/officeDocument/2006/relationships/hyperlink" Target="https://www.stinehome.com/building-materials/insulation/cellulose-insulation/procat--fiberglass-blown-insulation---one-bag-covers-128.7-sq-ft.-r19/00275.html" TargetMode="External"/><Relationship Id="rId35" Type="http://schemas.openxmlformats.org/officeDocument/2006/relationships/hyperlink" Target="https://www.menards.com/main/building-materials/insulation/foam-board-insulation/owens-corning-reg-foamular-reg-r-10-polystyrene-foam-board-insulation-2-x-2-x-8/672401/p-1444450494915-c-5779.htm?tid=bb9acd29-7649-4296-82ac-12991575bf2d&amp;ipos=19&amp;exp=false" TargetMode="External"/><Relationship Id="rId56" Type="http://schemas.openxmlformats.org/officeDocument/2006/relationships/hyperlink" Target="https://insulation.supply/product/foamular-250-1-5-x-4-ft-x-8-ft-r-7-5-squared-edge-insulation-sheathing/" TargetMode="External"/><Relationship Id="rId77" Type="http://schemas.openxmlformats.org/officeDocument/2006/relationships/hyperlink" Target="https://store.hbsnj.com/products/2x2-x8--foam-t-g--r10--6--94.html" TargetMode="External"/><Relationship Id="rId100" Type="http://schemas.openxmlformats.org/officeDocument/2006/relationships/hyperlink" Target="https://www.menards.com/main/building-materials/insulation/foam-board-insulation/r-4-10-psi-expanded-polystyrene-foam-board-insulation-1-x-4-x-8/1632095/p-1444435971553-c-5779.htm?tid=-6298141450144041167&amp;ipos=4" TargetMode="External"/><Relationship Id="rId8" Type="http://schemas.openxmlformats.org/officeDocument/2006/relationships/hyperlink" Target="https://www.pacificinsulationsupply.com/shop/loose-fill/l77-blow-in-insulation/" TargetMode="External"/><Relationship Id="rId98" Type="http://schemas.openxmlformats.org/officeDocument/2006/relationships/hyperlink" Target="https://www.menards.com/main/building-materials/insulation/foam-board-insulation/expanded-polystyrene-foam-board-insulation-4-x-8/1632118/p-1444435971902-c-5779.htm" TargetMode="External"/><Relationship Id="rId121" Type="http://schemas.openxmlformats.org/officeDocument/2006/relationships/hyperlink" Target="http://www.usafoam.com/closedcellfoam/polystyrene.html" TargetMode="External"/><Relationship Id="rId142" Type="http://schemas.openxmlformats.org/officeDocument/2006/relationships/hyperlink" Target="https://insulation.supply/product/foam-board-insulation-75-in-x-4-ft-x-8-ft-r-3-eps-proboard/" TargetMode="External"/><Relationship Id="rId163" Type="http://schemas.openxmlformats.org/officeDocument/2006/relationships/hyperlink" Target="https://www.amazon.com/Froth-Pak-Insulation-Insulates-Penetrations-Polyurethane/dp/B09BCG4422/ref=sr_1_19?keywords=Closed%2BCell%2BFoam%2BSpray&amp;qid=1694624239&amp;sr=8-19&amp;th=1" TargetMode="External"/><Relationship Id="rId184" Type="http://schemas.openxmlformats.org/officeDocument/2006/relationships/hyperlink" Target="https://allprodepot.com/product/handi-foam-200-spray-foam-insulation-hfo-fr/" TargetMode="External"/><Relationship Id="rId219" Type="http://schemas.openxmlformats.org/officeDocument/2006/relationships/hyperlink" Target="https://www.menards.com/main/building-materials/insulation/foam-board-insulation/johns-manville-fiberglass-face-polyiso-roof-decking-insulation-4-x-8/1631147/p-1444438918633-c-5779.htm?tid=-2650740700506567113&amp;ipos=2" TargetMode="External"/><Relationship Id="rId230" Type="http://schemas.openxmlformats.org/officeDocument/2006/relationships/hyperlink" Target="https://store.hbsnj.com/products/4x8x1-2-polyiso-foil-shthg-r-3-0-98.html" TargetMode="External"/><Relationship Id="rId25" Type="http://schemas.openxmlformats.org/officeDocument/2006/relationships/hyperlink" Target="https://www.menards.com/main/building-materials/insulation/foam-board-insulation/owens-corning-reg-foamular-reg-r-4-polystyrene-foam-board-insulation-3-4-x-4-x-8/507827/p-1444450504009-c-5779.htm?tid=9c523c87-39fa-450c-82a3-81debfb16313&amp;ipos=6&amp;exp=false" TargetMode="External"/><Relationship Id="rId46" Type="http://schemas.openxmlformats.org/officeDocument/2006/relationships/hyperlink" Target="https://insulation.supply/product/foamular-1000-3-x-2-ft-x-8-ft-r-15-squared-edge-insulation-sheathing/" TargetMode="External"/><Relationship Id="rId67" Type="http://schemas.openxmlformats.org/officeDocument/2006/relationships/hyperlink" Target="https://insulation.supply/product/foamular-250-1-5-x-4-ft-x-8-ft-r-7-5-scored-squared-edge-insulation-sheathing/" TargetMode="External"/><Relationship Id="rId88" Type="http://schemas.openxmlformats.org/officeDocument/2006/relationships/hyperlink" Target="https://www.bestmaterials.com/detail.aspx?ID=23091" TargetMode="External"/><Relationship Id="rId111" Type="http://schemas.openxmlformats.org/officeDocument/2006/relationships/hyperlink" Target="http://www.usafoam.com/closedcellfoam/polystyrene.html" TargetMode="External"/><Relationship Id="rId132" Type="http://schemas.openxmlformats.org/officeDocument/2006/relationships/hyperlink" Target="http://www.usafoam.com/closedcellfoam/polystyrene.html" TargetMode="External"/><Relationship Id="rId153" Type="http://schemas.openxmlformats.org/officeDocument/2006/relationships/hyperlink" Target="https://www.buildclub.com/product/1-2-in.-x-48-in.-x-8-ft.-R-1.93-EPS-Rigid-Foam-Board-Insulation/bc0_313644767/?queryId=56e2bf05a7d7ecc522cdca8a3fb76297" TargetMode="External"/><Relationship Id="rId174" Type="http://schemas.openxmlformats.org/officeDocument/2006/relationships/hyperlink" Target="https://www.walmart.com/ip/Touch-N-Seal-Spray-Foam-Sealant-Kit-Cream-42-lb-7565002200/1391581049?from=/search" TargetMode="External"/><Relationship Id="rId195" Type="http://schemas.openxmlformats.org/officeDocument/2006/relationships/hyperlink" Target="https://insulation4us.com/products/rmax-4ft-x-8ft-polyiso-rigid-foam-insulation-board-thermasheath-3?variant=39436758450225" TargetMode="External"/><Relationship Id="rId209" Type="http://schemas.openxmlformats.org/officeDocument/2006/relationships/hyperlink" Target="https://www.grainger.com/product/ITW-High-Temperature-Insulation-19NE91" TargetMode="External"/><Relationship Id="rId220" Type="http://schemas.openxmlformats.org/officeDocument/2006/relationships/hyperlink" Target="https://www.menards.com/main/building-materials/insulation/foam-board-insulation/johns-manville-ci-max-reg-polyiso-foam-board-insulation-4-x-8/1631407/p-1444438920508-c-5779.htm?tid=8179033280434637927&amp;ipos=3" TargetMode="External"/><Relationship Id="rId241" Type="http://schemas.openxmlformats.org/officeDocument/2006/relationships/comments" Target="../comments1.xml"/><Relationship Id="rId15" Type="http://schemas.openxmlformats.org/officeDocument/2006/relationships/hyperlink" Target="https://www.lowes.com/pd/Arctic-Fiber-Insulation-R-19-Blown-In-Insulation-Sound-Barrier/1043161" TargetMode="External"/><Relationship Id="rId36" Type="http://schemas.openxmlformats.org/officeDocument/2006/relationships/hyperlink" Target="https://insulation.supply/product/foamular-250-2-x-4-ft-x-8-ft-r-10-tongue-groove-edge-insulation-sheathing/" TargetMode="External"/><Relationship Id="rId57" Type="http://schemas.openxmlformats.org/officeDocument/2006/relationships/hyperlink" Target="https://insulation.supply/product/foamular-1000-1-5-x-2-ft-x-8-ft-r-7-5-squared-edge-insulation-sheathing/" TargetMode="External"/><Relationship Id="rId106" Type="http://schemas.openxmlformats.org/officeDocument/2006/relationships/hyperlink" Target="https://www.homedepot.com/p/3-4-in-x-1-25-ft-x-4-ft-R-2-65-Polystyrene-Panel-Insulation-Sheathing-6-Pack-150705/202090272" TargetMode="External"/><Relationship Id="rId127" Type="http://schemas.openxmlformats.org/officeDocument/2006/relationships/hyperlink" Target="http://www.usafoam.com/closedcellfoam/polystyrene.html" TargetMode="External"/><Relationship Id="rId10" Type="http://schemas.openxmlformats.org/officeDocument/2006/relationships/hyperlink" Target="https://www.pacificinsulationsupply.com/shop/loose-fill/climate-pro-blow-in-insulation/" TargetMode="External"/><Relationship Id="rId31" Type="http://schemas.openxmlformats.org/officeDocument/2006/relationships/hyperlink" Target="https://www.menards.com/main/building-materials/insulation/foam-board-insulation/owens-corning-reg-foamular-reg-r-10-polystyrene-foam-board-insulation-2-x-4-x-8/672400/p-1444450479434-c-5779.htm?tid=77ae6c3c-fae5-4d36-b079-ede474c88c54&amp;ipos=11&amp;exp=false" TargetMode="External"/><Relationship Id="rId52" Type="http://schemas.openxmlformats.org/officeDocument/2006/relationships/hyperlink" Target="https://insulation.supply/product/foamular-600-1-x-2-ft-x-8-ft-r-5-squared-edge-insulation-sheathing/" TargetMode="External"/><Relationship Id="rId73" Type="http://schemas.openxmlformats.org/officeDocument/2006/relationships/hyperlink" Target="https://insulation4us.com/products/kingspan-greenguard-lg-type-iv-25-psi-4ft-x-8ft-xps-insulation-board-all-sizes" TargetMode="External"/><Relationship Id="rId78" Type="http://schemas.openxmlformats.org/officeDocument/2006/relationships/hyperlink" Target="https://www.lowes.com/pd/Common-1-in-x-4-ft-x-8-ft-Actual-0-9375-in-x-3-875-ft-x-7-875-ft-R-Expanded-Polystyrene-Foam-Board-Insulation/3365576" TargetMode="External"/><Relationship Id="rId94" Type="http://schemas.openxmlformats.org/officeDocument/2006/relationships/hyperlink" Target="https://www.menards.com/main/building-materials/insulation/foam-board-insulation/laminated-expanded-polystyrene-foam-board-insulation-4-x-8/1632110/p-1444435971419-c-5779.htm" TargetMode="External"/><Relationship Id="rId99" Type="http://schemas.openxmlformats.org/officeDocument/2006/relationships/hyperlink" Target="https://www.menards.com/main/building-materials/insulation/foam-board-insulation/r-6-10-psi-1-1-2-x-14-1-2-x-48-expanded-polystyrene-foam-board-insulation-6-pack/1632037/p-1444435971687-c-5779.htm?tid=-3006412954687569382&amp;ipos=3" TargetMode="External"/><Relationship Id="rId101" Type="http://schemas.openxmlformats.org/officeDocument/2006/relationships/hyperlink" Target="https://www.menards.com/main/building-materials/insulation/foam-board-insulation/r-3-10-psi-3-4-x-14-1-2-x-48-expanded-polystyrene-foam-board-insulation-6-pack/1632024/p-1444435971277-c-5779.htm?tid=-5078523799166596546&amp;ipos=5" TargetMode="External"/><Relationship Id="rId122" Type="http://schemas.openxmlformats.org/officeDocument/2006/relationships/hyperlink" Target="http://www.usafoam.com/closedcellfoam/polystyrene.html" TargetMode="External"/><Relationship Id="rId143" Type="http://schemas.openxmlformats.org/officeDocument/2006/relationships/hyperlink" Target="https://insulation.supply/product/foam-board-insulation-5-in-x-4-ft-x-8-ft-r-2-eps-proboard/" TargetMode="External"/><Relationship Id="rId148" Type="http://schemas.openxmlformats.org/officeDocument/2006/relationships/hyperlink" Target="https://insulation.supply/product/foam-board-insulation-75-in-x-4-ft-x-8-ft-r-3-8-eps-proboard-red-label/" TargetMode="External"/><Relationship Id="rId164" Type="http://schemas.openxmlformats.org/officeDocument/2006/relationships/hyperlink" Target="https://www.amazon.com/7565002600-Touch-Seal-Insulation-Pre-Connected/dp/B08VF878NJ/ref=sr_1_17?keywords=Closed+Cell+Foam+Spray&amp;qid=1694624696&amp;sr=8-17" TargetMode="External"/><Relationship Id="rId169" Type="http://schemas.openxmlformats.org/officeDocument/2006/relationships/hyperlink" Target="https://www.amazon.com/7565002110-Touch-Seal-Insulation-Pre-Connected/dp/B08XBYZXBD/ref=sr_1_57?keywords=Closed+Cell+Foam+Spray&amp;qid=1694626805&amp;sr=8-57" TargetMode="External"/><Relationship Id="rId185" Type="http://schemas.openxmlformats.org/officeDocument/2006/relationships/hyperlink" Target="https://allprodepot.com/product/handi-foam-600-bf-spray-foam-insulation-kit-hfo-fr/" TargetMode="External"/><Relationship Id="rId4" Type="http://schemas.openxmlformats.org/officeDocument/2006/relationships/hyperlink" Target="https://www.lowes.com/pd/US-Greenfiber-SANCTUARY-by-Greenfiber-R-60-Blown-In-Insulation-Sound-Barrier/5001939515" TargetMode="External"/><Relationship Id="rId9" Type="http://schemas.openxmlformats.org/officeDocument/2006/relationships/hyperlink" Target="https://www.homedepot.com/p/Greenfiber-25-lbs-Cellulose-Blown-In-Insulation-or-Spray-Applied-Insulation-42-Bags-INSSANC42/324699891" TargetMode="External"/><Relationship Id="rId180" Type="http://schemas.openxmlformats.org/officeDocument/2006/relationships/hyperlink" Target="https://www.energyefficientsolutions.com/Quick-Cure-Spray-Foam.asp?item=FOAM605" TargetMode="External"/><Relationship Id="rId210" Type="http://schemas.openxmlformats.org/officeDocument/2006/relationships/hyperlink" Target="https://www.grainger.com/product/ITW-High-Temperature-Insulation-19NE92" TargetMode="External"/><Relationship Id="rId215" Type="http://schemas.openxmlformats.org/officeDocument/2006/relationships/hyperlink" Target="https://www.grainger.com/product/ITW-High-Temperature-Insulation-19NE94" TargetMode="External"/><Relationship Id="rId236" Type="http://schemas.openxmlformats.org/officeDocument/2006/relationships/hyperlink" Target="https://www.homedepot.com/p/RMAX-Pro-Select-R-Matte-Plus-3-0-5-in-x-48-in-x-8-ft-R-3-2-ISO-Rigid-Foam-Board-Insulation-637902/313501506" TargetMode="External"/><Relationship Id="rId26" Type="http://schemas.openxmlformats.org/officeDocument/2006/relationships/hyperlink" Target="https://www.menards.com/main/building-materials/insulation/foam-board-insulation/owens-corning-reg-foamular-reg-r-15-polystyrene-foam-board-insulation-3-x-4-x-8/270522/p-1444450495597-c-5779.htm?tid=bb9acd29-7649-4296-82ac-12991575bf2d&amp;ipos=17&amp;exp=false" TargetMode="External"/><Relationship Id="rId231" Type="http://schemas.openxmlformats.org/officeDocument/2006/relationships/hyperlink" Target="https://store.hbsnj.com/products/4x8x2-polyiso-foil-sheathing-r13-96.html" TargetMode="External"/><Relationship Id="rId47" Type="http://schemas.openxmlformats.org/officeDocument/2006/relationships/hyperlink" Target="https://insulation.supply/product/foamular-600-3-x-4-ft-x-8-ft-r-15-squared-edge-insulation-sheathing/" TargetMode="External"/><Relationship Id="rId68" Type="http://schemas.openxmlformats.org/officeDocument/2006/relationships/hyperlink" Target="https://insulation4us.com/products/dow-xps-150-blue-board-all-sizes" TargetMode="External"/><Relationship Id="rId89" Type="http://schemas.openxmlformats.org/officeDocument/2006/relationships/hyperlink" Target="https://www.bestmaterials.com/detail.aspx?ID=23355" TargetMode="External"/><Relationship Id="rId112" Type="http://schemas.openxmlformats.org/officeDocument/2006/relationships/hyperlink" Target="http://www.usafoam.com/closedcellfoam/polystyrene.html" TargetMode="External"/><Relationship Id="rId133" Type="http://schemas.openxmlformats.org/officeDocument/2006/relationships/hyperlink" Target="http://www.usafoam.com/closedcellfoam/polystyrene.html" TargetMode="External"/><Relationship Id="rId154" Type="http://schemas.openxmlformats.org/officeDocument/2006/relationships/hyperlink" Target="https://www.buildclub.com/product/2-in.-x-48-in.-x-8-ft.-R-7.7-EPS-Rigid-Foam-Board-Insulation/bc0_313643967/?queryId=56e2bf05a7d7ecc522cdca8a3fb76297" TargetMode="External"/><Relationship Id="rId175" Type="http://schemas.openxmlformats.org/officeDocument/2006/relationships/hyperlink" Target="https://www.walmart.com/ip/Froth-Pak-Foam-Sealant-Kit-Cream-41-lb-12031949/152502944?from=/search" TargetMode="External"/><Relationship Id="rId196" Type="http://schemas.openxmlformats.org/officeDocument/2006/relationships/hyperlink" Target="https://insulation4us.com/products/rmax-4ft-x-8ft-polyiso-rigid-foam-insulation-board-thermasheath-3?variant=39436758450225" TargetMode="External"/><Relationship Id="rId200" Type="http://schemas.openxmlformats.org/officeDocument/2006/relationships/hyperlink" Target="https://insulation4us.com/products/rmax-4ft-x-8ft-polyiso-rigid-foam-insulation-board-thermasheath-3?variant=39436758450225" TargetMode="External"/><Relationship Id="rId16" Type="http://schemas.openxmlformats.org/officeDocument/2006/relationships/hyperlink" Target="https://www.lowes.com/pd/GreenFiber-R-19-Blown-In-Insulation-Sound-Barrier/3227256" TargetMode="External"/><Relationship Id="rId221" Type="http://schemas.openxmlformats.org/officeDocument/2006/relationships/hyperlink" Target="https://www.dunnlumber.com/Store/ProductDetail.aspx?pid=465&amp;pg=1543&amp;pl1=2352&amp;returnUrl=%7e%2fProducts.aspx%3fpl1%3d2352%26pg%3d1543%26sort%3dStockClassSort%26direction%3dasc" TargetMode="External"/><Relationship Id="rId37" Type="http://schemas.openxmlformats.org/officeDocument/2006/relationships/hyperlink" Target="https://insulation.supply/product/foamular-1000-2-x-2-ft-x-8-ft-r-10-squared-edge-insulation-sheathing/" TargetMode="External"/><Relationship Id="rId58" Type="http://schemas.openxmlformats.org/officeDocument/2006/relationships/hyperlink" Target="https://insulation.supply/product/fanfold-14-x-4-ft-x-50-ft-r-1-squared-edge-foam-residing-board/" TargetMode="External"/><Relationship Id="rId79" Type="http://schemas.openxmlformats.org/officeDocument/2006/relationships/hyperlink" Target="https://www.lowes.com/pd/Common-0-75-in-x-4-ft-x-8-ft-Actual-0-6875-in-x-3-875-ft-x-7-875-ft-R-Expanded-Polystyrene-Foam-Board-Insulation/3365568" TargetMode="External"/><Relationship Id="rId102" Type="http://schemas.openxmlformats.org/officeDocument/2006/relationships/hyperlink" Target="https://www.menards.com/main/building-materials/insulation/foam-board-insulation/r-8-8-25-psi-2-x-4-x-8-high-density-expanded-polystyrene-foam-board-insulation/16312130/p-105477663874-c-5779.htm?tid=-7599681449061710719&amp;ipos=6" TargetMode="External"/><Relationship Id="rId123" Type="http://schemas.openxmlformats.org/officeDocument/2006/relationships/hyperlink" Target="http://www.usafoam.com/closedcellfoam/polystyrene.html" TargetMode="External"/><Relationship Id="rId144" Type="http://schemas.openxmlformats.org/officeDocument/2006/relationships/hyperlink" Target="https://insulation.supply/product/foam-board-insulation-1-in-x-4-ft-x-8-ft-r-4-4-eps-proboard/" TargetMode="External"/><Relationship Id="rId90" Type="http://schemas.openxmlformats.org/officeDocument/2006/relationships/hyperlink" Target="https://www.bestmaterials.com/detail.aspx?ID=24205" TargetMode="External"/><Relationship Id="rId165" Type="http://schemas.openxmlformats.org/officeDocument/2006/relationships/hyperlink" Target="https://www.amazon.com/Two-Component-Polyurethane-Foam-200-Board/dp/B00689TTHC/ref=sr_1_28_sspa?keywords=Closed+Cell+Foam+Spray&amp;qid=1694625118&amp;sr=8-28-spons&amp;sp_csd=d2lkZ2V0TmFtZT1zcF9tdGY&amp;psc=1" TargetMode="External"/><Relationship Id="rId186" Type="http://schemas.openxmlformats.org/officeDocument/2006/relationships/hyperlink" Target="https://allprodepot.com/product/touch-n-seal-200-bf-hfo-spray-foam-insulation-kit/" TargetMode="External"/><Relationship Id="rId211" Type="http://schemas.openxmlformats.org/officeDocument/2006/relationships/hyperlink" Target="https://www.grainger.com/product/ITW-High-Temperature-Insulation-19NE93" TargetMode="External"/><Relationship Id="rId232" Type="http://schemas.openxmlformats.org/officeDocument/2006/relationships/hyperlink" Target="https://store.hbsnj.com/products/4x8x3-4-polyiso-foil-shthg-r-5-99.html" TargetMode="External"/><Relationship Id="rId27" Type="http://schemas.openxmlformats.org/officeDocument/2006/relationships/hyperlink" Target="https://www.menards.com/main/building-materials/insulation/foam-board-insulation/owens-corning-reg-foamular-reg-r-7-5-polystyrene-foam-board-insulation-1-1-2-x-4-x-8/654955/p-1444450473323-c-5779.htm?tid=f88255c9-b0aa-4994-a2f7-a0c48083dd3e&amp;ipos=16&amp;exp=false" TargetMode="External"/><Relationship Id="rId48" Type="http://schemas.openxmlformats.org/officeDocument/2006/relationships/hyperlink" Target="https://insulation.supply/product/foamular-150-2-x-4-ft-x-8-ft-r-10-scored-square-edge-insulation-sheathing/" TargetMode="External"/><Relationship Id="rId69" Type="http://schemas.openxmlformats.org/officeDocument/2006/relationships/hyperlink" Target="https://insulation4us.com/products/dow-xps-150-blue-board-all-sizes?variant=31869068312625" TargetMode="External"/><Relationship Id="rId113" Type="http://schemas.openxmlformats.org/officeDocument/2006/relationships/hyperlink" Target="http://www.usafoam.com/closedcellfoam/polystyrene.html" TargetMode="External"/><Relationship Id="rId134" Type="http://schemas.openxmlformats.org/officeDocument/2006/relationships/hyperlink" Target="http://www.usafoam.com/closedcellfoam/polystyrene.html" TargetMode="External"/><Relationship Id="rId80" Type="http://schemas.openxmlformats.org/officeDocument/2006/relationships/hyperlink" Target="https://www.bestmaterials.com/detail.aspx?ID=23530" TargetMode="External"/><Relationship Id="rId155" Type="http://schemas.openxmlformats.org/officeDocument/2006/relationships/hyperlink" Target="https://www.buildclub.com/product/1-1-2-in-x-48-in.-x-8-ft.-R-5.78-EPS-Rigid-Foam-Board-Insulation/bc0_313643966/?queryId=56e2bf05a7d7ecc522cdca8a3fb76297" TargetMode="External"/><Relationship Id="rId176" Type="http://schemas.openxmlformats.org/officeDocument/2006/relationships/hyperlink" Target="https://www.energyefficientsolutions.com/Fire_Rated.asp?item=FOAM205E84" TargetMode="External"/><Relationship Id="rId197" Type="http://schemas.openxmlformats.org/officeDocument/2006/relationships/hyperlink" Target="https://insulation4us.com/products/rmax-4ft-x-8ft-polyiso-rigid-foam-insulation-board-thermasheath-3?variant=39436758450225" TargetMode="External"/><Relationship Id="rId201" Type="http://schemas.openxmlformats.org/officeDocument/2006/relationships/hyperlink" Target="https://insulation4us.com/products/rmax-4ft-x-8ft-polyiso-rigid-foam-insulation-board-thermasheath-3?variant=39436758450225" TargetMode="External"/><Relationship Id="rId222" Type="http://schemas.openxmlformats.org/officeDocument/2006/relationships/hyperlink" Target="https://www.dunnlumber.com/Store/ProductDetail.aspx?pid=469&amp;pg=1543&amp;pl1=2352&amp;returnUrl=%7e%2fProducts.aspx%3fpl1%3d2352%26pg%3d1543%26sort%3dStockClassSort%26direction%3dasc" TargetMode="External"/><Relationship Id="rId17" Type="http://schemas.openxmlformats.org/officeDocument/2006/relationships/hyperlink" Target="https://www.lowes.com/pd/GreenFiber-R-19-Blown-In-Insulation-Sound-Barrier/3227256" TargetMode="External"/><Relationship Id="rId38" Type="http://schemas.openxmlformats.org/officeDocument/2006/relationships/hyperlink" Target="https://insulation.supply/product/foamular-250-4-x-4-ft-x-8-ft-r-20-squared-edge-insulation-sheathing/" TargetMode="External"/><Relationship Id="rId59" Type="http://schemas.openxmlformats.org/officeDocument/2006/relationships/hyperlink" Target="https://insulation.supply/product/foamular-250-1-x-4-ft-x-8-ft-r-5-squared-edge-insulation-sheathing/" TargetMode="External"/><Relationship Id="rId103" Type="http://schemas.openxmlformats.org/officeDocument/2006/relationships/hyperlink" Target="https://www.menards.com/main/building-materials/insulation/foam-board-insulation/insofast-reg-r-8-5-24-x-48-eps-foam-insulation-board-5-panels-40-sq-ft/dp36618/p-1841405561665580-c-5779.htm?tid=-2580728646170124652&amp;ipos=7" TargetMode="External"/><Relationship Id="rId124" Type="http://schemas.openxmlformats.org/officeDocument/2006/relationships/hyperlink" Target="http://www.usafoam.com/closedcellfoam/polystyrene.html" TargetMode="External"/><Relationship Id="rId70" Type="http://schemas.openxmlformats.org/officeDocument/2006/relationships/hyperlink" Target="https://insulation4us.com/products/dow-xps-150-blue-board-all-sizes?variant=31869068345393" TargetMode="External"/><Relationship Id="rId91" Type="http://schemas.openxmlformats.org/officeDocument/2006/relationships/hyperlink" Target="https://www.bestmaterials.com/detail.aspx?ID=23032" TargetMode="External"/><Relationship Id="rId145" Type="http://schemas.openxmlformats.org/officeDocument/2006/relationships/hyperlink" Target="https://insulation.supply/product/foam-board-insulation-1-in-x-2-ft-x-8-ft-r-3-8-eps-proboard/" TargetMode="External"/><Relationship Id="rId166" Type="http://schemas.openxmlformats.org/officeDocument/2006/relationships/hyperlink" Target="https://www.amazon.com/Touch-Seal-Hose-Spray-Insulation/dp/B00BPWS4AU/ref=sr_1_37_sspa?keywords=Closed+Cell+Foam+Spray&amp;qid=1694625118&amp;sr=8-37-spons&amp;sp_csd=d2lkZ2V0TmFtZT1zcF9idGY&amp;psc=1" TargetMode="External"/><Relationship Id="rId187" Type="http://schemas.openxmlformats.org/officeDocument/2006/relationships/hyperlink" Target="https://allprodepot.com/product/touch-n-seal-110-bf-hfo-spray-foam-insulation-kit/" TargetMode="External"/><Relationship Id="rId1" Type="http://schemas.openxmlformats.org/officeDocument/2006/relationships/hyperlink" Target="https://www.homedepot.com/p/Owens-Corning-23-in-x-47-in-R-21-Thermafiber-Fire-and-Sound-Guard-Plus-Mineral-Wool-Insulation-Batt-16-Bags-1305240/323590950" TargetMode="External"/><Relationship Id="rId212" Type="http://schemas.openxmlformats.org/officeDocument/2006/relationships/hyperlink" Target="https://www.grainger.com/product/ITW-High-Temperature-Insulation-19NE87" TargetMode="External"/><Relationship Id="rId233" Type="http://schemas.openxmlformats.org/officeDocument/2006/relationships/hyperlink" Target="https://www.mccoys.com/shop/p/02080740/rmax-r-matte-series-rmp005-building-envelope-insulation-8-ft-l-4-ft-w-12-in-thick-r32-r-value-polyisocyanurate" TargetMode="External"/><Relationship Id="rId28" Type="http://schemas.openxmlformats.org/officeDocument/2006/relationships/hyperlink" Target="https://insulation.supply/product/foamular-600-2-x-4-ft-x-8-ft-r-10-squared-edge-insulation-sheathing/" TargetMode="External"/><Relationship Id="rId49" Type="http://schemas.openxmlformats.org/officeDocument/2006/relationships/hyperlink" Target="https://insulation.supply/product/foamular-150-1-x-4-ft-x-8-ft-r-5-tongue-groove-edge-insulation-sheathing/" TargetMode="External"/><Relationship Id="rId114" Type="http://schemas.openxmlformats.org/officeDocument/2006/relationships/hyperlink" Target="http://www.usafoam.com/closedcellfoam/polystyrene.html" TargetMode="External"/><Relationship Id="rId60" Type="http://schemas.openxmlformats.org/officeDocument/2006/relationships/hyperlink" Target="https://insulation.supply/product/foamular-lt40-2-x-4-ft-x-8-ft-r-10-squared-edge-insulation-sheathing/" TargetMode="External"/><Relationship Id="rId81" Type="http://schemas.openxmlformats.org/officeDocument/2006/relationships/hyperlink" Target="https://www.bestmaterials.com/detail.aspx?ID=23183" TargetMode="External"/><Relationship Id="rId135" Type="http://schemas.openxmlformats.org/officeDocument/2006/relationships/hyperlink" Target="http://www.usafoam.com/closedcellfoam/polystyrene.html" TargetMode="External"/><Relationship Id="rId156" Type="http://schemas.openxmlformats.org/officeDocument/2006/relationships/hyperlink" Target="https://www.lowes.com/pd/FROTH-PAK-Low-GWP-650-Spray-Gun-Spray-Foam-Insulation/5001958409" TargetMode="External"/><Relationship Id="rId177" Type="http://schemas.openxmlformats.org/officeDocument/2006/relationships/hyperlink" Target="https://www.energyefficientsolutions.com/Fire_Rated.asp?item=FOAM605E84" TargetMode="External"/><Relationship Id="rId198" Type="http://schemas.openxmlformats.org/officeDocument/2006/relationships/hyperlink" Target="https://insulation4us.com/products/rmax-4ft-x-8ft-polyiso-rigid-foam-insulation-board-thermasheath-3?variant=39436758450225" TargetMode="External"/><Relationship Id="rId202" Type="http://schemas.openxmlformats.org/officeDocument/2006/relationships/hyperlink" Target="https://www.kellyfradet.com/product/12is/" TargetMode="External"/><Relationship Id="rId223" Type="http://schemas.openxmlformats.org/officeDocument/2006/relationships/hyperlink" Target="https://www.dunnlumber.com/Store/ProductDetail.aspx?pid=464&amp;pg=1543&amp;pl1=2352&amp;returnUrl=%7e%2fProducts.aspx%3fpl1%3d2352%26pg%3d1543%26sort%3dStockClassSort%26direction%3dasc" TargetMode="External"/><Relationship Id="rId18" Type="http://schemas.openxmlformats.org/officeDocument/2006/relationships/hyperlink" Target="https://www.lowes.com/pd/GreenFiber-R-19-Blown-In-Insulation-Sound-Barrier/3092499" TargetMode="External"/><Relationship Id="rId39" Type="http://schemas.openxmlformats.org/officeDocument/2006/relationships/hyperlink" Target="https://insulation.supply/product/foamular-250-2-x-4-ft-x-8-ft-r-10-squared-edge-insulation-sheathing/" TargetMode="External"/><Relationship Id="rId50" Type="http://schemas.openxmlformats.org/officeDocument/2006/relationships/hyperlink" Target="https://insulation.supply/product/foamular-250-1-x-4-ft-x-8-ft-r-5-tongue-groove-edge-insulation-sheathing/" TargetMode="External"/><Relationship Id="rId104" Type="http://schemas.openxmlformats.org/officeDocument/2006/relationships/hyperlink" Target="https://www.menards.com/main/building-materials/insulation/foam-board-insulation/r-10-25-psi-2-3-8-x-4-x-8-high-density-expanded-polystyrene-foam-board-insulation/1632200/p-1481786336204-c-5779.htm?tid=-8222092424933094234&amp;ipos=9" TargetMode="External"/><Relationship Id="rId125" Type="http://schemas.openxmlformats.org/officeDocument/2006/relationships/hyperlink" Target="http://www.usafoam.com/closedcellfoam/polystyrene.html" TargetMode="External"/><Relationship Id="rId146" Type="http://schemas.openxmlformats.org/officeDocument/2006/relationships/hyperlink" Target="https://insulation.supply/product/foam-board-insulation-1-in-x-4-ft-x-8-ft-r-5-eps-proboard-red-label/" TargetMode="External"/><Relationship Id="rId167" Type="http://schemas.openxmlformats.org/officeDocument/2006/relationships/hyperlink" Target="https://www.amazon.com/7565002200-Touch-Seal-Insulation-Pre-Connected/dp/B08VF4XH8Z/ref=sr_1_52?keywords=Closed+Cell+Foam+Spray&amp;qid=1694626637&amp;sr=8-52" TargetMode="External"/><Relationship Id="rId188" Type="http://schemas.openxmlformats.org/officeDocument/2006/relationships/hyperlink" Target="https://allprodepot.com/product/touch-n-seal-600-bf-hfo-spray-foam-insulation-kit/" TargetMode="External"/><Relationship Id="rId71" Type="http://schemas.openxmlformats.org/officeDocument/2006/relationships/hyperlink" Target="https://insulation4us.com/products/dow-xps-150-blue-board-all-sizes?variant=31869068378161" TargetMode="External"/><Relationship Id="rId92" Type="http://schemas.openxmlformats.org/officeDocument/2006/relationships/hyperlink" Target="https://www.menards.com/main/building-materials/insulation/foam-board-insulation/laminated-expanded-polystyrene-foam-board-insulation-4-x-8/1632085/p-1444435971208-c-5779.htm?tid=253876933085744537&amp;ipos=1" TargetMode="External"/><Relationship Id="rId213" Type="http://schemas.openxmlformats.org/officeDocument/2006/relationships/hyperlink" Target="https://www.grainger.com/product/ITW-High-Temperature-Insulation-19NE89" TargetMode="External"/><Relationship Id="rId234" Type="http://schemas.openxmlformats.org/officeDocument/2006/relationships/hyperlink" Target="https://www.mccoys.com/shop/p/02080745/rmax-r-matte-series-rmp0075-building-envelope-insulation-8-ft-l-4-ft-w-34-in-thick-r5-r-value-polyisocyanurate" TargetMode="External"/><Relationship Id="rId2" Type="http://schemas.openxmlformats.org/officeDocument/2006/relationships/hyperlink" Target="https://www.homedepot.com/p/656-oz-200-ft-Insulation-Kit-Spray-Foam-Sealant-P12055/321211061" TargetMode="External"/><Relationship Id="rId29" Type="http://schemas.openxmlformats.org/officeDocument/2006/relationships/hyperlink" Target="https://www.menards.com/main/building-materials/insulation/foam-board-insulation/owens-corning-reg-foamular-reg-r-20-polystyrene-foam-board-insulation-4-x-2-x-8/270474/p-1444450496181-c-5779.htm?tid=77ae6c3c-fae5-4d36-b079-ede474c88c54&amp;ipos=8&amp;exp=false" TargetMode="External"/><Relationship Id="rId40" Type="http://schemas.openxmlformats.org/officeDocument/2006/relationships/hyperlink" Target="https://insulation.supply/product/foamular-250-3-x-4-ft-x-8-ft-r-15-scored-squared-edge-insulation-sheathing/" TargetMode="External"/><Relationship Id="rId115" Type="http://schemas.openxmlformats.org/officeDocument/2006/relationships/hyperlink" Target="http://www.usafoam.com/closedcellfoam/polystyrene.html" TargetMode="External"/><Relationship Id="rId136" Type="http://schemas.openxmlformats.org/officeDocument/2006/relationships/hyperlink" Target="http://www.usafoam.com/closedcellfoam/polystyrene.html" TargetMode="External"/><Relationship Id="rId157" Type="http://schemas.openxmlformats.org/officeDocument/2006/relationships/hyperlink" Target="https://www.lowes.com/pd/FROTH-PAK-LOW-GWP-210-Foam-Insulation-Kit-USA/5001957671" TargetMode="External"/><Relationship Id="rId178" Type="http://schemas.openxmlformats.org/officeDocument/2006/relationships/hyperlink" Target="https://www.energyefficientsolutions.com/Quick-Cure-Spray-Foam.asp?item=FOAM105" TargetMode="External"/><Relationship Id="rId61" Type="http://schemas.openxmlformats.org/officeDocument/2006/relationships/hyperlink" Target="https://insulation.supply/product/foamular-250-0-75-x-4-ft-x-8-ft-r-3-75-tongue-groove-edge-insulation-sheathing/" TargetMode="External"/><Relationship Id="rId82" Type="http://schemas.openxmlformats.org/officeDocument/2006/relationships/hyperlink" Target="https://www.bestmaterials.com/detail.aspx?ID=22660" TargetMode="External"/><Relationship Id="rId199" Type="http://schemas.openxmlformats.org/officeDocument/2006/relationships/hyperlink" Target="https://insulation4us.com/products/rmax-4ft-x-8ft-polyiso-rigid-foam-insulation-board-thermasheath-3?variant=39436758450225" TargetMode="External"/><Relationship Id="rId203" Type="http://schemas.openxmlformats.org/officeDocument/2006/relationships/hyperlink" Target="https://www.kellyfradet.com/product/1is/" TargetMode="External"/><Relationship Id="rId19" Type="http://schemas.openxmlformats.org/officeDocument/2006/relationships/hyperlink" Target="https://www.homedepot.com/p/TAP-Pest-Control-Insulation-TAP-EPA-Registered-Pest-Control-Cellulose-Blown-In-Insulation-30-lbs-36-Bags-INSTAPLD/305501160" TargetMode="External"/><Relationship Id="rId224" Type="http://schemas.openxmlformats.org/officeDocument/2006/relationships/hyperlink" Target="https://www.dunnlumber.com/Store/ProductDetail.aspx?pid=466&amp;pg=1543&amp;pl1=2352&amp;returnUrl=%7e%2fProducts.aspx%3fpl1%3d2352%26pg%3d1543%26sort%3dStockClassSort%26direction%3dasc" TargetMode="External"/><Relationship Id="rId30" Type="http://schemas.openxmlformats.org/officeDocument/2006/relationships/hyperlink" Target="https://www.menards.com/main/building-materials/insulation/foam-board-insulation/owens-corning-reg-foamular-reg-r-7-5-polystyrene-foam-board-insulation-1-1-2-x-4-x-8/270815/p-1444450490231-c-5779.htm?tid=77ae6c3c-fae5-4d36-b079-ede474c88c54&amp;ipos=10&amp;exp=false" TargetMode="External"/><Relationship Id="rId105" Type="http://schemas.openxmlformats.org/officeDocument/2006/relationships/hyperlink" Target="https://www.homedepot.com/p/R-Tech-1-1-2-in-x-48-in-x-8-ft-R-5-78-EPS-Rigid-Foam-Board-Insulation-320817/202532855" TargetMode="External"/><Relationship Id="rId126" Type="http://schemas.openxmlformats.org/officeDocument/2006/relationships/hyperlink" Target="http://www.usafoam.com/closedcellfoam/polystyrene.html" TargetMode="External"/><Relationship Id="rId147" Type="http://schemas.openxmlformats.org/officeDocument/2006/relationships/hyperlink" Target="https://insulation.supply/product/foam-board-insulation-59-in-x-4-ft-x-8-ft-r-3-eps-proboard-red-label/" TargetMode="External"/><Relationship Id="rId168" Type="http://schemas.openxmlformats.org/officeDocument/2006/relationships/hyperlink" Target="https://www.amazon.com/Froth-Pak-Improved-Penetrations-Component-Polyurethane/dp/B095L23SK2/ref=sr_1_50?keywords=Closed+Cell+Foam+Spray&amp;qid=1694626719&amp;sr=8-50" TargetMode="External"/><Relationship Id="rId51" Type="http://schemas.openxmlformats.org/officeDocument/2006/relationships/hyperlink" Target="https://insulation.supply/product/foamular-thermapink-3-x-4-ft-x-8-ft-r-15-squared-edge-insulation-sheathing/" TargetMode="External"/><Relationship Id="rId72" Type="http://schemas.openxmlformats.org/officeDocument/2006/relationships/hyperlink" Target="https://insulation4us.com/products/dow-xps-150-blue-board-all-sizes?variant=31869068410929" TargetMode="External"/><Relationship Id="rId93" Type="http://schemas.openxmlformats.org/officeDocument/2006/relationships/hyperlink" Target="https://www.menards.com/main/building-materials/insulation/foam-board-insulation/laminated-expanded-polystyrene-foam-board-insulation-4-x-8/1632100/p-1444435971965-c-5779.htm" TargetMode="External"/><Relationship Id="rId189" Type="http://schemas.openxmlformats.org/officeDocument/2006/relationships/hyperlink" Target="https://www.lowes.com/pd/Johns-Manville-R-6-1-in-x-4-ft-x-8-ft-AP-Foil-Faced-Polyisocyanurate-Foam-Board-Insulation/5013061199" TargetMode="External"/><Relationship Id="rId3" Type="http://schemas.openxmlformats.org/officeDocument/2006/relationships/hyperlink" Target="https://www.homedepot.com/p/FROTH-PAK-200-Spray-Foam-Sealant-Kit-656-oz-12031949/316253042" TargetMode="External"/><Relationship Id="rId214" Type="http://schemas.openxmlformats.org/officeDocument/2006/relationships/hyperlink" Target="https://www.grainger.com/product/ITW-High-Temperature-Insulation-19NE90" TargetMode="External"/><Relationship Id="rId235" Type="http://schemas.openxmlformats.org/officeDocument/2006/relationships/hyperlink" Target="https://www.buildclub.com/product/R-6,-1-in-x-4-ft-x-8-ft-AP-Foil-Faced-Polyisocyanurate-For-Use-In-Garage-Doors-Board-Insulation/bc4_61241722--/?queryId=75ffd118ff8a242da8709081c728333b" TargetMode="External"/><Relationship Id="rId116" Type="http://schemas.openxmlformats.org/officeDocument/2006/relationships/hyperlink" Target="http://www.usafoam.com/closedcellfoam/polystyrene.html" TargetMode="External"/><Relationship Id="rId137" Type="http://schemas.openxmlformats.org/officeDocument/2006/relationships/hyperlink" Target="http://www.usafoam.com/closedcellfoam/polystyrene.html" TargetMode="External"/><Relationship Id="rId158" Type="http://schemas.openxmlformats.org/officeDocument/2006/relationships/hyperlink" Target="https://www.lowes.com/pd/FROTH-PAK-LOW-GWP-12-Sealant-Foam-Insulation-Kit-USA/5001958411" TargetMode="External"/><Relationship Id="rId20" Type="http://schemas.openxmlformats.org/officeDocument/2006/relationships/hyperlink" Target="https://www.menards.com/main/building-materials/insulation/foam-board-insulation/owens-corning-reg-foamular-reg-r-10-polystyrene-foam-board-insulation-2-x-4-x-8/270947/p-1444450502742-c-5779.htm?tid=9baba1a4-be69-4887-8280-3d29343dc7a1&amp;ipos=1&amp;exp=false" TargetMode="External"/><Relationship Id="rId41" Type="http://schemas.openxmlformats.org/officeDocument/2006/relationships/hyperlink" Target="https://insulation.supply/product/foamular-150-1-x-4-ft-x-8-ft-r-5-scored-squared-edge-insulation-sheathing/" TargetMode="External"/><Relationship Id="rId62" Type="http://schemas.openxmlformats.org/officeDocument/2006/relationships/hyperlink" Target="https://insulation.supply/product/foamular-250-0-75-x-4-ft-x-8-ft-r-3-75-squared-edge-insulation-sheathing/" TargetMode="External"/><Relationship Id="rId83" Type="http://schemas.openxmlformats.org/officeDocument/2006/relationships/hyperlink" Target="https://www.bestmaterials.com/detail.aspx?ID=23224" TargetMode="External"/><Relationship Id="rId179" Type="http://schemas.openxmlformats.org/officeDocument/2006/relationships/hyperlink" Target="https://www.energyefficientsolutions.com/Quick-Cure-Spray-Foam.asp?item=FOAM205" TargetMode="External"/><Relationship Id="rId190" Type="http://schemas.openxmlformats.org/officeDocument/2006/relationships/hyperlink" Target="https://www.lowes.com/pd/Johns-Manville-Common-0-5-in-x-4-ft-x-8-ft-Actual-0-5-in-x-4-ft-x-8-ft-AP-Foil-1-R-2-7-Faced-Polyisocyanurate-Foam-Board-Insulation/3851113" TargetMode="External"/><Relationship Id="rId204" Type="http://schemas.openxmlformats.org/officeDocument/2006/relationships/hyperlink" Target="https://www.grainger.com/product/ITW-High-Temperature-Insulation-19NE86" TargetMode="External"/><Relationship Id="rId225" Type="http://schemas.openxmlformats.org/officeDocument/2006/relationships/hyperlink" Target="https://www.dunnlumber.com/Store/ProductDetail.aspx?pid=467&amp;pg=1543&amp;pl1=2352&amp;returnUrl=%7e%2fProducts.aspx%3fpl1%3d2352%26pg%3d1543%26sort%3dStockClassSort%26direction%3dasc" TargetMode="External"/></Relationships>
</file>

<file path=xl/worksheets/_rels/sheet30.xml.rels><?xml version="1.0" encoding="UTF-8" standalone="yes"?>
<Relationships xmlns="http://schemas.openxmlformats.org/package/2006/relationships"><Relationship Id="rId13" Type="http://schemas.openxmlformats.org/officeDocument/2006/relationships/hyperlink" Target="https://acmepanel.com/products-pricing/structural-panels-pricing/" TargetMode="External"/><Relationship Id="rId18" Type="http://schemas.openxmlformats.org/officeDocument/2006/relationships/hyperlink" Target="https://acmepanel.com/products-pricing/structural-panels-pricing/" TargetMode="External"/><Relationship Id="rId26" Type="http://schemas.openxmlformats.org/officeDocument/2006/relationships/hyperlink" Target="https://acmepanel.com/products-pricing/structural-panels-pricing/" TargetMode="External"/><Relationship Id="rId39" Type="http://schemas.openxmlformats.org/officeDocument/2006/relationships/vmlDrawing" Target="../drawings/vmlDrawing4.vml"/><Relationship Id="rId21" Type="http://schemas.openxmlformats.org/officeDocument/2006/relationships/hyperlink" Target="https://acmepanel.com/products-pricing/structural-panels-pricing/" TargetMode="External"/><Relationship Id="rId34" Type="http://schemas.openxmlformats.org/officeDocument/2006/relationships/hyperlink" Target="https://acmepanel.com/products-pricing/structural-panels-pricing/" TargetMode="External"/><Relationship Id="rId7" Type="http://schemas.openxmlformats.org/officeDocument/2006/relationships/hyperlink" Target="https://acmepanel.com/products-pricing/structural-panels-pricing/" TargetMode="External"/><Relationship Id="rId2" Type="http://schemas.openxmlformats.org/officeDocument/2006/relationships/hyperlink" Target="https://www.lawnstarter.com/blog/cost/sip-panels-price/" TargetMode="External"/><Relationship Id="rId16" Type="http://schemas.openxmlformats.org/officeDocument/2006/relationships/hyperlink" Target="https://acmepanel.com/products-pricing/structural-panels-pricing/" TargetMode="External"/><Relationship Id="rId20" Type="http://schemas.openxmlformats.org/officeDocument/2006/relationships/hyperlink" Target="https://acmepanel.com/products-pricing/structural-panels-pricing/" TargetMode="External"/><Relationship Id="rId29" Type="http://schemas.openxmlformats.org/officeDocument/2006/relationships/hyperlink" Target="https://acmepanel.com/products-pricing/structural-panels-pricing/" TargetMode="External"/><Relationship Id="rId41" Type="http://schemas.openxmlformats.org/officeDocument/2006/relationships/comments" Target="../comments4.xml"/><Relationship Id="rId1" Type="http://schemas.openxmlformats.org/officeDocument/2006/relationships/hyperlink" Target="https://www.sips.org/what-are-sips" TargetMode="External"/><Relationship Id="rId6" Type="http://schemas.openxmlformats.org/officeDocument/2006/relationships/hyperlink" Target="https://acmepanel.com/products-pricing/structural-panels-pricing/" TargetMode="External"/><Relationship Id="rId11" Type="http://schemas.openxmlformats.org/officeDocument/2006/relationships/hyperlink" Target="https://acmepanel.com/products-pricing/structural-panels-pricing/" TargetMode="External"/><Relationship Id="rId24" Type="http://schemas.openxmlformats.org/officeDocument/2006/relationships/hyperlink" Target="https://acmepanel.com/products-pricing/structural-panels-pricing/" TargetMode="External"/><Relationship Id="rId32" Type="http://schemas.openxmlformats.org/officeDocument/2006/relationships/hyperlink" Target="https://acmepanel.com/products-pricing/structural-panels-pricing/" TargetMode="External"/><Relationship Id="rId37" Type="http://schemas.openxmlformats.org/officeDocument/2006/relationships/hyperlink" Target="https://acmepanel.com/products-pricing/structural-panels-pricing/" TargetMode="External"/><Relationship Id="rId40" Type="http://schemas.openxmlformats.org/officeDocument/2006/relationships/table" Target="../tables/table20.xml"/><Relationship Id="rId5" Type="http://schemas.openxmlformats.org/officeDocument/2006/relationships/hyperlink" Target="https://renvations.com/sip-panel-pricing/" TargetMode="External"/><Relationship Id="rId15" Type="http://schemas.openxmlformats.org/officeDocument/2006/relationships/hyperlink" Target="https://acmepanel.com/products-pricing/structural-panels-pricing/" TargetMode="External"/><Relationship Id="rId23" Type="http://schemas.openxmlformats.org/officeDocument/2006/relationships/hyperlink" Target="https://acmepanel.com/products-pricing/structural-panels-pricing/" TargetMode="External"/><Relationship Id="rId28" Type="http://schemas.openxmlformats.org/officeDocument/2006/relationships/hyperlink" Target="https://acmepanel.com/products-pricing/structural-panels-pricing/" TargetMode="External"/><Relationship Id="rId36" Type="http://schemas.openxmlformats.org/officeDocument/2006/relationships/hyperlink" Target="https://acmepanel.com/products-pricing/structural-panels-pricing/" TargetMode="External"/><Relationship Id="rId10" Type="http://schemas.openxmlformats.org/officeDocument/2006/relationships/hyperlink" Target="https://acmepanel.com/products-pricing/structural-panels-pricing/" TargetMode="External"/><Relationship Id="rId19" Type="http://schemas.openxmlformats.org/officeDocument/2006/relationships/hyperlink" Target="https://acmepanel.com/products-pricing/structural-panels-pricing/" TargetMode="External"/><Relationship Id="rId31" Type="http://schemas.openxmlformats.org/officeDocument/2006/relationships/hyperlink" Target="https://acmepanel.com/products-pricing/structural-panels-pricing/" TargetMode="External"/><Relationship Id="rId4" Type="http://schemas.openxmlformats.org/officeDocument/2006/relationships/hyperlink" Target="https://sips.premierbuildingsystems.com/blog/what-is-the-cost-comparison-between-sips-and-sticks" TargetMode="External"/><Relationship Id="rId9" Type="http://schemas.openxmlformats.org/officeDocument/2006/relationships/hyperlink" Target="https://acmepanel.com/products-pricing/structural-panels-pricing/" TargetMode="External"/><Relationship Id="rId14" Type="http://schemas.openxmlformats.org/officeDocument/2006/relationships/hyperlink" Target="https://acmepanel.com/products-pricing/structural-panels-pricing/" TargetMode="External"/><Relationship Id="rId22" Type="http://schemas.openxmlformats.org/officeDocument/2006/relationships/hyperlink" Target="https://acmepanel.com/products-pricing/structural-panels-pricing/" TargetMode="External"/><Relationship Id="rId27" Type="http://schemas.openxmlformats.org/officeDocument/2006/relationships/hyperlink" Target="https://acmepanel.com/products-pricing/structural-panels-pricing/" TargetMode="External"/><Relationship Id="rId30" Type="http://schemas.openxmlformats.org/officeDocument/2006/relationships/hyperlink" Target="https://acmepanel.com/products-pricing/structural-panels-pricing/" TargetMode="External"/><Relationship Id="rId35" Type="http://schemas.openxmlformats.org/officeDocument/2006/relationships/hyperlink" Target="https://acmepanel.com/products-pricing/structural-panels-pricing/" TargetMode="External"/><Relationship Id="rId8" Type="http://schemas.openxmlformats.org/officeDocument/2006/relationships/hyperlink" Target="https://acmepanel.com/products-pricing/structural-panels-pricing/" TargetMode="External"/><Relationship Id="rId3" Type="http://schemas.openxmlformats.org/officeDocument/2006/relationships/hyperlink" Target="https://www.attainablehome.com/sips-costs-for-your-next-home-worth-it/" TargetMode="External"/><Relationship Id="rId12" Type="http://schemas.openxmlformats.org/officeDocument/2006/relationships/hyperlink" Target="https://acmepanel.com/products-pricing/structural-panels-pricing/" TargetMode="External"/><Relationship Id="rId17" Type="http://schemas.openxmlformats.org/officeDocument/2006/relationships/hyperlink" Target="https://acmepanel.com/products-pricing/structural-panels-pricing/" TargetMode="External"/><Relationship Id="rId25" Type="http://schemas.openxmlformats.org/officeDocument/2006/relationships/hyperlink" Target="https://acmepanel.com/products-pricing/structural-panels-pricing/" TargetMode="External"/><Relationship Id="rId33" Type="http://schemas.openxmlformats.org/officeDocument/2006/relationships/hyperlink" Target="https://acmepanel.com/products-pricing/structural-panels-pricing/" TargetMode="External"/><Relationship Id="rId38"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lowes.com/pd/Gold-Bond-Common-1-2-in-x-4-ft-x-8-ft-Actual-0-5-in-x-4-ft-x-8-ft-PURPLE-XP-Drywall-Panel/1002062128" TargetMode="External"/><Relationship Id="rId1" Type="http://schemas.openxmlformats.org/officeDocument/2006/relationships/hyperlink" Target="https://www.lowes.com/pd/ToughRock-Common-5-8-in-x-4-ft-x-8-ft-Actual-0-62-in-x-3-99-ft-x-7-99-ft-Fireguard-Drywall-Panel/999980054" TargetMode="External"/><Relationship Id="rId4" Type="http://schemas.openxmlformats.org/officeDocument/2006/relationships/table" Target="../tables/table2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4.xml.rels><?xml version="1.0" encoding="UTF-8" standalone="yes"?>
<Relationships xmlns="http://schemas.openxmlformats.org/package/2006/relationships"><Relationship Id="rId8" Type="http://schemas.openxmlformats.org/officeDocument/2006/relationships/hyperlink" Target="https://www.homedepot.com/p/Clearly-Secure-31-in-x-21-25-in-x-3-125-in-Frameless-Vented-Clear-Glass-Block-Window-3222VCL/206851159" TargetMode="External"/><Relationship Id="rId13" Type="http://schemas.openxmlformats.org/officeDocument/2006/relationships/hyperlink" Target="https://www.homedepot.com/p/Clearly-Secure-31-in-x-31-in-x-3-125-in-Frameless-Wave-Pattern-Vented-Bronze-Glass-Block-Window-3232VBZ/206851140" TargetMode="External"/><Relationship Id="rId18" Type="http://schemas.openxmlformats.org/officeDocument/2006/relationships/hyperlink" Target="https://www.homedepot.com/p/Clearly-Secure-31-in-x-13-5-in-x-3-125-in-Frameless-Frosted-Glass-Block-Window-with-Dryer-Vent-3214SFRDV/206851184" TargetMode="External"/><Relationship Id="rId3" Type="http://schemas.openxmlformats.org/officeDocument/2006/relationships/hyperlink" Target="https://www.homedepot.com/p/Clearly-Secure-31-in-x-11-5-in-x-3-125-in-Frameless-Wave-Pattern-Vented-Glass-Block-Window-3212VDC/206005005" TargetMode="External"/><Relationship Id="rId21" Type="http://schemas.openxmlformats.org/officeDocument/2006/relationships/hyperlink" Target="https://www.homedepot.com/p/Clearly-Secure-31-in-x-23-25-in-x-3-125-in-Frameless-Vented-Frosted-Glass-Block-Window-3224VFR/206851182" TargetMode="External"/><Relationship Id="rId7" Type="http://schemas.openxmlformats.org/officeDocument/2006/relationships/hyperlink" Target="https://www.homedepot.com/p/Clearly-Secure-31-in-x-13-5-in-x-3-125-in-Frameless-Wave-Pattern-Vented-Glass-Block-Window-with-Dryer-Vent-3214VDCDV/311558829" TargetMode="External"/><Relationship Id="rId12" Type="http://schemas.openxmlformats.org/officeDocument/2006/relationships/hyperlink" Target="https://www.homedepot.com/p/Clearly-Secure-38-75-in-x-31-in-x-3-125-in-Frameless-Diamond-Pattern-Non-Vented-Glass-Block-Window-4032SDP/207175667" TargetMode="External"/><Relationship Id="rId17" Type="http://schemas.openxmlformats.org/officeDocument/2006/relationships/hyperlink" Target="https://www.homedepot.com/p/Clearly-Secure-31-in-x-15-5-in-x-3-125-in-Frameless-Frosted-Pattern-Non-Vented-Glass-Block-Window-3216SFR/206851170" TargetMode="External"/><Relationship Id="rId2" Type="http://schemas.openxmlformats.org/officeDocument/2006/relationships/hyperlink" Target="https://www.homedepot.com/p/Clearly-Secure-31-in-x-13-5-in-x-3-125-in-Frameless-Wave-Pattern-Vented-Glass-Block-Window-3214VW/305051132" TargetMode="External"/><Relationship Id="rId16" Type="http://schemas.openxmlformats.org/officeDocument/2006/relationships/hyperlink" Target="https://www.homedepot.com/p/Clearly-Secure-17-25-in-x-32-75-in-x-3-125-in-Frameless-Diamond-Pattern-Glass-Block-Window-with-Dryer-Vent-1834SDPDV/302619717" TargetMode="External"/><Relationship Id="rId20" Type="http://schemas.openxmlformats.org/officeDocument/2006/relationships/hyperlink" Target="https://www.homedepot.com/p/Clearly-Secure-31-in-x-13-5-in-x-3-125-in-Frameless-Wave-Pattern-Non-Vented-Bronze-Glass-Block-Window-3214SBZ/206851127" TargetMode="External"/><Relationship Id="rId1" Type="http://schemas.openxmlformats.org/officeDocument/2006/relationships/hyperlink" Target="https://www.homedepot.com/p/Clearly-Secure-31-in-x-13-5-in-x-3-125-in-Frameless-Wave-Pattern-Non-Vented-Glass-Block-Window-3214SW/305051321" TargetMode="External"/><Relationship Id="rId6" Type="http://schemas.openxmlformats.org/officeDocument/2006/relationships/hyperlink" Target="https://www.homedepot.com/p/Clearly-Secure-31-in-x-13-5-in-x-3-125-in-Frameless-Ice-Pattern-Non-Vented-Glass-Block-Window-3214SI/305051365" TargetMode="External"/><Relationship Id="rId11" Type="http://schemas.openxmlformats.org/officeDocument/2006/relationships/hyperlink" Target="https://www.homedepot.com/p/Clearly-Secure-31-in-x-31-in-x-3-125-in-Frameless-Non-Vented-Clear-Glass-Block-Window-3232SCL/206851154" TargetMode="External"/><Relationship Id="rId24" Type="http://schemas.microsoft.com/office/2019/04/relationships/namedSheetView" Target="../namedSheetViews/namedSheetView2.xml"/><Relationship Id="rId5" Type="http://schemas.openxmlformats.org/officeDocument/2006/relationships/hyperlink" Target="https://www.homedepot.com/p/Clearly-Secure-31-in-x-13-5-in-x-3-125-in-Frameless-Wave-Pattern-Glass-Block-Window-with-Dryer-Vent-3214SDCDV/206415855" TargetMode="External"/><Relationship Id="rId15" Type="http://schemas.openxmlformats.org/officeDocument/2006/relationships/hyperlink" Target="https://www.homedepot.com/p/TAFCO-WINDOWS-23-25-in-x-23-25-in-x-3-125-in-Wave-Pattern-Solid-Glass-Block-Masonry-Window-GBW2424WS/303670761" TargetMode="External"/><Relationship Id="rId23" Type="http://schemas.openxmlformats.org/officeDocument/2006/relationships/table" Target="../tables/table22.xml"/><Relationship Id="rId10" Type="http://schemas.openxmlformats.org/officeDocument/2006/relationships/hyperlink" Target="https://www.homedepot.com/p/Clearly-Secure-31-in-x-11-5-in-x-3-125-in-Frameless-Vented-Diamond-Pattern-Glass-Block-Window-3212VDP/206614956" TargetMode="External"/><Relationship Id="rId19" Type="http://schemas.openxmlformats.org/officeDocument/2006/relationships/hyperlink" Target="https://www.homedepot.com/p/Clearly-Secure-31-in-x-21-25-in-x-3-125-in-Frameless-Wave-Pattern-Bronze-Glass-Block-Window-with-Dryer-Vent-3222SBZDV/206851145" TargetMode="External"/><Relationship Id="rId4" Type="http://schemas.openxmlformats.org/officeDocument/2006/relationships/hyperlink" Target="https://www.homedepot.com/p/Clearly-Secure-31-in-x-13-5-in-x-3-125-in-Frameless-Ice-Pattern-Vented-Glass-Block-Window-3214VI/305051217" TargetMode="External"/><Relationship Id="rId9" Type="http://schemas.openxmlformats.org/officeDocument/2006/relationships/hyperlink" Target="https://www.homedepot.com/p/Clearly-Secure-31-in-x-21-25-in-x-3-125-in-Frameless-Ice-Pattern-Glass-Block-Window-with-Dryer-Vent-3222SICDV/206614987" TargetMode="External"/><Relationship Id="rId14" Type="http://schemas.openxmlformats.org/officeDocument/2006/relationships/hyperlink" Target="https://www.homedepot.com/p/Clearly-Secure-31-in-x-17-25-in-x-3-125-in-Frameless-Clear-Glass-Block-Window-with-Dryer-Vent-3218SCLDV/206851164" TargetMode="External"/><Relationship Id="rId22" Type="http://schemas.openxmlformats.org/officeDocument/2006/relationships/printerSettings" Target="../printerSettings/printerSettings1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hyperlink" Target="https://www.energyefficientsolutions.com/Open_Cell.asp?item=FOAM450-OC" TargetMode="External"/><Relationship Id="rId4" Type="http://schemas.openxmlformats.org/officeDocument/2006/relationships/comments" Target="../comments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1.xml.rels><?xml version="1.0" encoding="UTF-8" standalone="yes"?>
<Relationships xmlns="http://schemas.openxmlformats.org/package/2006/relationships"><Relationship Id="rId8" Type="http://schemas.openxmlformats.org/officeDocument/2006/relationships/drawing" Target="../drawings/drawing15.xml"/><Relationship Id="rId3" Type="http://schemas.openxmlformats.org/officeDocument/2006/relationships/hyperlink" Target="https://www.homewyse.com/services/cost_to_insulate_crawl_space.html" TargetMode="External"/><Relationship Id="rId7" Type="http://schemas.openxmlformats.org/officeDocument/2006/relationships/printerSettings" Target="../printerSettings/printerSettings14.bin"/><Relationship Id="rId2" Type="http://schemas.openxmlformats.org/officeDocument/2006/relationships/hyperlink" Target="https://homeguide.com/costs/attic-insulation-cost" TargetMode="External"/><Relationship Id="rId1" Type="http://schemas.openxmlformats.org/officeDocument/2006/relationships/hyperlink" Target="https://homeguide.com/costs/crawl-space-insulation-cost" TargetMode="External"/><Relationship Id="rId6" Type="http://schemas.openxmlformats.org/officeDocument/2006/relationships/hyperlink" Target="https://www.homewyse.com/services/cost_to_install_batt_wall_insulation.html" TargetMode="External"/><Relationship Id="rId5" Type="http://schemas.openxmlformats.org/officeDocument/2006/relationships/hyperlink" Target="https://www.homewyse.com/services/cost_to_insulate_your_home.html" TargetMode="External"/><Relationship Id="rId4" Type="http://schemas.openxmlformats.org/officeDocument/2006/relationships/hyperlink" Target="https://www.homewyse.com/services/cost_to_insulate_attic.html" TargetMode="External"/></Relationships>
</file>

<file path=xl/worksheets/_rels/sheet4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43.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8F7CD-5AF7-4E4C-9C69-702ADFB84874}">
  <dimension ref="A1:C25"/>
  <sheetViews>
    <sheetView workbookViewId="0">
      <selection activeCell="B2" sqref="B2"/>
    </sheetView>
  </sheetViews>
  <sheetFormatPr baseColWidth="10" defaultColWidth="8.83203125" defaultRowHeight="15" x14ac:dyDescent="0.2"/>
  <cols>
    <col min="1" max="1" width="28.5" bestFit="1" customWidth="1"/>
    <col min="2" max="2" width="13.5" customWidth="1"/>
    <col min="3" max="3" width="16.5" customWidth="1"/>
    <col min="4" max="4" width="9.33203125" customWidth="1"/>
  </cols>
  <sheetData>
    <row r="1" spans="1:3" x14ac:dyDescent="0.2">
      <c r="A1" s="41" t="s">
        <v>0</v>
      </c>
      <c r="B1" s="41" t="s">
        <v>1</v>
      </c>
      <c r="C1" s="41" t="s">
        <v>2</v>
      </c>
    </row>
    <row r="2" spans="1:3" x14ac:dyDescent="0.2">
      <c r="A2" s="41" t="s">
        <v>8</v>
      </c>
      <c r="B2" s="4" t="s">
        <v>3</v>
      </c>
      <c r="C2" s="4" t="s">
        <v>4</v>
      </c>
    </row>
    <row r="3" spans="1:3" x14ac:dyDescent="0.2">
      <c r="A3" s="155" t="s">
        <v>19</v>
      </c>
    </row>
    <row r="4" spans="1:3" x14ac:dyDescent="0.2">
      <c r="A4" s="155" t="s">
        <v>16</v>
      </c>
    </row>
    <row r="5" spans="1:3" x14ac:dyDescent="0.2">
      <c r="A5" s="155" t="s">
        <v>11</v>
      </c>
    </row>
    <row r="6" spans="1:3" x14ac:dyDescent="0.2">
      <c r="A6" s="155" t="s">
        <v>13</v>
      </c>
    </row>
    <row r="7" spans="1:3" x14ac:dyDescent="0.2">
      <c r="A7" s="155" t="s">
        <v>15</v>
      </c>
    </row>
    <row r="8" spans="1:3" x14ac:dyDescent="0.2">
      <c r="A8" s="155" t="s">
        <v>18</v>
      </c>
    </row>
    <row r="9" spans="1:3" x14ac:dyDescent="0.2">
      <c r="A9" s="155" t="s">
        <v>17</v>
      </c>
    </row>
    <row r="10" spans="1:3" x14ac:dyDescent="0.2">
      <c r="A10" s="155" t="s">
        <v>10</v>
      </c>
    </row>
    <row r="11" spans="1:3" x14ac:dyDescent="0.2">
      <c r="A11" s="155" t="s">
        <v>14</v>
      </c>
    </row>
    <row r="12" spans="1:3" x14ac:dyDescent="0.2">
      <c r="A12" s="155" t="s">
        <v>12</v>
      </c>
    </row>
    <row r="13" spans="1:3" x14ac:dyDescent="0.2">
      <c r="A13" s="155" t="s">
        <v>3411</v>
      </c>
    </row>
    <row r="14" spans="1:3" x14ac:dyDescent="0.2">
      <c r="A14" s="155" t="s">
        <v>9</v>
      </c>
    </row>
    <row r="15" spans="1:3" x14ac:dyDescent="0.2">
      <c r="A15" s="41" t="s">
        <v>3410</v>
      </c>
      <c r="B15" s="4" t="s">
        <v>3</v>
      </c>
      <c r="C15" s="4" t="s">
        <v>4</v>
      </c>
    </row>
    <row r="16" spans="1:3" x14ac:dyDescent="0.2">
      <c r="A16" s="41" t="s">
        <v>5</v>
      </c>
      <c r="B16" s="4" t="s">
        <v>3</v>
      </c>
      <c r="C16" s="4" t="s">
        <v>4</v>
      </c>
    </row>
    <row r="17" spans="1:3" x14ac:dyDescent="0.2">
      <c r="A17" s="41" t="s">
        <v>3418</v>
      </c>
      <c r="B17" s="4" t="s">
        <v>3</v>
      </c>
      <c r="C17" s="4" t="s">
        <v>4</v>
      </c>
    </row>
    <row r="18" spans="1:3" x14ac:dyDescent="0.2">
      <c r="A18" s="41" t="s">
        <v>5303</v>
      </c>
      <c r="B18" s="4" t="s">
        <v>3</v>
      </c>
      <c r="C18" s="4" t="s">
        <v>4</v>
      </c>
    </row>
    <row r="19" spans="1:3" x14ac:dyDescent="0.2">
      <c r="A19" s="41" t="s">
        <v>7</v>
      </c>
      <c r="B19" s="4" t="s">
        <v>3</v>
      </c>
      <c r="C19" s="4" t="s">
        <v>4</v>
      </c>
    </row>
    <row r="20" spans="1:3" x14ac:dyDescent="0.2">
      <c r="A20" s="41" t="s">
        <v>2532</v>
      </c>
      <c r="B20" s="4" t="s">
        <v>3</v>
      </c>
      <c r="C20" s="4" t="s">
        <v>4</v>
      </c>
    </row>
    <row r="21" spans="1:3" x14ac:dyDescent="0.2">
      <c r="A21" s="41" t="s">
        <v>3412</v>
      </c>
      <c r="B21" s="4" t="s">
        <v>3</v>
      </c>
      <c r="C21" s="4" t="s">
        <v>4</v>
      </c>
    </row>
    <row r="22" spans="1:3" x14ac:dyDescent="0.2">
      <c r="A22" s="41" t="s">
        <v>3391</v>
      </c>
      <c r="B22" s="4" t="s">
        <v>3</v>
      </c>
      <c r="C22" s="4" t="s">
        <v>4</v>
      </c>
    </row>
    <row r="23" spans="1:3" x14ac:dyDescent="0.2">
      <c r="A23" s="41" t="s">
        <v>20</v>
      </c>
      <c r="B23" s="4" t="s">
        <v>3</v>
      </c>
      <c r="C23" s="4" t="s">
        <v>4</v>
      </c>
    </row>
    <row r="24" spans="1:3" x14ac:dyDescent="0.2">
      <c r="A24" s="41" t="s">
        <v>6</v>
      </c>
      <c r="B24" s="4" t="s">
        <v>3</v>
      </c>
      <c r="C24" s="4" t="s">
        <v>4</v>
      </c>
    </row>
    <row r="25" spans="1:3" x14ac:dyDescent="0.2">
      <c r="A25" s="41" t="s">
        <v>3423</v>
      </c>
      <c r="B25" s="4" t="s">
        <v>3</v>
      </c>
      <c r="C25" s="4" t="s">
        <v>4</v>
      </c>
    </row>
  </sheetData>
  <hyperlinks>
    <hyperlink ref="B15" location="'Air Sealing Data'!A1" display="Data" xr:uid="{DE516133-09CC-4463-BC4B-9863801E695D}"/>
    <hyperlink ref="B16" location="'Doors Data'!A1" display="Data" xr:uid="{8534453C-B778-40BD-B877-73FDA7B735FC}"/>
    <hyperlink ref="B24" location="'Windows Data'!A1" display="Data" xr:uid="{DFA8E489-B7F3-4AAD-8642-52DDB450CEC2}"/>
    <hyperlink ref="B19" location="'Exterior Finish Data'!A1" display="Data" xr:uid="{3D6E599E-CE1D-4AB8-B113-8EB6BD109072}"/>
    <hyperlink ref="C16" location="'Doors Analysis'!A1" display="Analysis" xr:uid="{8EE79A26-B4FC-4D7D-B550-4C38A0C4B418}"/>
    <hyperlink ref="C24" location="'Windows Analysis'!A1" display="Analysis" xr:uid="{1D69F611-27D1-4653-A89D-A39AAB932555}"/>
    <hyperlink ref="C19" location="'Exterior Finish Analysis'!A1" display="Analysis" xr:uid="{E2521E89-0B40-4647-9295-2F992498B2A0}"/>
    <hyperlink ref="B2" location="'All Insulation Data'!A1" display="Data" xr:uid="{1F27ABD6-BAEE-460B-8C78-BB69161949CE}"/>
    <hyperlink ref="C2" location="'All Insulation Analysis'!A1" display="Analysis" xr:uid="{0544567C-364E-4A16-9DD2-38A12AB0CC09}"/>
    <hyperlink ref="B23" location="'Wall Sheathing Data'!A1" display="Data" xr:uid="{B89AF3CB-7A5E-4F32-9F73-6F4C24370AB9}"/>
    <hyperlink ref="C23" location="'Wall Sheathing Analysis'!A1" display="Analysis" xr:uid="{BCFB523D-9D4B-4B34-B06D-C541639D6144}"/>
    <hyperlink ref="B22" location="'SIP Data '!A1" display="Data" xr:uid="{69258CCE-3178-444F-9855-8DECA078938B}"/>
    <hyperlink ref="C22" location="'SIP Analysis'!A1" display="Analysis" xr:uid="{9AD3C30B-F292-465B-80F9-CE336278741F}"/>
    <hyperlink ref="B21" location="'ICF Data '!A1" display="Data" xr:uid="{5D60D3AB-76CD-4122-86CB-BEFC49D0496D}"/>
    <hyperlink ref="B20" location="'Radiant Barrier Data'!A1" display="Data" xr:uid="{90868FF9-8999-4C3B-A95E-532977B28298}"/>
    <hyperlink ref="C20" location="'Radiant Barrier Analysis'!A1" display="Analysis" xr:uid="{C77BB724-CA4B-4AC4-A0FA-7D70EEBB7EEF}"/>
    <hyperlink ref="C15" location="'Air Sealing Analysis'!A1" display="Analysis" xr:uid="{0B9F0D9E-6BD0-4D00-8601-E124BDA78C67}"/>
    <hyperlink ref="B17" location="'Duct Insulation Data'!A1" display="Data" xr:uid="{BF2BA701-0AFA-4E32-B7F0-4370BB6586FD}"/>
    <hyperlink ref="C17" location="'Duct Insulation Analysis'!A1" display="Analysis" xr:uid="{0AD04125-98E3-499F-A41F-A1C8709D889D}"/>
    <hyperlink ref="B18" location="'Duct Sealing Data'!A1" display="Data" xr:uid="{1E97B77B-2EF2-4556-A7AB-98F4E62A4414}"/>
    <hyperlink ref="C18" location="'Duct Sealing Analysis'!A1" display="Analysis" xr:uid="{5017B093-DDE3-4EFB-9627-FF8EF629A55C}"/>
    <hyperlink ref="B25" location="'Pipe Insulation Data'!A1" display="Data" xr:uid="{DC911CD7-82CB-4622-A528-02B89D745B0E}"/>
    <hyperlink ref="C25" location="'Pipe Insulation Analysis'!A1" display="Analysis" xr:uid="{1F5D72E3-6FD5-43BE-9420-FC89108A47E8}"/>
    <hyperlink ref="C21" location="'ICF Analysis'!A1" display="Analysis" xr:uid="{10ECCF9B-35C1-4163-BEC0-22F2499CD3A6}"/>
  </hyperlinks>
  <pageMargins left="0.7" right="0.7" top="0.75" bottom="0.75" header="0.3" footer="0.3"/>
  <pageSetup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65E7C-57D1-448E-A2D5-F3412C657B80}">
  <dimension ref="A1:T226"/>
  <sheetViews>
    <sheetView workbookViewId="0"/>
  </sheetViews>
  <sheetFormatPr baseColWidth="10" defaultColWidth="8.5" defaultRowHeight="15" x14ac:dyDescent="0.2"/>
  <cols>
    <col min="1" max="1" width="14.5" style="95" customWidth="1"/>
    <col min="2" max="2" width="13" style="95" customWidth="1"/>
    <col min="3" max="3" width="10.5" style="95" customWidth="1"/>
    <col min="4" max="4" width="8.5" style="95"/>
    <col min="5" max="5" width="12.5" style="95" customWidth="1"/>
    <col min="6" max="6" width="15.5" style="95" customWidth="1"/>
    <col min="7" max="7" width="9.5" style="95" customWidth="1"/>
    <col min="8" max="9" width="17.5" style="95" customWidth="1"/>
    <col min="10" max="10" width="19.5" style="95" customWidth="1"/>
    <col min="11" max="11" width="13.5" style="95" customWidth="1"/>
    <col min="12" max="12" width="25.5" style="95" customWidth="1"/>
    <col min="13" max="14" width="21.5" style="95" customWidth="1"/>
    <col min="15" max="15" width="10.5" style="95" customWidth="1"/>
    <col min="16" max="17" width="8.5" style="95"/>
    <col min="18" max="18" width="14.5" style="95" customWidth="1"/>
    <col min="19" max="19" width="8.5" style="95"/>
    <col min="20" max="20" width="13.5" style="95" customWidth="1"/>
    <col min="21" max="16384" width="8.5" style="95"/>
  </cols>
  <sheetData>
    <row r="1" spans="1:20" customFormat="1" x14ac:dyDescent="0.2">
      <c r="A1" s="4" t="s">
        <v>21</v>
      </c>
      <c r="K1" s="39"/>
      <c r="L1" s="39"/>
    </row>
    <row r="2" spans="1:20" customFormat="1" ht="19" x14ac:dyDescent="0.25">
      <c r="A2" s="24" t="s">
        <v>22</v>
      </c>
      <c r="K2" s="39"/>
      <c r="L2" s="39"/>
    </row>
    <row r="3" spans="1:20" s="96" customFormat="1" x14ac:dyDescent="0.2">
      <c r="A3" s="96" t="s">
        <v>25</v>
      </c>
      <c r="B3" s="96" t="s">
        <v>26</v>
      </c>
      <c r="C3" s="96" t="s">
        <v>27</v>
      </c>
      <c r="D3" s="96" t="s">
        <v>28</v>
      </c>
      <c r="E3" s="96" t="s">
        <v>29</v>
      </c>
      <c r="F3" s="96" t="s">
        <v>30</v>
      </c>
      <c r="G3" s="96" t="s">
        <v>31</v>
      </c>
      <c r="H3" s="96" t="s">
        <v>32</v>
      </c>
      <c r="I3" s="96" t="s">
        <v>33</v>
      </c>
      <c r="J3" s="96" t="s">
        <v>34</v>
      </c>
      <c r="K3" s="96" t="s">
        <v>35</v>
      </c>
      <c r="L3" s="96" t="s">
        <v>36</v>
      </c>
      <c r="M3" s="96" t="s">
        <v>37</v>
      </c>
      <c r="N3" s="96" t="s">
        <v>38</v>
      </c>
      <c r="O3" s="96" t="s">
        <v>39</v>
      </c>
      <c r="P3" s="96" t="s">
        <v>40</v>
      </c>
      <c r="Q3" s="96" t="s">
        <v>41</v>
      </c>
      <c r="R3" s="96" t="s">
        <v>42</v>
      </c>
      <c r="S3" s="96" t="s">
        <v>43</v>
      </c>
      <c r="T3" s="96" t="s">
        <v>44</v>
      </c>
    </row>
    <row r="4" spans="1:20" x14ac:dyDescent="0.2">
      <c r="A4" s="95" t="s">
        <v>65</v>
      </c>
      <c r="B4" s="95" t="s">
        <v>66</v>
      </c>
      <c r="C4" s="95" t="s">
        <v>67</v>
      </c>
      <c r="D4" s="95" t="s">
        <v>68</v>
      </c>
      <c r="E4" s="95" t="s">
        <v>68</v>
      </c>
      <c r="F4" s="95">
        <v>1</v>
      </c>
      <c r="G4" s="95">
        <v>4.0999999999999996</v>
      </c>
      <c r="I4" s="95">
        <v>0.42</v>
      </c>
      <c r="J4" s="95">
        <v>8.0000000000000002E-3</v>
      </c>
      <c r="K4" s="95">
        <v>0.31</v>
      </c>
      <c r="L4" s="95">
        <v>0.96</v>
      </c>
      <c r="O4" s="95">
        <v>999</v>
      </c>
      <c r="P4" s="95">
        <v>2023</v>
      </c>
      <c r="R4" s="95" t="s">
        <v>69</v>
      </c>
      <c r="S4" s="95" t="s">
        <v>70</v>
      </c>
    </row>
    <row r="5" spans="1:20" x14ac:dyDescent="0.2">
      <c r="A5" s="95" t="s">
        <v>65</v>
      </c>
      <c r="B5" s="95" t="s">
        <v>66</v>
      </c>
      <c r="C5" s="95" t="s">
        <v>67</v>
      </c>
      <c r="D5" s="95" t="s">
        <v>68</v>
      </c>
      <c r="E5" s="95" t="s">
        <v>68</v>
      </c>
      <c r="F5" s="95">
        <v>1.5</v>
      </c>
      <c r="G5" s="95">
        <v>6.2</v>
      </c>
      <c r="I5" s="95">
        <v>1.32</v>
      </c>
      <c r="J5" s="95">
        <v>8.0000000000000002E-3</v>
      </c>
      <c r="K5" s="95">
        <v>0.31</v>
      </c>
      <c r="L5" s="95">
        <v>1.95</v>
      </c>
      <c r="O5" s="95">
        <v>999</v>
      </c>
      <c r="P5" s="95">
        <v>2023</v>
      </c>
      <c r="R5" s="95" t="s">
        <v>69</v>
      </c>
      <c r="S5" s="95" t="s">
        <v>70</v>
      </c>
    </row>
    <row r="6" spans="1:20" x14ac:dyDescent="0.2">
      <c r="A6" s="95" t="s">
        <v>65</v>
      </c>
      <c r="B6" s="95" t="s">
        <v>66</v>
      </c>
      <c r="C6" s="95" t="s">
        <v>67</v>
      </c>
      <c r="D6" s="95" t="s">
        <v>68</v>
      </c>
      <c r="E6" s="95" t="s">
        <v>68</v>
      </c>
      <c r="F6" s="95">
        <v>2</v>
      </c>
      <c r="G6" s="95">
        <v>8.3000000000000007</v>
      </c>
      <c r="I6" s="95">
        <v>0.67</v>
      </c>
      <c r="J6" s="95">
        <v>8.0000000000000002E-3</v>
      </c>
      <c r="K6" s="95">
        <v>0.31</v>
      </c>
      <c r="L6" s="95">
        <v>1.24</v>
      </c>
      <c r="O6" s="95">
        <v>999</v>
      </c>
      <c r="P6" s="95">
        <v>2023</v>
      </c>
      <c r="R6" s="95" t="s">
        <v>69</v>
      </c>
      <c r="S6" s="95" t="s">
        <v>70</v>
      </c>
    </row>
    <row r="7" spans="1:20" x14ac:dyDescent="0.2">
      <c r="A7" s="95" t="s">
        <v>65</v>
      </c>
      <c r="B7" s="95" t="s">
        <v>66</v>
      </c>
      <c r="C7" s="95" t="s">
        <v>67</v>
      </c>
      <c r="D7" s="95" t="s">
        <v>68</v>
      </c>
      <c r="E7" s="95" t="s">
        <v>68</v>
      </c>
      <c r="F7" s="95">
        <v>3</v>
      </c>
      <c r="G7" s="95">
        <v>12.4</v>
      </c>
      <c r="I7" s="95">
        <v>0.89</v>
      </c>
      <c r="J7" s="95">
        <v>0.01</v>
      </c>
      <c r="K7" s="95">
        <v>0.39</v>
      </c>
      <c r="L7" s="95">
        <v>1.61</v>
      </c>
      <c r="O7" s="95">
        <v>999</v>
      </c>
      <c r="P7" s="95">
        <v>2023</v>
      </c>
      <c r="R7" s="95" t="s">
        <v>69</v>
      </c>
      <c r="S7" s="95" t="s">
        <v>70</v>
      </c>
    </row>
    <row r="8" spans="1:20" x14ac:dyDescent="0.2">
      <c r="A8" s="95" t="s">
        <v>65</v>
      </c>
      <c r="B8" s="95" t="s">
        <v>66</v>
      </c>
      <c r="C8" s="95" t="s">
        <v>67</v>
      </c>
      <c r="D8" s="95" t="s">
        <v>68</v>
      </c>
      <c r="E8" s="95" t="s">
        <v>68</v>
      </c>
      <c r="F8" s="95">
        <v>1</v>
      </c>
      <c r="G8" s="95">
        <v>4.3</v>
      </c>
      <c r="I8" s="95">
        <v>0.87</v>
      </c>
      <c r="J8" s="95">
        <v>8.0000000000000002E-3</v>
      </c>
      <c r="K8" s="95">
        <v>0.31</v>
      </c>
      <c r="L8" s="95">
        <v>1.46</v>
      </c>
      <c r="O8" s="95">
        <v>999</v>
      </c>
      <c r="P8" s="95">
        <v>2023</v>
      </c>
      <c r="R8" s="95" t="s">
        <v>69</v>
      </c>
      <c r="S8" s="95" t="s">
        <v>70</v>
      </c>
    </row>
    <row r="9" spans="1:20" x14ac:dyDescent="0.2">
      <c r="A9" s="95" t="s">
        <v>65</v>
      </c>
      <c r="B9" s="95" t="s">
        <v>66</v>
      </c>
      <c r="C9" s="95" t="s">
        <v>67</v>
      </c>
      <c r="D9" s="95" t="s">
        <v>68</v>
      </c>
      <c r="E9" s="95" t="s">
        <v>68</v>
      </c>
      <c r="F9" s="95">
        <v>2</v>
      </c>
      <c r="G9" s="95">
        <v>8.6999999999999993</v>
      </c>
      <c r="I9" s="95">
        <v>1.78</v>
      </c>
      <c r="J9" s="95">
        <v>8.9999999999999993E-3</v>
      </c>
      <c r="K9" s="95">
        <v>0.35</v>
      </c>
      <c r="L9" s="95">
        <v>2.5299999999999998</v>
      </c>
      <c r="O9" s="95">
        <v>999</v>
      </c>
      <c r="P9" s="95">
        <v>2023</v>
      </c>
      <c r="R9" s="95" t="s">
        <v>69</v>
      </c>
      <c r="S9" s="95" t="s">
        <v>70</v>
      </c>
    </row>
    <row r="10" spans="1:20" x14ac:dyDescent="0.2">
      <c r="A10" s="95" t="s">
        <v>65</v>
      </c>
      <c r="B10" s="95" t="s">
        <v>66</v>
      </c>
      <c r="C10" s="95" t="s">
        <v>67</v>
      </c>
      <c r="D10" s="95" t="s">
        <v>68</v>
      </c>
      <c r="E10" s="95" t="s">
        <v>68</v>
      </c>
      <c r="F10" s="95">
        <v>2.5</v>
      </c>
      <c r="G10" s="95">
        <v>10.9</v>
      </c>
      <c r="I10" s="95">
        <v>1.57</v>
      </c>
      <c r="J10" s="95">
        <v>0.01</v>
      </c>
      <c r="K10" s="95">
        <v>0.39</v>
      </c>
      <c r="L10" s="95">
        <v>2.36</v>
      </c>
      <c r="O10" s="95">
        <v>999</v>
      </c>
      <c r="P10" s="95">
        <v>2023</v>
      </c>
      <c r="R10" s="95" t="s">
        <v>69</v>
      </c>
      <c r="S10" s="95" t="s">
        <v>70</v>
      </c>
    </row>
    <row r="11" spans="1:20" x14ac:dyDescent="0.2">
      <c r="A11" s="95" t="s">
        <v>65</v>
      </c>
      <c r="B11" s="95" t="s">
        <v>66</v>
      </c>
      <c r="C11" s="95" t="s">
        <v>67</v>
      </c>
      <c r="D11" s="95" t="s">
        <v>68</v>
      </c>
      <c r="E11" s="95" t="s">
        <v>68</v>
      </c>
      <c r="F11" s="95">
        <v>3</v>
      </c>
      <c r="G11" s="95">
        <v>13</v>
      </c>
      <c r="I11" s="95">
        <v>0.59</v>
      </c>
      <c r="J11" s="95">
        <v>0.01</v>
      </c>
      <c r="K11" s="95">
        <v>0.39</v>
      </c>
      <c r="L11" s="95">
        <v>1.28</v>
      </c>
      <c r="O11" s="95">
        <v>999</v>
      </c>
      <c r="P11" s="95">
        <v>2023</v>
      </c>
      <c r="R11" s="95" t="s">
        <v>69</v>
      </c>
      <c r="S11" s="95" t="s">
        <v>70</v>
      </c>
    </row>
    <row r="12" spans="1:20" x14ac:dyDescent="0.2">
      <c r="A12" s="95" t="s">
        <v>65</v>
      </c>
      <c r="B12" s="95" t="s">
        <v>66</v>
      </c>
      <c r="C12" s="95" t="s">
        <v>67</v>
      </c>
      <c r="D12" s="95" t="s">
        <v>81</v>
      </c>
      <c r="E12" s="95" t="s">
        <v>82</v>
      </c>
      <c r="F12" s="95">
        <v>0.5</v>
      </c>
      <c r="G12" s="95">
        <v>4.3</v>
      </c>
      <c r="I12" s="95">
        <v>1.21</v>
      </c>
      <c r="J12" s="95">
        <v>8.0000000000000002E-3</v>
      </c>
      <c r="K12" s="95">
        <v>0.31</v>
      </c>
      <c r="L12" s="95">
        <v>1.83</v>
      </c>
      <c r="O12" s="95">
        <v>999</v>
      </c>
      <c r="P12" s="95">
        <v>2023</v>
      </c>
      <c r="R12" s="95" t="s">
        <v>69</v>
      </c>
      <c r="S12" s="95" t="s">
        <v>70</v>
      </c>
    </row>
    <row r="13" spans="1:20" x14ac:dyDescent="0.2">
      <c r="A13" s="95" t="s">
        <v>65</v>
      </c>
      <c r="B13" s="95" t="s">
        <v>66</v>
      </c>
      <c r="C13" s="95" t="s">
        <v>67</v>
      </c>
      <c r="D13" s="95" t="s">
        <v>81</v>
      </c>
      <c r="E13" s="95" t="s">
        <v>82</v>
      </c>
      <c r="F13" s="95">
        <v>0.625</v>
      </c>
      <c r="G13" s="95">
        <v>6.5</v>
      </c>
      <c r="I13" s="95">
        <v>1.68</v>
      </c>
      <c r="J13" s="95">
        <v>8.0000000000000002E-3</v>
      </c>
      <c r="K13" s="95">
        <v>0.31</v>
      </c>
      <c r="L13" s="95">
        <v>2.35</v>
      </c>
      <c r="O13" s="95">
        <v>999</v>
      </c>
      <c r="P13" s="95">
        <v>2023</v>
      </c>
      <c r="R13" s="95" t="s">
        <v>69</v>
      </c>
      <c r="S13" s="95" t="s">
        <v>70</v>
      </c>
    </row>
    <row r="14" spans="1:20" x14ac:dyDescent="0.2">
      <c r="A14" s="95" t="s">
        <v>65</v>
      </c>
      <c r="B14" s="95" t="s">
        <v>66</v>
      </c>
      <c r="C14" s="95" t="s">
        <v>67</v>
      </c>
      <c r="D14" s="95" t="s">
        <v>81</v>
      </c>
      <c r="E14" s="95" t="s">
        <v>82</v>
      </c>
      <c r="F14" s="95">
        <v>0.75</v>
      </c>
      <c r="G14" s="95">
        <v>8.6999999999999993</v>
      </c>
      <c r="I14" s="95">
        <v>2.27</v>
      </c>
      <c r="J14" s="95">
        <v>8.9999999999999993E-3</v>
      </c>
      <c r="K14" s="95">
        <v>0.35</v>
      </c>
      <c r="L14" s="95">
        <v>3.07</v>
      </c>
      <c r="O14" s="95">
        <v>999</v>
      </c>
      <c r="P14" s="95">
        <v>2023</v>
      </c>
      <c r="R14" s="95" t="s">
        <v>69</v>
      </c>
      <c r="S14" s="95" t="s">
        <v>70</v>
      </c>
    </row>
    <row r="15" spans="1:20" x14ac:dyDescent="0.2">
      <c r="A15" s="95" t="s">
        <v>65</v>
      </c>
      <c r="B15" s="95" t="s">
        <v>66</v>
      </c>
      <c r="C15" s="95" t="s">
        <v>67</v>
      </c>
      <c r="D15" s="95" t="s">
        <v>81</v>
      </c>
      <c r="E15" s="95" t="s">
        <v>82</v>
      </c>
      <c r="F15" s="95">
        <v>1</v>
      </c>
      <c r="G15" s="95">
        <v>10.9</v>
      </c>
      <c r="I15" s="95">
        <v>2.64</v>
      </c>
      <c r="J15" s="95">
        <v>0.01</v>
      </c>
      <c r="K15" s="95">
        <v>0.39</v>
      </c>
      <c r="L15" s="95">
        <v>3.53</v>
      </c>
      <c r="O15" s="95">
        <v>999</v>
      </c>
      <c r="P15" s="95">
        <v>2023</v>
      </c>
      <c r="R15" s="95" t="s">
        <v>69</v>
      </c>
      <c r="S15" s="95" t="s">
        <v>70</v>
      </c>
    </row>
    <row r="16" spans="1:20" x14ac:dyDescent="0.2">
      <c r="A16" s="95" t="s">
        <v>65</v>
      </c>
      <c r="B16" s="95" t="s">
        <v>66</v>
      </c>
      <c r="C16" s="95" t="s">
        <v>67</v>
      </c>
      <c r="D16" s="95" t="s">
        <v>81</v>
      </c>
      <c r="E16" s="95" t="s">
        <v>82</v>
      </c>
      <c r="F16" s="95">
        <v>1.5</v>
      </c>
      <c r="G16" s="95">
        <v>13</v>
      </c>
      <c r="I16" s="95">
        <v>0.56999999999999995</v>
      </c>
      <c r="J16" s="95">
        <v>0.01</v>
      </c>
      <c r="K16" s="95">
        <v>0.39</v>
      </c>
      <c r="L16" s="95">
        <v>1.26</v>
      </c>
      <c r="O16" s="95">
        <v>999</v>
      </c>
      <c r="P16" s="95">
        <v>2023</v>
      </c>
      <c r="R16" s="95" t="s">
        <v>69</v>
      </c>
      <c r="S16" s="95" t="s">
        <v>70</v>
      </c>
    </row>
    <row r="17" spans="1:19" x14ac:dyDescent="0.2">
      <c r="A17" s="95" t="s">
        <v>65</v>
      </c>
      <c r="B17" s="95" t="s">
        <v>66</v>
      </c>
      <c r="C17" s="95" t="s">
        <v>84</v>
      </c>
      <c r="D17" s="95" t="s">
        <v>81</v>
      </c>
      <c r="E17" s="95" t="s">
        <v>82</v>
      </c>
      <c r="F17" s="95">
        <v>1</v>
      </c>
      <c r="G17" s="95">
        <v>2.77</v>
      </c>
      <c r="I17" s="95">
        <v>0.71</v>
      </c>
      <c r="J17" s="95">
        <v>0.01</v>
      </c>
      <c r="K17" s="95">
        <v>0.39</v>
      </c>
      <c r="L17" s="95">
        <v>1.41</v>
      </c>
      <c r="O17" s="95">
        <v>999</v>
      </c>
      <c r="P17" s="95">
        <v>2023</v>
      </c>
      <c r="R17" s="95" t="s">
        <v>69</v>
      </c>
      <c r="S17" s="95" t="s">
        <v>70</v>
      </c>
    </row>
    <row r="18" spans="1:19" x14ac:dyDescent="0.2">
      <c r="A18" s="95" t="s">
        <v>65</v>
      </c>
      <c r="B18" s="95" t="s">
        <v>66</v>
      </c>
      <c r="C18" s="95" t="s">
        <v>84</v>
      </c>
      <c r="D18" s="95" t="s">
        <v>81</v>
      </c>
      <c r="E18" s="95" t="s">
        <v>82</v>
      </c>
      <c r="F18" s="95">
        <v>2</v>
      </c>
      <c r="G18" s="95">
        <v>5.55</v>
      </c>
      <c r="I18" s="95">
        <v>1.26</v>
      </c>
      <c r="J18" s="95">
        <v>1.0999999999999999E-2</v>
      </c>
      <c r="K18" s="95">
        <v>0.42</v>
      </c>
      <c r="L18" s="95">
        <v>2.08</v>
      </c>
      <c r="O18" s="95">
        <v>999</v>
      </c>
      <c r="P18" s="95">
        <v>2023</v>
      </c>
      <c r="R18" s="95" t="s">
        <v>69</v>
      </c>
      <c r="S18" s="95" t="s">
        <v>70</v>
      </c>
    </row>
    <row r="19" spans="1:19" x14ac:dyDescent="0.2">
      <c r="A19" s="95" t="s">
        <v>65</v>
      </c>
      <c r="B19" s="95" t="s">
        <v>66</v>
      </c>
      <c r="C19" s="95" t="s">
        <v>84</v>
      </c>
      <c r="D19" s="95" t="s">
        <v>81</v>
      </c>
      <c r="E19" s="95" t="s">
        <v>82</v>
      </c>
      <c r="F19" s="95">
        <v>1</v>
      </c>
      <c r="G19" s="95">
        <v>5</v>
      </c>
      <c r="I19" s="95">
        <v>1.26</v>
      </c>
      <c r="J19" s="95">
        <v>0.01</v>
      </c>
      <c r="K19" s="95">
        <v>0.39</v>
      </c>
      <c r="L19" s="95">
        <v>2.02</v>
      </c>
      <c r="O19" s="95">
        <v>999</v>
      </c>
      <c r="P19" s="95">
        <v>2023</v>
      </c>
      <c r="R19" s="95" t="s">
        <v>69</v>
      </c>
      <c r="S19" s="95" t="s">
        <v>70</v>
      </c>
    </row>
    <row r="20" spans="1:19" x14ac:dyDescent="0.2">
      <c r="A20" s="95" t="s">
        <v>65</v>
      </c>
      <c r="B20" s="95" t="s">
        <v>66</v>
      </c>
      <c r="C20" s="95" t="s">
        <v>84</v>
      </c>
      <c r="D20" s="95" t="s">
        <v>81</v>
      </c>
      <c r="E20" s="95" t="s">
        <v>82</v>
      </c>
      <c r="F20" s="95">
        <v>2</v>
      </c>
      <c r="G20" s="95">
        <v>10</v>
      </c>
      <c r="I20" s="95">
        <v>1.91</v>
      </c>
      <c r="J20" s="95">
        <v>1.0999999999999999E-2</v>
      </c>
      <c r="K20" s="95">
        <v>0.42</v>
      </c>
      <c r="L20" s="95">
        <v>2.79</v>
      </c>
      <c r="O20" s="95">
        <v>999</v>
      </c>
      <c r="P20" s="95">
        <v>2023</v>
      </c>
      <c r="R20" s="95" t="s">
        <v>69</v>
      </c>
      <c r="S20" s="95" t="s">
        <v>70</v>
      </c>
    </row>
    <row r="21" spans="1:19" x14ac:dyDescent="0.2">
      <c r="A21" s="95" t="s">
        <v>65</v>
      </c>
      <c r="B21" s="95" t="s">
        <v>66</v>
      </c>
      <c r="C21" s="95" t="s">
        <v>84</v>
      </c>
      <c r="D21" s="95" t="s">
        <v>81</v>
      </c>
      <c r="E21" s="95" t="s">
        <v>82</v>
      </c>
      <c r="F21" s="95">
        <v>3</v>
      </c>
      <c r="G21" s="95">
        <v>15</v>
      </c>
      <c r="I21" s="95">
        <v>3.05</v>
      </c>
      <c r="J21" s="95">
        <v>1.0999999999999999E-2</v>
      </c>
      <c r="K21" s="95">
        <v>0.42</v>
      </c>
      <c r="L21" s="95">
        <v>4.05</v>
      </c>
      <c r="O21" s="95">
        <v>999</v>
      </c>
      <c r="P21" s="95">
        <v>2023</v>
      </c>
      <c r="R21" s="95" t="s">
        <v>69</v>
      </c>
      <c r="S21" s="95" t="s">
        <v>70</v>
      </c>
    </row>
    <row r="22" spans="1:19" x14ac:dyDescent="0.2">
      <c r="A22" s="95" t="s">
        <v>65</v>
      </c>
      <c r="B22" s="95" t="s">
        <v>66</v>
      </c>
      <c r="C22" s="95" t="s">
        <v>84</v>
      </c>
      <c r="D22" s="95" t="s">
        <v>81</v>
      </c>
      <c r="E22" s="95" t="s">
        <v>82</v>
      </c>
      <c r="F22" s="95">
        <v>1</v>
      </c>
      <c r="G22" s="95">
        <v>3.85</v>
      </c>
      <c r="I22" s="95">
        <v>0.34</v>
      </c>
      <c r="J22" s="95">
        <v>0.01</v>
      </c>
      <c r="K22" s="95">
        <v>0.39</v>
      </c>
      <c r="L22" s="95">
        <v>1</v>
      </c>
      <c r="O22" s="95">
        <v>999</v>
      </c>
      <c r="P22" s="95">
        <v>2023</v>
      </c>
      <c r="R22" s="95" t="s">
        <v>69</v>
      </c>
      <c r="S22" s="95" t="s">
        <v>70</v>
      </c>
    </row>
    <row r="23" spans="1:19" x14ac:dyDescent="0.2">
      <c r="A23" s="95" t="s">
        <v>65</v>
      </c>
      <c r="B23" s="95" t="s">
        <v>66</v>
      </c>
      <c r="C23" s="95" t="s">
        <v>84</v>
      </c>
      <c r="D23" s="95" t="s">
        <v>81</v>
      </c>
      <c r="E23" s="95" t="s">
        <v>82</v>
      </c>
      <c r="F23" s="95">
        <v>2</v>
      </c>
      <c r="G23" s="95">
        <v>7.69</v>
      </c>
      <c r="I23" s="95">
        <v>0.68</v>
      </c>
      <c r="J23" s="95">
        <v>1.0999999999999999E-2</v>
      </c>
      <c r="K23" s="95">
        <v>0.42</v>
      </c>
      <c r="L23" s="95">
        <v>1.44</v>
      </c>
      <c r="O23" s="95">
        <v>999</v>
      </c>
      <c r="P23" s="95">
        <v>2023</v>
      </c>
      <c r="R23" s="95" t="s">
        <v>69</v>
      </c>
      <c r="S23" s="95" t="s">
        <v>70</v>
      </c>
    </row>
    <row r="24" spans="1:19" x14ac:dyDescent="0.2">
      <c r="A24" s="95" t="s">
        <v>65</v>
      </c>
      <c r="B24" s="95" t="s">
        <v>66</v>
      </c>
      <c r="C24" s="95" t="s">
        <v>84</v>
      </c>
      <c r="D24" s="95" t="s">
        <v>81</v>
      </c>
      <c r="E24" s="95" t="s">
        <v>82</v>
      </c>
      <c r="F24" s="95">
        <v>3</v>
      </c>
      <c r="G24" s="95">
        <v>11.49</v>
      </c>
      <c r="I24" s="95">
        <v>1.02</v>
      </c>
      <c r="J24" s="95">
        <v>1.0999999999999999E-2</v>
      </c>
      <c r="K24" s="95">
        <v>0.42</v>
      </c>
      <c r="L24" s="95">
        <v>1.81</v>
      </c>
      <c r="O24" s="95">
        <v>999</v>
      </c>
      <c r="P24" s="95">
        <v>2023</v>
      </c>
      <c r="R24" s="95" t="s">
        <v>69</v>
      </c>
      <c r="S24" s="95" t="s">
        <v>70</v>
      </c>
    </row>
    <row r="25" spans="1:19" x14ac:dyDescent="0.2">
      <c r="A25" s="95" t="s">
        <v>65</v>
      </c>
      <c r="B25" s="95" t="s">
        <v>66</v>
      </c>
      <c r="C25" s="95" t="s">
        <v>85</v>
      </c>
      <c r="D25" s="95" t="s">
        <v>68</v>
      </c>
      <c r="E25" s="95" t="s">
        <v>68</v>
      </c>
      <c r="F25" s="95">
        <v>1</v>
      </c>
      <c r="G25" s="95">
        <v>4</v>
      </c>
      <c r="I25" s="95">
        <v>0.34</v>
      </c>
      <c r="J25" s="95">
        <v>1.2E-2</v>
      </c>
      <c r="K25" s="95">
        <v>0.45</v>
      </c>
      <c r="L25" s="95">
        <v>1.1100000000000001</v>
      </c>
      <c r="O25" s="95">
        <v>999</v>
      </c>
      <c r="P25" s="95">
        <v>2023</v>
      </c>
      <c r="R25" s="95" t="s">
        <v>69</v>
      </c>
      <c r="S25" s="95" t="s">
        <v>70</v>
      </c>
    </row>
    <row r="26" spans="1:19" x14ac:dyDescent="0.2">
      <c r="A26" s="95" t="s">
        <v>65</v>
      </c>
      <c r="B26" s="95" t="s">
        <v>66</v>
      </c>
      <c r="C26" s="95" t="s">
        <v>85</v>
      </c>
      <c r="D26" s="95" t="s">
        <v>68</v>
      </c>
      <c r="E26" s="95" t="s">
        <v>68</v>
      </c>
      <c r="F26" s="95">
        <v>2</v>
      </c>
      <c r="G26" s="95">
        <v>8</v>
      </c>
      <c r="I26" s="95">
        <v>0.68</v>
      </c>
      <c r="J26" s="95">
        <v>1.2E-2</v>
      </c>
      <c r="K26" s="95">
        <v>0.46</v>
      </c>
      <c r="L26" s="95">
        <v>1.5</v>
      </c>
      <c r="O26" s="95">
        <v>999</v>
      </c>
      <c r="P26" s="95">
        <v>2023</v>
      </c>
      <c r="R26" s="95" t="s">
        <v>69</v>
      </c>
      <c r="S26" s="95" t="s">
        <v>70</v>
      </c>
    </row>
    <row r="27" spans="1:19" x14ac:dyDescent="0.2">
      <c r="A27" s="95" t="s">
        <v>65</v>
      </c>
      <c r="B27" s="95" t="s">
        <v>66</v>
      </c>
      <c r="C27" s="95" t="s">
        <v>86</v>
      </c>
      <c r="D27" s="95" t="s">
        <v>68</v>
      </c>
      <c r="E27" s="95" t="s">
        <v>68</v>
      </c>
      <c r="F27" s="95">
        <v>1</v>
      </c>
      <c r="G27" s="95">
        <v>4</v>
      </c>
      <c r="I27" s="95">
        <v>0.34</v>
      </c>
      <c r="J27" s="95">
        <v>1.2E-2</v>
      </c>
      <c r="K27" s="95">
        <v>0.45</v>
      </c>
      <c r="L27" s="95">
        <v>1.1100000000000001</v>
      </c>
      <c r="O27" s="95">
        <v>999</v>
      </c>
      <c r="P27" s="95">
        <v>2023</v>
      </c>
      <c r="R27" s="95" t="s">
        <v>69</v>
      </c>
      <c r="S27" s="95" t="s">
        <v>70</v>
      </c>
    </row>
    <row r="28" spans="1:19" x14ac:dyDescent="0.2">
      <c r="A28" s="95" t="s">
        <v>65</v>
      </c>
      <c r="B28" s="95" t="s">
        <v>66</v>
      </c>
      <c r="C28" s="95" t="s">
        <v>86</v>
      </c>
      <c r="D28" s="95" t="s">
        <v>68</v>
      </c>
      <c r="E28" s="95" t="s">
        <v>68</v>
      </c>
      <c r="F28" s="95">
        <v>2</v>
      </c>
      <c r="G28" s="95">
        <v>8</v>
      </c>
      <c r="I28" s="95">
        <v>0.68</v>
      </c>
      <c r="J28" s="95">
        <v>1.2E-2</v>
      </c>
      <c r="K28" s="95">
        <v>0.46</v>
      </c>
      <c r="L28" s="95">
        <v>1.5</v>
      </c>
      <c r="O28" s="95">
        <v>999</v>
      </c>
      <c r="P28" s="95">
        <v>2023</v>
      </c>
      <c r="R28" s="95" t="s">
        <v>69</v>
      </c>
      <c r="S28" s="95" t="s">
        <v>70</v>
      </c>
    </row>
    <row r="29" spans="1:19" x14ac:dyDescent="0.2">
      <c r="A29" s="95" t="s">
        <v>73</v>
      </c>
      <c r="B29" s="95" t="s">
        <v>69</v>
      </c>
      <c r="C29" s="95" t="s">
        <v>67</v>
      </c>
      <c r="D29" s="95" t="s">
        <v>81</v>
      </c>
      <c r="E29" s="95" t="s">
        <v>89</v>
      </c>
      <c r="F29" s="95">
        <v>3.5</v>
      </c>
      <c r="G29" s="95">
        <v>11</v>
      </c>
      <c r="I29" s="95">
        <v>0.53</v>
      </c>
      <c r="J29" s="95">
        <v>6.0000000000000001E-3</v>
      </c>
      <c r="K29" s="95">
        <v>0.23</v>
      </c>
      <c r="L29" s="95">
        <v>0.95</v>
      </c>
      <c r="O29" s="95">
        <v>999</v>
      </c>
      <c r="P29" s="95">
        <v>2023</v>
      </c>
      <c r="R29" s="95" t="s">
        <v>69</v>
      </c>
      <c r="S29" s="95" t="s">
        <v>70</v>
      </c>
    </row>
    <row r="30" spans="1:19" x14ac:dyDescent="0.2">
      <c r="A30" s="95" t="s">
        <v>73</v>
      </c>
      <c r="B30" s="95" t="s">
        <v>69</v>
      </c>
      <c r="C30" s="95" t="s">
        <v>67</v>
      </c>
      <c r="D30" s="95" t="s">
        <v>81</v>
      </c>
      <c r="E30" s="95" t="s">
        <v>89</v>
      </c>
      <c r="F30" s="95">
        <v>3.5</v>
      </c>
      <c r="G30" s="95">
        <v>13</v>
      </c>
      <c r="I30" s="95">
        <v>0.85</v>
      </c>
      <c r="J30" s="95">
        <v>7.0000000000000001E-3</v>
      </c>
      <c r="K30" s="95">
        <v>0.27</v>
      </c>
      <c r="L30" s="95">
        <v>1.38</v>
      </c>
      <c r="O30" s="95">
        <v>999</v>
      </c>
      <c r="P30" s="95">
        <v>2023</v>
      </c>
      <c r="R30" s="95" t="s">
        <v>69</v>
      </c>
      <c r="S30" s="95" t="s">
        <v>70</v>
      </c>
    </row>
    <row r="31" spans="1:19" x14ac:dyDescent="0.2">
      <c r="A31" s="95" t="s">
        <v>73</v>
      </c>
      <c r="B31" s="95" t="s">
        <v>69</v>
      </c>
      <c r="C31" s="95" t="s">
        <v>67</v>
      </c>
      <c r="D31" s="95" t="s">
        <v>81</v>
      </c>
      <c r="E31" s="95" t="s">
        <v>89</v>
      </c>
      <c r="F31" s="95">
        <v>3.5</v>
      </c>
      <c r="G31" s="95">
        <v>15</v>
      </c>
      <c r="I31" s="95">
        <v>0.87</v>
      </c>
      <c r="J31" s="95">
        <v>7.0000000000000001E-3</v>
      </c>
      <c r="K31" s="95">
        <v>0.27</v>
      </c>
      <c r="L31" s="95">
        <v>1.4</v>
      </c>
      <c r="O31" s="95">
        <v>999</v>
      </c>
      <c r="P31" s="95">
        <v>2023</v>
      </c>
      <c r="R31" s="95" t="s">
        <v>69</v>
      </c>
      <c r="S31" s="95" t="s">
        <v>70</v>
      </c>
    </row>
    <row r="32" spans="1:19" x14ac:dyDescent="0.2">
      <c r="A32" s="95" t="s">
        <v>73</v>
      </c>
      <c r="B32" s="95" t="s">
        <v>69</v>
      </c>
      <c r="C32" s="95" t="s">
        <v>67</v>
      </c>
      <c r="D32" s="95" t="s">
        <v>81</v>
      </c>
      <c r="E32" s="95" t="s">
        <v>89</v>
      </c>
      <c r="F32" s="95">
        <v>6</v>
      </c>
      <c r="G32" s="95">
        <v>19</v>
      </c>
      <c r="I32" s="95">
        <v>0.95</v>
      </c>
      <c r="J32" s="95">
        <v>7.0000000000000001E-3</v>
      </c>
      <c r="K32" s="95">
        <v>0.27</v>
      </c>
      <c r="L32" s="95">
        <v>1.49</v>
      </c>
      <c r="O32" s="95">
        <v>999</v>
      </c>
      <c r="P32" s="95">
        <v>2023</v>
      </c>
      <c r="R32" s="95" t="s">
        <v>69</v>
      </c>
      <c r="S32" s="95" t="s">
        <v>70</v>
      </c>
    </row>
    <row r="33" spans="1:19" x14ac:dyDescent="0.2">
      <c r="A33" s="95" t="s">
        <v>73</v>
      </c>
      <c r="B33" s="95" t="s">
        <v>69</v>
      </c>
      <c r="C33" s="95" t="s">
        <v>67</v>
      </c>
      <c r="D33" s="95" t="s">
        <v>81</v>
      </c>
      <c r="E33" s="95" t="s">
        <v>89</v>
      </c>
      <c r="F33" s="95">
        <v>9</v>
      </c>
      <c r="G33" s="95">
        <v>30</v>
      </c>
      <c r="I33" s="95">
        <v>1</v>
      </c>
      <c r="J33" s="95">
        <v>6.0000000000000001E-3</v>
      </c>
      <c r="K33" s="95">
        <v>0.23</v>
      </c>
      <c r="L33" s="95">
        <v>1.47</v>
      </c>
      <c r="O33" s="95">
        <v>999</v>
      </c>
      <c r="P33" s="95">
        <v>2023</v>
      </c>
      <c r="R33" s="95" t="s">
        <v>69</v>
      </c>
      <c r="S33" s="95" t="s">
        <v>70</v>
      </c>
    </row>
    <row r="34" spans="1:19" x14ac:dyDescent="0.2">
      <c r="A34" s="95" t="s">
        <v>73</v>
      </c>
      <c r="B34" s="95" t="s">
        <v>69</v>
      </c>
      <c r="C34" s="95" t="s">
        <v>67</v>
      </c>
      <c r="D34" s="95" t="s">
        <v>81</v>
      </c>
      <c r="E34" s="95" t="s">
        <v>89</v>
      </c>
      <c r="F34" s="95">
        <v>12</v>
      </c>
      <c r="G34" s="95">
        <v>38</v>
      </c>
      <c r="I34" s="95">
        <v>1.58</v>
      </c>
      <c r="J34" s="95">
        <v>6.0000000000000001E-3</v>
      </c>
      <c r="K34" s="95">
        <v>0.23</v>
      </c>
      <c r="L34" s="95">
        <v>2.11</v>
      </c>
      <c r="O34" s="95">
        <v>999</v>
      </c>
      <c r="P34" s="95">
        <v>2023</v>
      </c>
      <c r="R34" s="95" t="s">
        <v>69</v>
      </c>
      <c r="S34" s="95" t="s">
        <v>70</v>
      </c>
    </row>
    <row r="35" spans="1:19" x14ac:dyDescent="0.2">
      <c r="A35" s="95" t="s">
        <v>73</v>
      </c>
      <c r="B35" s="95" t="s">
        <v>69</v>
      </c>
      <c r="C35" s="95" t="s">
        <v>67</v>
      </c>
      <c r="D35" s="95" t="s">
        <v>81</v>
      </c>
      <c r="E35" s="95" t="s">
        <v>90</v>
      </c>
      <c r="F35" s="95">
        <v>3.5</v>
      </c>
      <c r="G35" s="95">
        <v>13</v>
      </c>
      <c r="I35" s="95">
        <v>0.71</v>
      </c>
      <c r="J35" s="95">
        <v>7.0000000000000001E-3</v>
      </c>
      <c r="K35" s="95">
        <v>0.27</v>
      </c>
      <c r="L35" s="95">
        <v>1.22</v>
      </c>
      <c r="O35" s="95">
        <v>999</v>
      </c>
      <c r="P35" s="95">
        <v>2023</v>
      </c>
      <c r="R35" s="95" t="s">
        <v>69</v>
      </c>
      <c r="S35" s="95" t="s">
        <v>70</v>
      </c>
    </row>
    <row r="36" spans="1:19" x14ac:dyDescent="0.2">
      <c r="A36" s="95" t="s">
        <v>73</v>
      </c>
      <c r="B36" s="95" t="s">
        <v>69</v>
      </c>
      <c r="C36" s="95" t="s">
        <v>67</v>
      </c>
      <c r="D36" s="95" t="s">
        <v>81</v>
      </c>
      <c r="E36" s="95" t="s">
        <v>90</v>
      </c>
      <c r="F36" s="95">
        <v>3.5</v>
      </c>
      <c r="G36" s="95">
        <v>15</v>
      </c>
      <c r="I36" s="95">
        <v>0.53</v>
      </c>
      <c r="J36" s="95">
        <v>7.0000000000000001E-3</v>
      </c>
      <c r="K36" s="95">
        <v>0.27</v>
      </c>
      <c r="L36" s="95">
        <v>1.02</v>
      </c>
      <c r="O36" s="95">
        <v>999</v>
      </c>
      <c r="P36" s="95">
        <v>2023</v>
      </c>
      <c r="R36" s="95" t="s">
        <v>69</v>
      </c>
      <c r="S36" s="95" t="s">
        <v>70</v>
      </c>
    </row>
    <row r="37" spans="1:19" x14ac:dyDescent="0.2">
      <c r="A37" s="95" t="s">
        <v>73</v>
      </c>
      <c r="B37" s="95" t="s">
        <v>69</v>
      </c>
      <c r="C37" s="95" t="s">
        <v>67</v>
      </c>
      <c r="D37" s="95" t="s">
        <v>81</v>
      </c>
      <c r="E37" s="95" t="s">
        <v>90</v>
      </c>
      <c r="F37" s="95">
        <v>6</v>
      </c>
      <c r="G37" s="95">
        <v>19</v>
      </c>
      <c r="I37" s="95">
        <v>0.89</v>
      </c>
      <c r="J37" s="95">
        <v>5.0000000000000001E-3</v>
      </c>
      <c r="K37" s="95">
        <v>0.19</v>
      </c>
      <c r="L37" s="95">
        <v>1.29</v>
      </c>
      <c r="O37" s="95">
        <v>999</v>
      </c>
      <c r="P37" s="95">
        <v>2023</v>
      </c>
      <c r="R37" s="95" t="s">
        <v>69</v>
      </c>
      <c r="S37" s="95" t="s">
        <v>70</v>
      </c>
    </row>
    <row r="38" spans="1:19" x14ac:dyDescent="0.2">
      <c r="A38" s="95" t="s">
        <v>73</v>
      </c>
      <c r="B38" s="95" t="s">
        <v>69</v>
      </c>
      <c r="C38" s="95" t="s">
        <v>67</v>
      </c>
      <c r="D38" s="95" t="s">
        <v>81</v>
      </c>
      <c r="E38" s="95" t="s">
        <v>90</v>
      </c>
      <c r="F38" s="95">
        <v>6</v>
      </c>
      <c r="G38" s="95">
        <v>21</v>
      </c>
      <c r="I38" s="95">
        <v>1.26</v>
      </c>
      <c r="J38" s="95">
        <v>7.0000000000000001E-3</v>
      </c>
      <c r="K38" s="95">
        <v>0.27</v>
      </c>
      <c r="L38" s="95">
        <v>1.83</v>
      </c>
      <c r="O38" s="95">
        <v>999</v>
      </c>
      <c r="P38" s="95">
        <v>2023</v>
      </c>
      <c r="R38" s="95" t="s">
        <v>69</v>
      </c>
      <c r="S38" s="95" t="s">
        <v>70</v>
      </c>
    </row>
    <row r="39" spans="1:19" x14ac:dyDescent="0.2">
      <c r="A39" s="95" t="s">
        <v>73</v>
      </c>
      <c r="B39" s="95" t="s">
        <v>69</v>
      </c>
      <c r="C39" s="95" t="s">
        <v>67</v>
      </c>
      <c r="D39" s="95" t="s">
        <v>81</v>
      </c>
      <c r="E39" s="95" t="s">
        <v>90</v>
      </c>
      <c r="F39" s="95">
        <v>9</v>
      </c>
      <c r="G39" s="95">
        <v>30</v>
      </c>
      <c r="I39" s="95">
        <v>1.19</v>
      </c>
      <c r="J39" s="95">
        <v>6.0000000000000001E-3</v>
      </c>
      <c r="K39" s="95">
        <v>0.23</v>
      </c>
      <c r="L39" s="95">
        <v>1.68</v>
      </c>
      <c r="O39" s="95">
        <v>999</v>
      </c>
      <c r="P39" s="95">
        <v>2023</v>
      </c>
      <c r="R39" s="95" t="s">
        <v>69</v>
      </c>
      <c r="S39" s="95" t="s">
        <v>70</v>
      </c>
    </row>
    <row r="40" spans="1:19" x14ac:dyDescent="0.2">
      <c r="A40" s="95" t="s">
        <v>73</v>
      </c>
      <c r="B40" s="95" t="s">
        <v>69</v>
      </c>
      <c r="C40" s="95" t="s">
        <v>67</v>
      </c>
      <c r="D40" s="95" t="s">
        <v>68</v>
      </c>
      <c r="E40" s="95" t="s">
        <v>68</v>
      </c>
      <c r="F40" s="95">
        <v>3.5</v>
      </c>
      <c r="G40" s="95">
        <v>13</v>
      </c>
      <c r="I40" s="95">
        <v>0.59</v>
      </c>
      <c r="J40" s="95">
        <v>7.0000000000000001E-3</v>
      </c>
      <c r="K40" s="95">
        <v>0.27</v>
      </c>
      <c r="L40" s="95">
        <v>1.0900000000000001</v>
      </c>
      <c r="O40" s="95">
        <v>999</v>
      </c>
      <c r="P40" s="95">
        <v>2023</v>
      </c>
      <c r="R40" s="95" t="s">
        <v>69</v>
      </c>
      <c r="S40" s="95" t="s">
        <v>70</v>
      </c>
    </row>
    <row r="41" spans="1:19" x14ac:dyDescent="0.2">
      <c r="A41" s="95" t="s">
        <v>73</v>
      </c>
      <c r="B41" s="95" t="s">
        <v>69</v>
      </c>
      <c r="C41" s="95" t="s">
        <v>67</v>
      </c>
      <c r="D41" s="95" t="s">
        <v>68</v>
      </c>
      <c r="E41" s="95" t="s">
        <v>68</v>
      </c>
      <c r="F41" s="95">
        <v>3.5</v>
      </c>
      <c r="G41" s="95">
        <v>15</v>
      </c>
      <c r="I41" s="95">
        <v>0.92</v>
      </c>
      <c r="J41" s="95">
        <v>7.0000000000000001E-3</v>
      </c>
      <c r="K41" s="95">
        <v>0.27</v>
      </c>
      <c r="L41" s="95">
        <v>1.45</v>
      </c>
      <c r="O41" s="95">
        <v>999</v>
      </c>
      <c r="P41" s="95">
        <v>2023</v>
      </c>
      <c r="R41" s="95" t="s">
        <v>69</v>
      </c>
      <c r="S41" s="95" t="s">
        <v>70</v>
      </c>
    </row>
    <row r="42" spans="1:19" x14ac:dyDescent="0.2">
      <c r="A42" s="95" t="s">
        <v>73</v>
      </c>
      <c r="B42" s="95" t="s">
        <v>69</v>
      </c>
      <c r="C42" s="95" t="s">
        <v>67</v>
      </c>
      <c r="D42" s="95" t="s">
        <v>68</v>
      </c>
      <c r="E42" s="95" t="s">
        <v>68</v>
      </c>
      <c r="F42" s="95">
        <v>6</v>
      </c>
      <c r="G42" s="95">
        <v>19</v>
      </c>
      <c r="I42" s="95">
        <v>0.93</v>
      </c>
      <c r="J42" s="95">
        <v>6.0000000000000001E-3</v>
      </c>
      <c r="K42" s="95">
        <v>0.23</v>
      </c>
      <c r="L42" s="95">
        <v>1.39</v>
      </c>
      <c r="O42" s="95">
        <v>999</v>
      </c>
      <c r="P42" s="95">
        <v>2023</v>
      </c>
      <c r="R42" s="95" t="s">
        <v>69</v>
      </c>
      <c r="S42" s="95" t="s">
        <v>70</v>
      </c>
    </row>
    <row r="43" spans="1:19" x14ac:dyDescent="0.2">
      <c r="A43" s="95" t="s">
        <v>73</v>
      </c>
      <c r="B43" s="95" t="s">
        <v>69</v>
      </c>
      <c r="C43" s="95" t="s">
        <v>67</v>
      </c>
      <c r="D43" s="95" t="s">
        <v>68</v>
      </c>
      <c r="E43" s="95" t="s">
        <v>68</v>
      </c>
      <c r="F43" s="95">
        <v>9</v>
      </c>
      <c r="G43" s="95">
        <v>30</v>
      </c>
      <c r="I43" s="95">
        <v>1.5660000000000001</v>
      </c>
      <c r="J43" s="95">
        <v>7.0000000000000001E-3</v>
      </c>
      <c r="K43" s="95">
        <v>0.27</v>
      </c>
      <c r="L43" s="95">
        <v>2.16</v>
      </c>
      <c r="O43" s="95">
        <v>999</v>
      </c>
      <c r="P43" s="95">
        <v>2023</v>
      </c>
      <c r="R43" s="95" t="s">
        <v>69</v>
      </c>
      <c r="S43" s="95" t="s">
        <v>70</v>
      </c>
    </row>
    <row r="44" spans="1:19" x14ac:dyDescent="0.2">
      <c r="A44" s="95" t="s">
        <v>73</v>
      </c>
      <c r="B44" s="95" t="s">
        <v>69</v>
      </c>
      <c r="C44" s="95" t="s">
        <v>67</v>
      </c>
      <c r="D44" s="95" t="s">
        <v>68</v>
      </c>
      <c r="E44" s="95" t="s">
        <v>68</v>
      </c>
      <c r="F44" s="95">
        <v>12</v>
      </c>
      <c r="G44" s="95">
        <v>38</v>
      </c>
      <c r="I44" s="95">
        <v>1.82</v>
      </c>
      <c r="J44" s="95">
        <v>7.0000000000000001E-3</v>
      </c>
      <c r="K44" s="95">
        <v>0.27</v>
      </c>
      <c r="L44" s="95">
        <v>2.44</v>
      </c>
      <c r="O44" s="95">
        <v>999</v>
      </c>
      <c r="P44" s="95">
        <v>2023</v>
      </c>
      <c r="R44" s="95" t="s">
        <v>69</v>
      </c>
      <c r="S44" s="95" t="s">
        <v>70</v>
      </c>
    </row>
    <row r="45" spans="1:19" x14ac:dyDescent="0.2">
      <c r="A45" s="95" t="s">
        <v>73</v>
      </c>
      <c r="B45" s="95" t="s">
        <v>66</v>
      </c>
      <c r="C45" s="95" t="s">
        <v>91</v>
      </c>
      <c r="D45" s="95" t="s">
        <v>68</v>
      </c>
      <c r="E45" s="95" t="s">
        <v>68</v>
      </c>
      <c r="F45" s="95">
        <v>3.5</v>
      </c>
      <c r="G45" s="95">
        <v>15</v>
      </c>
      <c r="I45" s="95">
        <v>1.47</v>
      </c>
      <c r="J45" s="95">
        <v>5.0000000000000001E-3</v>
      </c>
      <c r="K45" s="95">
        <v>0.19</v>
      </c>
      <c r="L45" s="95">
        <v>1.93</v>
      </c>
      <c r="O45" s="95">
        <v>999</v>
      </c>
      <c r="P45" s="95">
        <v>2023</v>
      </c>
      <c r="R45" s="95" t="s">
        <v>92</v>
      </c>
      <c r="S45" s="95" t="s">
        <v>70</v>
      </c>
    </row>
    <row r="46" spans="1:19" x14ac:dyDescent="0.2">
      <c r="A46" s="95" t="s">
        <v>73</v>
      </c>
      <c r="B46" s="95" t="s">
        <v>66</v>
      </c>
      <c r="C46" s="95" t="s">
        <v>91</v>
      </c>
      <c r="D46" s="95" t="s">
        <v>68</v>
      </c>
      <c r="E46" s="95" t="s">
        <v>68</v>
      </c>
      <c r="F46" s="95">
        <v>5.5</v>
      </c>
      <c r="G46" s="95">
        <v>23</v>
      </c>
      <c r="I46" s="95">
        <v>2.31</v>
      </c>
      <c r="J46" s="95">
        <v>5.0000000000000001E-3</v>
      </c>
      <c r="K46" s="95">
        <v>0.19</v>
      </c>
      <c r="L46" s="95">
        <v>2.85</v>
      </c>
      <c r="O46" s="95">
        <v>999</v>
      </c>
      <c r="P46" s="95">
        <v>2023</v>
      </c>
      <c r="R46" s="95" t="s">
        <v>92</v>
      </c>
      <c r="S46" s="95" t="s">
        <v>70</v>
      </c>
    </row>
    <row r="47" spans="1:19" x14ac:dyDescent="0.2">
      <c r="A47" s="95" t="s">
        <v>73</v>
      </c>
      <c r="B47" s="95" t="s">
        <v>66</v>
      </c>
      <c r="C47" s="95" t="s">
        <v>91</v>
      </c>
      <c r="D47" s="95" t="s">
        <v>68</v>
      </c>
      <c r="E47" s="95" t="s">
        <v>68</v>
      </c>
      <c r="F47" s="95">
        <v>7.25</v>
      </c>
      <c r="G47" s="95">
        <v>30</v>
      </c>
      <c r="I47" s="95">
        <v>3.05</v>
      </c>
      <c r="J47" s="95">
        <v>6.0000000000000001E-3</v>
      </c>
      <c r="K47" s="95">
        <v>0.23</v>
      </c>
      <c r="L47" s="95">
        <v>3.72</v>
      </c>
      <c r="O47" s="95">
        <v>999</v>
      </c>
      <c r="P47" s="95">
        <v>2023</v>
      </c>
      <c r="R47" s="95" t="s">
        <v>92</v>
      </c>
      <c r="S47" s="95" t="s">
        <v>70</v>
      </c>
    </row>
    <row r="48" spans="1:19" x14ac:dyDescent="0.2">
      <c r="A48" s="95" t="s">
        <v>73</v>
      </c>
      <c r="B48" s="95" t="s">
        <v>66</v>
      </c>
      <c r="C48" s="95" t="s">
        <v>91</v>
      </c>
      <c r="D48" s="95" t="s">
        <v>68</v>
      </c>
      <c r="E48" s="95" t="s">
        <v>68</v>
      </c>
      <c r="G48" s="95">
        <v>13</v>
      </c>
      <c r="I48" s="95">
        <v>1.02</v>
      </c>
      <c r="J48" s="95">
        <v>5.0000000000000001E-3</v>
      </c>
      <c r="K48" s="95">
        <v>0.19</v>
      </c>
      <c r="L48" s="95">
        <v>1.43</v>
      </c>
      <c r="O48" s="95">
        <v>999</v>
      </c>
      <c r="P48" s="95">
        <v>2023</v>
      </c>
      <c r="R48" s="95" t="s">
        <v>92</v>
      </c>
      <c r="S48" s="95" t="s">
        <v>70</v>
      </c>
    </row>
    <row r="49" spans="1:19" x14ac:dyDescent="0.2">
      <c r="A49" s="95" t="s">
        <v>73</v>
      </c>
      <c r="B49" s="95" t="s">
        <v>66</v>
      </c>
      <c r="C49" s="95" t="s">
        <v>91</v>
      </c>
      <c r="D49" s="95" t="s">
        <v>68</v>
      </c>
      <c r="E49" s="95" t="s">
        <v>68</v>
      </c>
      <c r="G49" s="95">
        <v>19</v>
      </c>
      <c r="I49" s="95">
        <v>1.49</v>
      </c>
      <c r="J49" s="95">
        <v>5.0000000000000001E-3</v>
      </c>
      <c r="K49" s="95">
        <v>0.19</v>
      </c>
      <c r="L49" s="95">
        <v>1.95</v>
      </c>
      <c r="O49" s="95">
        <v>999</v>
      </c>
      <c r="P49" s="95">
        <v>2023</v>
      </c>
      <c r="R49" s="95" t="s">
        <v>92</v>
      </c>
      <c r="S49" s="95" t="s">
        <v>70</v>
      </c>
    </row>
    <row r="50" spans="1:19" x14ac:dyDescent="0.2">
      <c r="A50" s="95" t="s">
        <v>76</v>
      </c>
      <c r="B50" s="95" t="s">
        <v>66</v>
      </c>
      <c r="C50" s="95" t="s">
        <v>93</v>
      </c>
      <c r="D50" s="95" t="s">
        <v>68</v>
      </c>
      <c r="E50" s="95" t="s">
        <v>94</v>
      </c>
      <c r="F50" s="95">
        <v>4</v>
      </c>
      <c r="G50" s="95">
        <v>3.8</v>
      </c>
      <c r="I50" s="95">
        <v>0.17</v>
      </c>
      <c r="J50" s="95">
        <v>8.0000000000000002E-3</v>
      </c>
      <c r="K50" s="95">
        <v>0.31</v>
      </c>
      <c r="L50" s="95">
        <v>0.69</v>
      </c>
      <c r="O50" s="95">
        <v>999</v>
      </c>
      <c r="P50" s="95">
        <v>2023</v>
      </c>
      <c r="R50" s="95" t="s">
        <v>92</v>
      </c>
      <c r="S50" s="95" t="s">
        <v>70</v>
      </c>
    </row>
    <row r="51" spans="1:19" x14ac:dyDescent="0.2">
      <c r="A51" s="95" t="s">
        <v>76</v>
      </c>
      <c r="B51" s="95" t="s">
        <v>66</v>
      </c>
      <c r="C51" s="95" t="s">
        <v>93</v>
      </c>
      <c r="D51" s="95" t="s">
        <v>68</v>
      </c>
      <c r="E51" s="95" t="s">
        <v>94</v>
      </c>
      <c r="F51" s="95">
        <v>6</v>
      </c>
      <c r="G51" s="95">
        <v>3.8</v>
      </c>
      <c r="I51" s="95">
        <v>0.28999999999999998</v>
      </c>
      <c r="J51" s="95">
        <v>0.01</v>
      </c>
      <c r="K51" s="95">
        <v>0.39</v>
      </c>
      <c r="L51" s="95">
        <v>0.95</v>
      </c>
      <c r="O51" s="95">
        <v>999</v>
      </c>
      <c r="P51" s="95">
        <v>2023</v>
      </c>
      <c r="R51" s="95" t="s">
        <v>92</v>
      </c>
      <c r="S51" s="95" t="s">
        <v>70</v>
      </c>
    </row>
    <row r="52" spans="1:19" x14ac:dyDescent="0.2">
      <c r="A52" s="95" t="s">
        <v>76</v>
      </c>
      <c r="B52" s="95" t="s">
        <v>66</v>
      </c>
      <c r="C52" s="95" t="s">
        <v>67</v>
      </c>
      <c r="D52" s="95" t="s">
        <v>68</v>
      </c>
      <c r="E52" s="95" t="s">
        <v>94</v>
      </c>
      <c r="F52" s="95">
        <v>4</v>
      </c>
      <c r="G52" s="95">
        <v>4</v>
      </c>
      <c r="I52" s="95">
        <v>0.25</v>
      </c>
      <c r="J52" s="95">
        <v>1.2999999999999999E-2</v>
      </c>
      <c r="K52" s="95">
        <v>0.52</v>
      </c>
      <c r="L52" s="95">
        <v>1.1100000000000001</v>
      </c>
      <c r="O52" s="95">
        <v>999</v>
      </c>
      <c r="P52" s="95">
        <v>2023</v>
      </c>
      <c r="R52" s="95" t="s">
        <v>92</v>
      </c>
      <c r="S52" s="95" t="s">
        <v>70</v>
      </c>
    </row>
    <row r="53" spans="1:19" x14ac:dyDescent="0.2">
      <c r="A53" s="95" t="s">
        <v>76</v>
      </c>
      <c r="B53" s="95" t="s">
        <v>66</v>
      </c>
      <c r="C53" s="95" t="s">
        <v>67</v>
      </c>
      <c r="D53" s="95" t="s">
        <v>68</v>
      </c>
      <c r="E53" s="95" t="s">
        <v>94</v>
      </c>
      <c r="F53" s="95">
        <v>6</v>
      </c>
      <c r="G53" s="95">
        <v>4</v>
      </c>
      <c r="I53" s="95">
        <v>0.35</v>
      </c>
      <c r="J53" s="95">
        <v>0.02</v>
      </c>
      <c r="K53" s="95">
        <v>0.77</v>
      </c>
      <c r="L53" s="95">
        <v>1.64</v>
      </c>
      <c r="O53" s="95">
        <v>999</v>
      </c>
      <c r="P53" s="95">
        <v>2023</v>
      </c>
      <c r="R53" s="95" t="s">
        <v>92</v>
      </c>
      <c r="S53" s="95" t="s">
        <v>70</v>
      </c>
    </row>
    <row r="54" spans="1:19" x14ac:dyDescent="0.2">
      <c r="A54" s="95" t="s">
        <v>76</v>
      </c>
      <c r="B54" s="95" t="s">
        <v>66</v>
      </c>
      <c r="C54" s="95" t="s">
        <v>91</v>
      </c>
      <c r="D54" s="95" t="s">
        <v>68</v>
      </c>
      <c r="E54" s="95" t="s">
        <v>94</v>
      </c>
      <c r="F54" s="95">
        <v>4</v>
      </c>
      <c r="G54" s="95">
        <v>3</v>
      </c>
      <c r="I54" s="95">
        <v>0.3</v>
      </c>
      <c r="J54" s="95">
        <v>1.2999999999999999E-2</v>
      </c>
      <c r="K54" s="95">
        <v>0.52</v>
      </c>
      <c r="L54" s="95">
        <v>1.17</v>
      </c>
      <c r="O54" s="95">
        <v>999</v>
      </c>
      <c r="P54" s="95">
        <v>2023</v>
      </c>
      <c r="R54" s="95" t="s">
        <v>92</v>
      </c>
      <c r="S54" s="95" t="s">
        <v>70</v>
      </c>
    </row>
    <row r="55" spans="1:19" x14ac:dyDescent="0.2">
      <c r="A55" s="95" t="s">
        <v>76</v>
      </c>
      <c r="B55" s="95" t="s">
        <v>66</v>
      </c>
      <c r="C55" s="95" t="s">
        <v>91</v>
      </c>
      <c r="D55" s="95" t="s">
        <v>68</v>
      </c>
      <c r="E55" s="95" t="s">
        <v>94</v>
      </c>
      <c r="F55" s="95">
        <v>6</v>
      </c>
      <c r="G55" s="95">
        <v>3</v>
      </c>
      <c r="I55" s="95">
        <v>0.45</v>
      </c>
      <c r="J55" s="95">
        <v>0.02</v>
      </c>
      <c r="K55" s="95">
        <v>0.77</v>
      </c>
      <c r="L55" s="95">
        <v>1.76</v>
      </c>
      <c r="O55" s="95">
        <v>999</v>
      </c>
      <c r="P55" s="95">
        <v>2023</v>
      </c>
      <c r="R55" s="95" t="s">
        <v>92</v>
      </c>
      <c r="S55" s="95" t="s">
        <v>70</v>
      </c>
    </row>
    <row r="56" spans="1:19" x14ac:dyDescent="0.2">
      <c r="A56" s="95" t="s">
        <v>76</v>
      </c>
      <c r="B56" s="95" t="s">
        <v>66</v>
      </c>
      <c r="C56" s="95" t="s">
        <v>95</v>
      </c>
      <c r="D56" s="95" t="s">
        <v>68</v>
      </c>
      <c r="E56" s="95" t="s">
        <v>94</v>
      </c>
      <c r="F56" s="95">
        <v>4</v>
      </c>
      <c r="G56" s="95">
        <v>4</v>
      </c>
      <c r="I56" s="95">
        <v>0.63</v>
      </c>
      <c r="J56" s="95">
        <v>1.2999999999999999E-2</v>
      </c>
      <c r="K56" s="95">
        <v>0.52</v>
      </c>
      <c r="L56" s="95">
        <v>1.54</v>
      </c>
      <c r="O56" s="95">
        <v>999</v>
      </c>
      <c r="P56" s="95">
        <v>2023</v>
      </c>
      <c r="R56" s="95" t="s">
        <v>92</v>
      </c>
      <c r="S56" s="95" t="s">
        <v>70</v>
      </c>
    </row>
    <row r="57" spans="1:19" x14ac:dyDescent="0.2">
      <c r="A57" s="95" t="s">
        <v>76</v>
      </c>
      <c r="B57" s="95" t="s">
        <v>66</v>
      </c>
      <c r="C57" s="95" t="s">
        <v>95</v>
      </c>
      <c r="D57" s="95" t="s">
        <v>68</v>
      </c>
      <c r="E57" s="95" t="s">
        <v>94</v>
      </c>
      <c r="F57" s="95">
        <v>6</v>
      </c>
      <c r="G57" s="95">
        <v>4</v>
      </c>
      <c r="I57" s="95">
        <v>0.96</v>
      </c>
      <c r="J57" s="95">
        <v>0.02</v>
      </c>
      <c r="K57" s="95">
        <v>0.77</v>
      </c>
      <c r="L57" s="95">
        <v>1.54</v>
      </c>
      <c r="O57" s="95">
        <v>999</v>
      </c>
      <c r="P57" s="95">
        <v>2023</v>
      </c>
      <c r="R57" s="95" t="s">
        <v>92</v>
      </c>
      <c r="S57" s="95" t="s">
        <v>70</v>
      </c>
    </row>
    <row r="58" spans="1:19" x14ac:dyDescent="0.2">
      <c r="A58" s="95" t="s">
        <v>76</v>
      </c>
      <c r="B58" s="95" t="s">
        <v>66</v>
      </c>
      <c r="C58" s="95" t="s">
        <v>96</v>
      </c>
      <c r="D58" s="95" t="s">
        <v>68</v>
      </c>
      <c r="E58" s="95" t="s">
        <v>94</v>
      </c>
      <c r="F58" s="95">
        <v>4</v>
      </c>
      <c r="G58" s="95">
        <v>2.78</v>
      </c>
      <c r="I58" s="95">
        <v>1.05</v>
      </c>
      <c r="J58" s="95">
        <v>8.0000000000000002E-3</v>
      </c>
      <c r="K58" s="95">
        <v>0.31</v>
      </c>
      <c r="L58" s="95">
        <v>1.65</v>
      </c>
      <c r="O58" s="95">
        <v>999</v>
      </c>
      <c r="P58" s="95">
        <v>2023</v>
      </c>
      <c r="R58" s="95" t="s">
        <v>92</v>
      </c>
      <c r="S58" s="95" t="s">
        <v>70</v>
      </c>
    </row>
    <row r="59" spans="1:19" x14ac:dyDescent="0.2">
      <c r="A59" s="95" t="s">
        <v>76</v>
      </c>
      <c r="B59" s="95" t="s">
        <v>66</v>
      </c>
      <c r="C59" s="95" t="s">
        <v>96</v>
      </c>
      <c r="D59" s="95" t="s">
        <v>68</v>
      </c>
      <c r="E59" s="95" t="s">
        <v>94</v>
      </c>
      <c r="F59" s="95">
        <v>6</v>
      </c>
      <c r="G59" s="95">
        <v>2.78</v>
      </c>
      <c r="I59" s="95">
        <v>1.58</v>
      </c>
      <c r="J59" s="95">
        <v>0.01</v>
      </c>
      <c r="K59" s="95">
        <v>0.39</v>
      </c>
      <c r="L59" s="95">
        <v>2.36</v>
      </c>
      <c r="O59" s="95">
        <v>999</v>
      </c>
      <c r="P59" s="95">
        <v>2023</v>
      </c>
      <c r="R59" s="95" t="s">
        <v>92</v>
      </c>
      <c r="S59" s="95" t="s">
        <v>70</v>
      </c>
    </row>
    <row r="60" spans="1:19" x14ac:dyDescent="0.2">
      <c r="A60" s="95" t="s">
        <v>97</v>
      </c>
      <c r="B60" s="95" t="s">
        <v>66</v>
      </c>
      <c r="C60" s="95" t="s">
        <v>98</v>
      </c>
      <c r="D60" s="95" t="s">
        <v>68</v>
      </c>
      <c r="E60" s="95" t="s">
        <v>94</v>
      </c>
      <c r="F60" s="95">
        <v>1</v>
      </c>
      <c r="G60" s="95">
        <v>6.5</v>
      </c>
      <c r="I60" s="95">
        <v>0.86</v>
      </c>
      <c r="J60" s="95">
        <v>4.0000000000000001E-3</v>
      </c>
      <c r="K60" s="95">
        <v>0.12</v>
      </c>
      <c r="L60" s="95">
        <v>1.28</v>
      </c>
      <c r="O60" s="95">
        <v>999</v>
      </c>
      <c r="P60" s="95">
        <v>2023</v>
      </c>
      <c r="R60" s="95" t="s">
        <v>92</v>
      </c>
      <c r="S60" s="95" t="s">
        <v>70</v>
      </c>
    </row>
    <row r="61" spans="1:19" x14ac:dyDescent="0.2">
      <c r="A61" s="95" t="s">
        <v>97</v>
      </c>
      <c r="B61" s="95" t="s">
        <v>66</v>
      </c>
      <c r="C61" s="95" t="s">
        <v>98</v>
      </c>
      <c r="D61" s="95" t="s">
        <v>68</v>
      </c>
      <c r="E61" s="95" t="s">
        <v>94</v>
      </c>
      <c r="F61" s="95">
        <v>2</v>
      </c>
      <c r="G61" s="95">
        <v>13</v>
      </c>
      <c r="I61" s="95">
        <v>1.73</v>
      </c>
      <c r="J61" s="95">
        <v>8.0000000000000002E-3</v>
      </c>
      <c r="K61" s="95">
        <v>0.24</v>
      </c>
      <c r="L61" s="95">
        <v>2.57</v>
      </c>
      <c r="O61" s="95">
        <v>999</v>
      </c>
      <c r="P61" s="95">
        <v>2023</v>
      </c>
      <c r="R61" s="95" t="s">
        <v>92</v>
      </c>
      <c r="S61" s="95" t="s">
        <v>70</v>
      </c>
    </row>
    <row r="62" spans="1:19" x14ac:dyDescent="0.2">
      <c r="A62" s="95" t="s">
        <v>97</v>
      </c>
      <c r="B62" s="95" t="s">
        <v>66</v>
      </c>
      <c r="C62" s="95" t="s">
        <v>98</v>
      </c>
      <c r="D62" s="95" t="s">
        <v>68</v>
      </c>
      <c r="E62" s="95" t="s">
        <v>94</v>
      </c>
      <c r="F62" s="95">
        <v>3</v>
      </c>
      <c r="G62" s="95">
        <v>19.5</v>
      </c>
      <c r="I62" s="95">
        <v>2.59</v>
      </c>
      <c r="J62" s="95">
        <v>1.2E-2</v>
      </c>
      <c r="K62" s="95">
        <v>0.35</v>
      </c>
      <c r="L62" s="95">
        <v>3.85</v>
      </c>
      <c r="O62" s="95">
        <v>999</v>
      </c>
      <c r="P62" s="95">
        <v>2023</v>
      </c>
      <c r="R62" s="95" t="s">
        <v>92</v>
      </c>
      <c r="S62" s="95" t="s">
        <v>70</v>
      </c>
    </row>
    <row r="63" spans="1:19" x14ac:dyDescent="0.2">
      <c r="A63" s="95" t="s">
        <v>97</v>
      </c>
      <c r="B63" s="95" t="s">
        <v>66</v>
      </c>
      <c r="C63" s="95" t="s">
        <v>98</v>
      </c>
      <c r="D63" s="95" t="s">
        <v>68</v>
      </c>
      <c r="E63" s="95" t="s">
        <v>94</v>
      </c>
      <c r="F63" s="95">
        <v>3.5</v>
      </c>
      <c r="G63" s="95">
        <v>22.75</v>
      </c>
      <c r="I63" s="95">
        <v>3.02</v>
      </c>
      <c r="J63" s="95">
        <v>1.4E-2</v>
      </c>
      <c r="K63" s="95">
        <v>0.41</v>
      </c>
      <c r="L63" s="95">
        <v>4.4800000000000004</v>
      </c>
      <c r="O63" s="95">
        <v>999</v>
      </c>
      <c r="P63" s="95">
        <v>2023</v>
      </c>
      <c r="R63" s="95" t="s">
        <v>92</v>
      </c>
      <c r="S63" s="95" t="s">
        <v>70</v>
      </c>
    </row>
    <row r="64" spans="1:19" x14ac:dyDescent="0.2">
      <c r="A64" s="95" t="s">
        <v>97</v>
      </c>
      <c r="B64" s="95" t="s">
        <v>66</v>
      </c>
      <c r="C64" s="95" t="s">
        <v>98</v>
      </c>
      <c r="D64" s="95" t="s">
        <v>68</v>
      </c>
      <c r="E64" s="95" t="s">
        <v>94</v>
      </c>
      <c r="F64" s="95">
        <v>4</v>
      </c>
      <c r="G64" s="95">
        <v>26</v>
      </c>
      <c r="I64" s="95">
        <v>3.45</v>
      </c>
      <c r="J64" s="95">
        <v>1.6E-2</v>
      </c>
      <c r="K64" s="95">
        <v>0.47</v>
      </c>
      <c r="L64" s="95">
        <v>5.13</v>
      </c>
      <c r="O64" s="95">
        <v>999</v>
      </c>
      <c r="P64" s="95">
        <v>2023</v>
      </c>
      <c r="R64" s="95" t="s">
        <v>92</v>
      </c>
      <c r="S64" s="95" t="s">
        <v>70</v>
      </c>
    </row>
    <row r="65" spans="1:20" x14ac:dyDescent="0.2">
      <c r="A65" s="95" t="s">
        <v>97</v>
      </c>
      <c r="B65" s="95" t="s">
        <v>66</v>
      </c>
      <c r="C65" s="95" t="s">
        <v>98</v>
      </c>
      <c r="D65" s="95" t="s">
        <v>68</v>
      </c>
      <c r="E65" s="95" t="s">
        <v>94</v>
      </c>
      <c r="F65" s="95">
        <v>5</v>
      </c>
      <c r="G65" s="95">
        <v>32.5</v>
      </c>
      <c r="I65" s="95">
        <v>4.3099999999999996</v>
      </c>
      <c r="J65" s="95">
        <v>0.02</v>
      </c>
      <c r="K65" s="95">
        <v>0.59</v>
      </c>
      <c r="L65" s="95">
        <v>6.4</v>
      </c>
      <c r="O65" s="95">
        <v>999</v>
      </c>
      <c r="P65" s="95">
        <v>2023</v>
      </c>
      <c r="R65" s="95" t="s">
        <v>92</v>
      </c>
      <c r="S65" s="95" t="s">
        <v>70</v>
      </c>
    </row>
    <row r="66" spans="1:20" x14ac:dyDescent="0.2">
      <c r="A66" s="95" t="s">
        <v>97</v>
      </c>
      <c r="B66" s="95" t="s">
        <v>66</v>
      </c>
      <c r="C66" s="95" t="s">
        <v>98</v>
      </c>
      <c r="D66" s="95" t="s">
        <v>68</v>
      </c>
      <c r="E66" s="95" t="s">
        <v>94</v>
      </c>
      <c r="F66" s="95">
        <v>5.5</v>
      </c>
      <c r="G66" s="95">
        <v>35.75</v>
      </c>
      <c r="I66" s="95">
        <v>4.74</v>
      </c>
      <c r="J66" s="95">
        <v>2.1999999999999999E-2</v>
      </c>
      <c r="K66" s="95">
        <v>0.65</v>
      </c>
      <c r="L66" s="95">
        <v>7.03</v>
      </c>
      <c r="O66" s="95">
        <v>999</v>
      </c>
      <c r="P66" s="95">
        <v>2023</v>
      </c>
      <c r="R66" s="95" t="s">
        <v>92</v>
      </c>
      <c r="S66" s="95" t="s">
        <v>70</v>
      </c>
    </row>
    <row r="67" spans="1:20" x14ac:dyDescent="0.2">
      <c r="A67" s="95" t="s">
        <v>97</v>
      </c>
      <c r="B67" s="95" t="s">
        <v>66</v>
      </c>
      <c r="C67" s="95" t="s">
        <v>98</v>
      </c>
      <c r="D67" s="95" t="s">
        <v>68</v>
      </c>
      <c r="E67" s="95" t="s">
        <v>94</v>
      </c>
      <c r="F67" s="95">
        <v>6</v>
      </c>
      <c r="G67" s="95">
        <v>39</v>
      </c>
      <c r="I67" s="95">
        <v>5.2</v>
      </c>
      <c r="J67" s="95">
        <v>2.4E-2</v>
      </c>
      <c r="K67" s="95">
        <v>0.71</v>
      </c>
      <c r="L67" s="95">
        <v>7.69</v>
      </c>
      <c r="O67" s="95">
        <v>999</v>
      </c>
      <c r="P67" s="95">
        <v>2023</v>
      </c>
      <c r="R67" s="95" t="s">
        <v>92</v>
      </c>
      <c r="S67" s="95" t="s">
        <v>70</v>
      </c>
    </row>
    <row r="68" spans="1:20" x14ac:dyDescent="0.2">
      <c r="A68" s="95" t="s">
        <v>73</v>
      </c>
      <c r="B68" s="95" t="s">
        <v>66</v>
      </c>
      <c r="C68" s="95" t="s">
        <v>67</v>
      </c>
      <c r="D68" s="95" t="s">
        <v>81</v>
      </c>
      <c r="G68" s="95">
        <v>15</v>
      </c>
      <c r="I68" s="95">
        <v>0.79</v>
      </c>
      <c r="P68" s="95">
        <v>2023</v>
      </c>
      <c r="S68" s="95" t="s">
        <v>99</v>
      </c>
      <c r="T68" s="95" t="s">
        <v>100</v>
      </c>
    </row>
    <row r="69" spans="1:20" x14ac:dyDescent="0.2">
      <c r="A69" s="95" t="s">
        <v>73</v>
      </c>
      <c r="B69" s="95" t="s">
        <v>66</v>
      </c>
      <c r="C69" s="95" t="s">
        <v>67</v>
      </c>
      <c r="D69" s="95" t="s">
        <v>81</v>
      </c>
      <c r="G69" s="95">
        <v>21</v>
      </c>
      <c r="I69" s="95">
        <v>0.87</v>
      </c>
      <c r="P69" s="95">
        <v>2023</v>
      </c>
      <c r="S69" s="95" t="s">
        <v>99</v>
      </c>
      <c r="T69" s="95" t="s">
        <v>101</v>
      </c>
    </row>
    <row r="70" spans="1:20" x14ac:dyDescent="0.2">
      <c r="A70" s="95" t="s">
        <v>73</v>
      </c>
      <c r="B70" s="95" t="s">
        <v>66</v>
      </c>
      <c r="C70" s="95" t="s">
        <v>91</v>
      </c>
      <c r="G70" s="95">
        <v>13</v>
      </c>
      <c r="I70" s="95">
        <v>1.38</v>
      </c>
      <c r="P70" s="95">
        <v>2023</v>
      </c>
      <c r="S70" s="95" t="s">
        <v>99</v>
      </c>
      <c r="T70" s="95" t="s">
        <v>102</v>
      </c>
    </row>
    <row r="71" spans="1:20" x14ac:dyDescent="0.2">
      <c r="A71" s="95" t="s">
        <v>73</v>
      </c>
      <c r="B71" s="95" t="s">
        <v>66</v>
      </c>
      <c r="C71" s="95" t="s">
        <v>67</v>
      </c>
      <c r="D71" s="95" t="s">
        <v>81</v>
      </c>
      <c r="G71" s="95">
        <v>30</v>
      </c>
      <c r="I71" s="95">
        <v>1.08</v>
      </c>
      <c r="P71" s="95">
        <v>2023</v>
      </c>
      <c r="S71" s="95" t="s">
        <v>99</v>
      </c>
      <c r="T71" s="95" t="s">
        <v>103</v>
      </c>
    </row>
    <row r="72" spans="1:20" x14ac:dyDescent="0.2">
      <c r="A72" s="95" t="s">
        <v>73</v>
      </c>
      <c r="B72" s="95" t="s">
        <v>66</v>
      </c>
      <c r="C72" s="95" t="s">
        <v>67</v>
      </c>
      <c r="D72" s="95" t="s">
        <v>81</v>
      </c>
      <c r="G72" s="95">
        <v>38</v>
      </c>
      <c r="I72" s="95">
        <v>1.31</v>
      </c>
      <c r="P72" s="95">
        <v>2023</v>
      </c>
      <c r="S72" s="95" t="s">
        <v>99</v>
      </c>
      <c r="T72" s="95" t="s">
        <v>104</v>
      </c>
    </row>
    <row r="73" spans="1:20" x14ac:dyDescent="0.2">
      <c r="A73" s="95" t="s">
        <v>73</v>
      </c>
      <c r="B73" s="95" t="s">
        <v>66</v>
      </c>
      <c r="C73" s="95" t="s">
        <v>67</v>
      </c>
      <c r="D73" s="95" t="s">
        <v>81</v>
      </c>
      <c r="G73" s="95">
        <v>19</v>
      </c>
      <c r="I73" s="95">
        <v>0.73</v>
      </c>
      <c r="P73" s="95">
        <v>2023</v>
      </c>
      <c r="S73" s="95" t="s">
        <v>99</v>
      </c>
      <c r="T73" s="95" t="s">
        <v>105</v>
      </c>
    </row>
    <row r="74" spans="1:20" x14ac:dyDescent="0.2">
      <c r="A74" s="95" t="s">
        <v>73</v>
      </c>
      <c r="B74" s="95" t="s">
        <v>66</v>
      </c>
      <c r="C74" s="95" t="s">
        <v>91</v>
      </c>
      <c r="G74" s="95">
        <v>15</v>
      </c>
      <c r="I74" s="95">
        <v>1.58</v>
      </c>
      <c r="P74" s="95">
        <v>2023</v>
      </c>
      <c r="S74" s="95" t="s">
        <v>99</v>
      </c>
      <c r="T74" s="95" t="s">
        <v>106</v>
      </c>
    </row>
    <row r="75" spans="1:20" x14ac:dyDescent="0.2">
      <c r="A75" s="95" t="s">
        <v>73</v>
      </c>
      <c r="B75" s="95" t="s">
        <v>66</v>
      </c>
      <c r="C75" s="95" t="s">
        <v>67</v>
      </c>
      <c r="D75" s="95" t="s">
        <v>81</v>
      </c>
      <c r="G75" s="95">
        <v>13</v>
      </c>
      <c r="I75" s="95">
        <v>0.56999999999999995</v>
      </c>
      <c r="P75" s="95">
        <v>2023</v>
      </c>
      <c r="S75" s="95" t="s">
        <v>99</v>
      </c>
      <c r="T75" s="95" t="s">
        <v>107</v>
      </c>
    </row>
    <row r="76" spans="1:20" x14ac:dyDescent="0.2">
      <c r="A76" s="95" t="s">
        <v>73</v>
      </c>
      <c r="B76" s="95" t="s">
        <v>66</v>
      </c>
      <c r="C76" s="95" t="s">
        <v>67</v>
      </c>
      <c r="D76" s="95" t="s">
        <v>81</v>
      </c>
      <c r="G76" s="95">
        <v>13</v>
      </c>
      <c r="I76" s="95">
        <v>0.56999999999999995</v>
      </c>
      <c r="P76" s="95">
        <v>2023</v>
      </c>
      <c r="S76" s="95" t="s">
        <v>99</v>
      </c>
      <c r="T76" s="95" t="s">
        <v>108</v>
      </c>
    </row>
    <row r="77" spans="1:20" x14ac:dyDescent="0.2">
      <c r="A77" s="95" t="s">
        <v>73</v>
      </c>
      <c r="B77" s="95" t="s">
        <v>66</v>
      </c>
      <c r="C77" s="95" t="s">
        <v>67</v>
      </c>
      <c r="D77" s="95" t="s">
        <v>81</v>
      </c>
      <c r="G77" s="95">
        <v>13</v>
      </c>
      <c r="I77" s="95">
        <v>0.56999999999999995</v>
      </c>
      <c r="P77" s="95">
        <v>2023</v>
      </c>
      <c r="S77" s="95" t="s">
        <v>99</v>
      </c>
      <c r="T77" s="95" t="s">
        <v>109</v>
      </c>
    </row>
    <row r="78" spans="1:20" x14ac:dyDescent="0.2">
      <c r="A78" s="95" t="s">
        <v>73</v>
      </c>
      <c r="B78" s="95" t="s">
        <v>66</v>
      </c>
      <c r="C78" s="95" t="s">
        <v>91</v>
      </c>
      <c r="G78" s="95">
        <v>15</v>
      </c>
      <c r="I78" s="95">
        <v>1.31</v>
      </c>
      <c r="P78" s="95">
        <v>2023</v>
      </c>
      <c r="S78" s="95" t="s">
        <v>99</v>
      </c>
      <c r="T78" s="95" t="s">
        <v>110</v>
      </c>
    </row>
    <row r="79" spans="1:20" x14ac:dyDescent="0.2">
      <c r="A79" s="95" t="s">
        <v>73</v>
      </c>
      <c r="B79" s="95" t="s">
        <v>66</v>
      </c>
      <c r="C79" s="95" t="s">
        <v>67</v>
      </c>
      <c r="D79" s="95" t="s">
        <v>68</v>
      </c>
      <c r="G79" s="95">
        <v>13</v>
      </c>
      <c r="I79" s="95">
        <v>0.49</v>
      </c>
      <c r="P79" s="95">
        <v>2023</v>
      </c>
      <c r="S79" s="95" t="s">
        <v>99</v>
      </c>
      <c r="T79" s="95" t="s">
        <v>111</v>
      </c>
    </row>
    <row r="80" spans="1:20" x14ac:dyDescent="0.2">
      <c r="A80" s="95" t="s">
        <v>73</v>
      </c>
      <c r="B80" s="95" t="s">
        <v>66</v>
      </c>
      <c r="C80" s="95" t="s">
        <v>67</v>
      </c>
      <c r="D80" s="95" t="s">
        <v>81</v>
      </c>
      <c r="G80" s="95">
        <v>19</v>
      </c>
      <c r="I80" s="95">
        <v>0.99</v>
      </c>
      <c r="P80" s="95">
        <v>2023</v>
      </c>
      <c r="S80" s="95" t="s">
        <v>99</v>
      </c>
      <c r="T80" s="95" t="s">
        <v>112</v>
      </c>
    </row>
    <row r="81" spans="1:20" x14ac:dyDescent="0.2">
      <c r="A81" s="95" t="s">
        <v>73</v>
      </c>
      <c r="B81" s="95" t="s">
        <v>66</v>
      </c>
      <c r="C81" s="95" t="s">
        <v>67</v>
      </c>
      <c r="D81" s="95" t="s">
        <v>68</v>
      </c>
      <c r="G81" s="95">
        <v>19</v>
      </c>
      <c r="I81" s="95">
        <v>0.66</v>
      </c>
      <c r="P81" s="95">
        <v>2023</v>
      </c>
      <c r="S81" s="95" t="s">
        <v>99</v>
      </c>
      <c r="T81" s="95" t="s">
        <v>113</v>
      </c>
    </row>
    <row r="82" spans="1:20" x14ac:dyDescent="0.2">
      <c r="A82" s="95" t="s">
        <v>73</v>
      </c>
      <c r="B82" s="95" t="s">
        <v>66</v>
      </c>
      <c r="C82" s="95" t="s">
        <v>67</v>
      </c>
      <c r="D82" s="95" t="s">
        <v>68</v>
      </c>
      <c r="G82" s="95">
        <v>19</v>
      </c>
      <c r="I82" s="95">
        <v>7.52</v>
      </c>
      <c r="P82" s="95">
        <v>2023</v>
      </c>
      <c r="S82" s="95" t="s">
        <v>99</v>
      </c>
      <c r="T82" s="95" t="s">
        <v>114</v>
      </c>
    </row>
    <row r="83" spans="1:20" x14ac:dyDescent="0.2">
      <c r="A83" s="95" t="s">
        <v>73</v>
      </c>
      <c r="B83" s="95" t="s">
        <v>66</v>
      </c>
      <c r="C83" s="95" t="s">
        <v>67</v>
      </c>
      <c r="D83" s="95" t="s">
        <v>81</v>
      </c>
      <c r="G83" s="95">
        <v>49</v>
      </c>
      <c r="I83" s="95">
        <v>2.56</v>
      </c>
      <c r="P83" s="95">
        <v>2023</v>
      </c>
      <c r="S83" s="95" t="s">
        <v>99</v>
      </c>
      <c r="T83" s="95" t="s">
        <v>115</v>
      </c>
    </row>
    <row r="84" spans="1:20" x14ac:dyDescent="0.2">
      <c r="A84" s="95" t="s">
        <v>73</v>
      </c>
      <c r="B84" s="95" t="s">
        <v>66</v>
      </c>
      <c r="C84" s="95" t="s">
        <v>67</v>
      </c>
      <c r="D84" s="95" t="s">
        <v>81</v>
      </c>
      <c r="G84" s="95">
        <v>30</v>
      </c>
      <c r="I84" s="95">
        <v>1.17</v>
      </c>
      <c r="P84" s="95">
        <v>2023</v>
      </c>
      <c r="S84" s="95" t="s">
        <v>99</v>
      </c>
      <c r="T84" s="95" t="s">
        <v>116</v>
      </c>
    </row>
    <row r="85" spans="1:20" x14ac:dyDescent="0.2">
      <c r="A85" s="95" t="s">
        <v>73</v>
      </c>
      <c r="B85" s="95" t="s">
        <v>66</v>
      </c>
      <c r="C85" s="95" t="s">
        <v>91</v>
      </c>
      <c r="G85" s="95">
        <v>30</v>
      </c>
      <c r="I85" s="95">
        <v>3.75</v>
      </c>
      <c r="P85" s="95">
        <v>2023</v>
      </c>
      <c r="S85" s="95" t="s">
        <v>99</v>
      </c>
      <c r="T85" s="95" t="s">
        <v>117</v>
      </c>
    </row>
    <row r="86" spans="1:20" x14ac:dyDescent="0.2">
      <c r="A86" s="95" t="s">
        <v>73</v>
      </c>
      <c r="B86" s="95" t="s">
        <v>66</v>
      </c>
      <c r="C86" s="95" t="s">
        <v>91</v>
      </c>
      <c r="G86" s="95">
        <v>23</v>
      </c>
      <c r="I86" s="95">
        <v>1.52</v>
      </c>
      <c r="P86" s="95">
        <v>2023</v>
      </c>
      <c r="S86" s="95" t="s">
        <v>99</v>
      </c>
      <c r="T86" s="95" t="s">
        <v>118</v>
      </c>
    </row>
    <row r="87" spans="1:20" x14ac:dyDescent="0.2">
      <c r="A87" s="95" t="s">
        <v>73</v>
      </c>
      <c r="B87" s="95" t="s">
        <v>66</v>
      </c>
      <c r="C87" s="95" t="s">
        <v>91</v>
      </c>
      <c r="G87" s="95">
        <v>21</v>
      </c>
      <c r="I87" s="95">
        <v>2.65</v>
      </c>
      <c r="P87" s="95">
        <v>2023</v>
      </c>
      <c r="S87" s="95" t="s">
        <v>99</v>
      </c>
      <c r="T87" s="95" t="s">
        <v>119</v>
      </c>
    </row>
    <row r="88" spans="1:20" x14ac:dyDescent="0.2">
      <c r="A88" s="95" t="s">
        <v>73</v>
      </c>
      <c r="B88" s="95" t="s">
        <v>66</v>
      </c>
      <c r="C88" s="95" t="s">
        <v>67</v>
      </c>
      <c r="D88" s="95" t="s">
        <v>81</v>
      </c>
      <c r="G88" s="95">
        <v>38</v>
      </c>
      <c r="I88" s="95">
        <v>2.09</v>
      </c>
      <c r="P88" s="95">
        <v>2023</v>
      </c>
      <c r="S88" s="95" t="s">
        <v>99</v>
      </c>
      <c r="T88" s="95" t="s">
        <v>120</v>
      </c>
    </row>
    <row r="89" spans="1:20" x14ac:dyDescent="0.2">
      <c r="A89" s="95" t="s">
        <v>73</v>
      </c>
      <c r="B89" s="95" t="s">
        <v>66</v>
      </c>
      <c r="C89" s="95" t="s">
        <v>67</v>
      </c>
      <c r="D89" s="95" t="s">
        <v>81</v>
      </c>
      <c r="G89" s="95">
        <v>38</v>
      </c>
      <c r="I89" s="95">
        <v>2.23</v>
      </c>
      <c r="P89" s="95">
        <v>2023</v>
      </c>
      <c r="S89" s="95" t="s">
        <v>99</v>
      </c>
      <c r="T89" s="95" t="s">
        <v>121</v>
      </c>
    </row>
    <row r="90" spans="1:20" x14ac:dyDescent="0.2">
      <c r="A90" s="95" t="s">
        <v>73</v>
      </c>
      <c r="B90" s="95" t="s">
        <v>66</v>
      </c>
      <c r="C90" s="95" t="s">
        <v>67</v>
      </c>
      <c r="D90" s="95" t="s">
        <v>81</v>
      </c>
      <c r="G90" s="95">
        <v>21</v>
      </c>
      <c r="I90" s="95">
        <v>1.03</v>
      </c>
      <c r="P90" s="95">
        <v>2023</v>
      </c>
      <c r="S90" s="95" t="s">
        <v>99</v>
      </c>
      <c r="T90" s="95" t="s">
        <v>122</v>
      </c>
    </row>
    <row r="91" spans="1:20" x14ac:dyDescent="0.2">
      <c r="A91" s="95" t="s">
        <v>73</v>
      </c>
      <c r="B91" s="95" t="s">
        <v>66</v>
      </c>
      <c r="C91" s="95" t="s">
        <v>91</v>
      </c>
      <c r="G91" s="95">
        <v>30</v>
      </c>
      <c r="I91" s="95">
        <v>3.47</v>
      </c>
      <c r="P91" s="95">
        <v>2023</v>
      </c>
      <c r="S91" s="95" t="s">
        <v>99</v>
      </c>
      <c r="T91" s="95" t="s">
        <v>123</v>
      </c>
    </row>
    <row r="92" spans="1:20" x14ac:dyDescent="0.2">
      <c r="A92" s="95" t="s">
        <v>73</v>
      </c>
      <c r="B92" s="95" t="s">
        <v>66</v>
      </c>
      <c r="C92" s="95" t="s">
        <v>67</v>
      </c>
      <c r="D92" s="95" t="s">
        <v>81</v>
      </c>
      <c r="G92" s="95">
        <v>19</v>
      </c>
      <c r="I92" s="95">
        <v>0.65</v>
      </c>
      <c r="P92" s="95">
        <v>2023</v>
      </c>
      <c r="S92" s="95" t="s">
        <v>99</v>
      </c>
      <c r="T92" s="95" t="s">
        <v>124</v>
      </c>
    </row>
    <row r="93" spans="1:20" x14ac:dyDescent="0.2">
      <c r="A93" s="95" t="s">
        <v>73</v>
      </c>
      <c r="B93" s="95" t="s">
        <v>66</v>
      </c>
      <c r="C93" s="95" t="s">
        <v>67</v>
      </c>
      <c r="D93" s="95" t="s">
        <v>81</v>
      </c>
      <c r="G93" s="95">
        <v>38</v>
      </c>
      <c r="I93" s="95">
        <v>1.65</v>
      </c>
      <c r="P93" s="95">
        <v>2023</v>
      </c>
      <c r="S93" s="95" t="s">
        <v>99</v>
      </c>
      <c r="T93" s="95" t="s">
        <v>125</v>
      </c>
    </row>
    <row r="94" spans="1:20" x14ac:dyDescent="0.2">
      <c r="A94" s="95" t="s">
        <v>73</v>
      </c>
      <c r="B94" s="95" t="s">
        <v>66</v>
      </c>
      <c r="C94" s="95" t="s">
        <v>67</v>
      </c>
      <c r="D94" s="95" t="s">
        <v>81</v>
      </c>
      <c r="G94" s="95">
        <v>30</v>
      </c>
      <c r="I94" s="95">
        <v>1.44</v>
      </c>
      <c r="P94" s="95">
        <v>2023</v>
      </c>
      <c r="S94" s="95" t="s">
        <v>99</v>
      </c>
      <c r="T94" s="95" t="s">
        <v>126</v>
      </c>
    </row>
    <row r="95" spans="1:20" x14ac:dyDescent="0.2">
      <c r="A95" s="95" t="s">
        <v>73</v>
      </c>
      <c r="B95" s="95" t="s">
        <v>66</v>
      </c>
      <c r="C95" s="95" t="s">
        <v>67</v>
      </c>
      <c r="D95" s="95" t="s">
        <v>81</v>
      </c>
      <c r="G95" s="95">
        <v>21</v>
      </c>
      <c r="I95" s="95">
        <v>1.31</v>
      </c>
      <c r="P95" s="95">
        <v>2023</v>
      </c>
      <c r="S95" s="95" t="s">
        <v>99</v>
      </c>
      <c r="T95" s="95" t="s">
        <v>127</v>
      </c>
    </row>
    <row r="96" spans="1:20" x14ac:dyDescent="0.2">
      <c r="A96" s="95" t="s">
        <v>73</v>
      </c>
      <c r="B96" s="95" t="s">
        <v>66</v>
      </c>
      <c r="C96" s="95" t="s">
        <v>67</v>
      </c>
      <c r="D96" s="95" t="s">
        <v>81</v>
      </c>
      <c r="G96" s="95">
        <v>21</v>
      </c>
      <c r="I96" s="95">
        <v>1.33</v>
      </c>
      <c r="P96" s="95">
        <v>2023</v>
      </c>
      <c r="S96" s="95" t="s">
        <v>99</v>
      </c>
      <c r="T96" s="95" t="s">
        <v>128</v>
      </c>
    </row>
    <row r="97" spans="1:20" x14ac:dyDescent="0.2">
      <c r="A97" s="95" t="s">
        <v>73</v>
      </c>
      <c r="B97" s="95" t="s">
        <v>66</v>
      </c>
      <c r="C97" s="95" t="s">
        <v>67</v>
      </c>
      <c r="D97" s="95" t="s">
        <v>68</v>
      </c>
      <c r="G97" s="95">
        <v>13</v>
      </c>
      <c r="I97" s="95">
        <v>0.68</v>
      </c>
      <c r="P97" s="95">
        <v>2023</v>
      </c>
      <c r="S97" s="95" t="s">
        <v>99</v>
      </c>
      <c r="T97" s="95" t="s">
        <v>129</v>
      </c>
    </row>
    <row r="98" spans="1:20" x14ac:dyDescent="0.2">
      <c r="A98" s="95" t="s">
        <v>73</v>
      </c>
      <c r="B98" s="95" t="s">
        <v>66</v>
      </c>
      <c r="D98" s="95" t="s">
        <v>81</v>
      </c>
      <c r="G98" s="95">
        <v>49</v>
      </c>
      <c r="I98" s="95">
        <v>2.5099999999999998</v>
      </c>
      <c r="P98" s="95">
        <v>2023</v>
      </c>
      <c r="S98" s="95" t="s">
        <v>99</v>
      </c>
      <c r="T98" s="95" t="s">
        <v>130</v>
      </c>
    </row>
    <row r="99" spans="1:20" x14ac:dyDescent="0.2">
      <c r="A99" s="95" t="s">
        <v>73</v>
      </c>
      <c r="B99" s="95" t="s">
        <v>66</v>
      </c>
      <c r="C99" s="95" t="s">
        <v>67</v>
      </c>
      <c r="D99" s="95" t="s">
        <v>81</v>
      </c>
      <c r="G99" s="95">
        <v>15</v>
      </c>
      <c r="I99" s="95">
        <v>1.1499999999999999</v>
      </c>
      <c r="P99" s="95">
        <v>2023</v>
      </c>
      <c r="S99" s="95" t="s">
        <v>99</v>
      </c>
      <c r="T99" s="95" t="s">
        <v>131</v>
      </c>
    </row>
    <row r="100" spans="1:20" x14ac:dyDescent="0.2">
      <c r="A100" s="95" t="s">
        <v>73</v>
      </c>
      <c r="B100" s="95" t="s">
        <v>66</v>
      </c>
      <c r="C100" s="95" t="s">
        <v>67</v>
      </c>
      <c r="D100" s="95" t="s">
        <v>68</v>
      </c>
      <c r="G100" s="95">
        <v>19</v>
      </c>
      <c r="I100" s="95">
        <v>0.98</v>
      </c>
      <c r="P100" s="95">
        <v>2023</v>
      </c>
      <c r="S100" s="95" t="s">
        <v>99</v>
      </c>
      <c r="T100" s="95" t="s">
        <v>132</v>
      </c>
    </row>
    <row r="101" spans="1:20" x14ac:dyDescent="0.2">
      <c r="A101" s="95" t="s">
        <v>73</v>
      </c>
      <c r="B101" s="95" t="s">
        <v>66</v>
      </c>
      <c r="C101" s="95" t="s">
        <v>67</v>
      </c>
      <c r="D101" s="95" t="s">
        <v>81</v>
      </c>
      <c r="G101" s="95">
        <v>15</v>
      </c>
      <c r="I101" s="95">
        <v>1.1299999999999999</v>
      </c>
      <c r="P101" s="95">
        <v>2023</v>
      </c>
      <c r="S101" s="95" t="s">
        <v>99</v>
      </c>
      <c r="T101" s="95" t="s">
        <v>133</v>
      </c>
    </row>
    <row r="102" spans="1:20" x14ac:dyDescent="0.2">
      <c r="A102" s="95" t="s">
        <v>73</v>
      </c>
      <c r="B102" s="95" t="s">
        <v>66</v>
      </c>
      <c r="C102" s="95" t="s">
        <v>67</v>
      </c>
      <c r="D102" s="95" t="s">
        <v>68</v>
      </c>
      <c r="G102" s="95">
        <v>49</v>
      </c>
      <c r="I102" s="95">
        <v>2.37</v>
      </c>
      <c r="P102" s="95">
        <v>2023</v>
      </c>
      <c r="S102" s="95" t="s">
        <v>99</v>
      </c>
      <c r="T102" s="95" t="s">
        <v>134</v>
      </c>
    </row>
    <row r="103" spans="1:20" x14ac:dyDescent="0.2">
      <c r="A103" s="95" t="s">
        <v>73</v>
      </c>
      <c r="B103" s="95" t="s">
        <v>66</v>
      </c>
      <c r="C103" s="95" t="s">
        <v>67</v>
      </c>
      <c r="D103" s="95" t="s">
        <v>81</v>
      </c>
      <c r="G103" s="95">
        <v>30</v>
      </c>
      <c r="I103" s="95">
        <v>1.72</v>
      </c>
      <c r="P103" s="95">
        <v>2023</v>
      </c>
      <c r="S103" s="95" t="s">
        <v>99</v>
      </c>
      <c r="T103" s="95" t="s">
        <v>135</v>
      </c>
    </row>
    <row r="104" spans="1:20" x14ac:dyDescent="0.2">
      <c r="A104" s="95" t="s">
        <v>73</v>
      </c>
      <c r="B104" s="95" t="s">
        <v>66</v>
      </c>
      <c r="C104" s="95" t="s">
        <v>67</v>
      </c>
      <c r="D104" s="95" t="s">
        <v>68</v>
      </c>
      <c r="G104" s="95">
        <v>13</v>
      </c>
      <c r="I104" s="95">
        <v>0.68</v>
      </c>
      <c r="P104" s="95">
        <v>2023</v>
      </c>
      <c r="S104" s="95" t="s">
        <v>99</v>
      </c>
      <c r="T104" s="95" t="s">
        <v>136</v>
      </c>
    </row>
    <row r="105" spans="1:20" x14ac:dyDescent="0.2">
      <c r="A105" s="95" t="s">
        <v>73</v>
      </c>
      <c r="B105" s="95" t="s">
        <v>66</v>
      </c>
      <c r="C105" s="95" t="s">
        <v>67</v>
      </c>
      <c r="D105" s="95" t="s">
        <v>68</v>
      </c>
      <c r="G105" s="95">
        <v>19</v>
      </c>
      <c r="I105" s="95">
        <v>0.86</v>
      </c>
      <c r="P105" s="95">
        <v>2023</v>
      </c>
      <c r="S105" s="95" t="s">
        <v>99</v>
      </c>
      <c r="T105" s="95" t="s">
        <v>137</v>
      </c>
    </row>
    <row r="106" spans="1:20" x14ac:dyDescent="0.2">
      <c r="A106" s="95" t="s">
        <v>73</v>
      </c>
      <c r="B106" s="95" t="s">
        <v>66</v>
      </c>
      <c r="C106" s="95" t="s">
        <v>67</v>
      </c>
      <c r="D106" s="95" t="s">
        <v>68</v>
      </c>
      <c r="G106" s="95">
        <v>19</v>
      </c>
      <c r="I106" s="95">
        <v>1.1200000000000001</v>
      </c>
      <c r="P106" s="95">
        <v>2023</v>
      </c>
      <c r="S106" s="95" t="s">
        <v>99</v>
      </c>
      <c r="T106" s="95" t="s">
        <v>138</v>
      </c>
    </row>
    <row r="107" spans="1:20" x14ac:dyDescent="0.2">
      <c r="A107" s="95" t="s">
        <v>73</v>
      </c>
      <c r="B107" s="95" t="s">
        <v>66</v>
      </c>
      <c r="C107" s="95" t="s">
        <v>91</v>
      </c>
      <c r="G107" s="95">
        <v>21</v>
      </c>
      <c r="I107" s="95">
        <v>42.61</v>
      </c>
      <c r="P107" s="95">
        <v>2023</v>
      </c>
      <c r="S107" s="95" t="s">
        <v>99</v>
      </c>
      <c r="T107" s="95" t="s">
        <v>139</v>
      </c>
    </row>
    <row r="108" spans="1:20" x14ac:dyDescent="0.2">
      <c r="A108" s="95" t="s">
        <v>73</v>
      </c>
      <c r="B108" s="95" t="s">
        <v>66</v>
      </c>
      <c r="C108" s="95" t="s">
        <v>67</v>
      </c>
      <c r="D108" s="95" t="s">
        <v>68</v>
      </c>
      <c r="G108" s="95">
        <v>30</v>
      </c>
      <c r="I108" s="95">
        <v>1.36</v>
      </c>
      <c r="P108" s="95">
        <v>2023</v>
      </c>
      <c r="S108" s="95" t="s">
        <v>99</v>
      </c>
      <c r="T108" s="95" t="s">
        <v>140</v>
      </c>
    </row>
    <row r="109" spans="1:20" x14ac:dyDescent="0.2">
      <c r="A109" s="95" t="s">
        <v>73</v>
      </c>
      <c r="B109" s="95" t="s">
        <v>66</v>
      </c>
      <c r="C109" s="95" t="s">
        <v>67</v>
      </c>
      <c r="D109" s="95" t="s">
        <v>81</v>
      </c>
      <c r="G109" s="95">
        <v>13</v>
      </c>
      <c r="I109" s="95">
        <v>0.57999999999999996</v>
      </c>
      <c r="P109" s="95">
        <v>2023</v>
      </c>
      <c r="S109" s="95" t="s">
        <v>99</v>
      </c>
      <c r="T109" s="95" t="s">
        <v>141</v>
      </c>
    </row>
    <row r="110" spans="1:20" x14ac:dyDescent="0.2">
      <c r="A110" s="95" t="s">
        <v>73</v>
      </c>
      <c r="B110" s="95" t="s">
        <v>66</v>
      </c>
      <c r="C110" s="95" t="s">
        <v>67</v>
      </c>
      <c r="D110" s="95" t="s">
        <v>68</v>
      </c>
      <c r="G110" s="95">
        <v>13</v>
      </c>
      <c r="I110" s="95">
        <v>0.75</v>
      </c>
      <c r="P110" s="95">
        <v>2023</v>
      </c>
      <c r="S110" s="95" t="s">
        <v>99</v>
      </c>
      <c r="T110" s="95" t="s">
        <v>142</v>
      </c>
    </row>
    <row r="111" spans="1:20" x14ac:dyDescent="0.2">
      <c r="A111" s="95" t="s">
        <v>73</v>
      </c>
      <c r="B111" s="95" t="s">
        <v>66</v>
      </c>
      <c r="C111" s="95" t="s">
        <v>67</v>
      </c>
      <c r="D111" s="95" t="s">
        <v>81</v>
      </c>
      <c r="G111" s="95">
        <v>19</v>
      </c>
      <c r="I111" s="95">
        <v>1.02</v>
      </c>
      <c r="P111" s="95">
        <v>2023</v>
      </c>
      <c r="S111" s="95" t="s">
        <v>99</v>
      </c>
      <c r="T111" s="95" t="s">
        <v>143</v>
      </c>
    </row>
    <row r="112" spans="1:20" x14ac:dyDescent="0.2">
      <c r="A112" s="95" t="s">
        <v>73</v>
      </c>
      <c r="B112" s="95" t="s">
        <v>66</v>
      </c>
      <c r="C112" s="95" t="s">
        <v>67</v>
      </c>
      <c r="D112" s="95" t="s">
        <v>81</v>
      </c>
      <c r="G112" s="95">
        <v>19</v>
      </c>
      <c r="I112" s="95">
        <v>0.87</v>
      </c>
      <c r="P112" s="95">
        <v>2023</v>
      </c>
      <c r="S112" s="95" t="s">
        <v>99</v>
      </c>
      <c r="T112" s="95" t="s">
        <v>144</v>
      </c>
    </row>
    <row r="113" spans="1:20" x14ac:dyDescent="0.2">
      <c r="A113" s="95" t="s">
        <v>73</v>
      </c>
      <c r="B113" s="95" t="s">
        <v>66</v>
      </c>
      <c r="C113" s="95" t="s">
        <v>67</v>
      </c>
      <c r="D113" s="95" t="s">
        <v>81</v>
      </c>
      <c r="G113" s="95">
        <v>30</v>
      </c>
      <c r="I113" s="95">
        <v>1.33</v>
      </c>
      <c r="P113" s="95">
        <v>2023</v>
      </c>
      <c r="S113" s="95" t="s">
        <v>99</v>
      </c>
      <c r="T113" s="95" t="s">
        <v>145</v>
      </c>
    </row>
    <row r="114" spans="1:20" x14ac:dyDescent="0.2">
      <c r="A114" s="95" t="s">
        <v>73</v>
      </c>
      <c r="B114" s="95" t="s">
        <v>66</v>
      </c>
      <c r="C114" s="95" t="s">
        <v>91</v>
      </c>
      <c r="G114" s="95">
        <v>13</v>
      </c>
      <c r="I114" s="95">
        <v>23.26</v>
      </c>
      <c r="P114" s="95">
        <v>2023</v>
      </c>
      <c r="S114" s="95" t="s">
        <v>99</v>
      </c>
      <c r="T114" s="95" t="s">
        <v>146</v>
      </c>
    </row>
    <row r="115" spans="1:20" x14ac:dyDescent="0.2">
      <c r="A115" s="95" t="s">
        <v>73</v>
      </c>
      <c r="B115" s="95" t="s">
        <v>66</v>
      </c>
      <c r="C115" s="95" t="s">
        <v>67</v>
      </c>
      <c r="D115" s="95" t="s">
        <v>81</v>
      </c>
      <c r="G115" s="95">
        <v>19</v>
      </c>
      <c r="I115" s="95">
        <v>0.99</v>
      </c>
      <c r="P115" s="95">
        <v>2023</v>
      </c>
      <c r="S115" s="95" t="s">
        <v>99</v>
      </c>
      <c r="T115" s="95" t="s">
        <v>147</v>
      </c>
    </row>
    <row r="116" spans="1:20" x14ac:dyDescent="0.2">
      <c r="A116" s="95" t="s">
        <v>73</v>
      </c>
      <c r="B116" s="95" t="s">
        <v>66</v>
      </c>
      <c r="C116" s="95" t="s">
        <v>67</v>
      </c>
      <c r="D116" s="95" t="s">
        <v>68</v>
      </c>
      <c r="G116" s="95">
        <v>15</v>
      </c>
      <c r="I116" s="95">
        <v>1.27</v>
      </c>
      <c r="P116" s="95">
        <v>2023</v>
      </c>
      <c r="S116" s="95" t="s">
        <v>99</v>
      </c>
      <c r="T116" s="95" t="s">
        <v>148</v>
      </c>
    </row>
    <row r="117" spans="1:20" x14ac:dyDescent="0.2">
      <c r="A117" s="95" t="s">
        <v>73</v>
      </c>
      <c r="B117" s="95" t="s">
        <v>66</v>
      </c>
      <c r="C117" s="95" t="s">
        <v>67</v>
      </c>
      <c r="D117" s="95" t="s">
        <v>81</v>
      </c>
      <c r="G117" s="95">
        <v>13</v>
      </c>
      <c r="I117" s="95">
        <v>0.78</v>
      </c>
      <c r="P117" s="95">
        <v>2023</v>
      </c>
      <c r="S117" s="95" t="s">
        <v>99</v>
      </c>
      <c r="T117" s="95" t="s">
        <v>149</v>
      </c>
    </row>
    <row r="118" spans="1:20" x14ac:dyDescent="0.2">
      <c r="A118" s="95" t="s">
        <v>73</v>
      </c>
      <c r="B118" s="95" t="s">
        <v>66</v>
      </c>
      <c r="C118" s="95" t="s">
        <v>67</v>
      </c>
      <c r="D118" s="95" t="s">
        <v>68</v>
      </c>
      <c r="G118" s="95">
        <v>30</v>
      </c>
      <c r="I118" s="95">
        <v>1.74</v>
      </c>
      <c r="P118" s="95">
        <v>2023</v>
      </c>
      <c r="S118" s="95" t="s">
        <v>99</v>
      </c>
      <c r="T118" s="95" t="s">
        <v>150</v>
      </c>
    </row>
    <row r="119" spans="1:20" x14ac:dyDescent="0.2">
      <c r="A119" s="95" t="s">
        <v>73</v>
      </c>
      <c r="B119" s="95" t="s">
        <v>66</v>
      </c>
      <c r="G119" s="95">
        <v>19</v>
      </c>
      <c r="I119" s="95">
        <v>15.29</v>
      </c>
      <c r="P119" s="95">
        <v>2023</v>
      </c>
      <c r="S119" s="95" t="s">
        <v>99</v>
      </c>
      <c r="T119" s="95" t="s">
        <v>151</v>
      </c>
    </row>
    <row r="120" spans="1:20" x14ac:dyDescent="0.2">
      <c r="A120" s="95" t="s">
        <v>73</v>
      </c>
      <c r="B120" s="95" t="s">
        <v>66</v>
      </c>
      <c r="C120" s="95" t="s">
        <v>67</v>
      </c>
      <c r="D120" s="95" t="s">
        <v>81</v>
      </c>
      <c r="G120" s="95">
        <v>13</v>
      </c>
      <c r="I120" s="95">
        <v>0.42</v>
      </c>
      <c r="P120" s="95">
        <v>2023</v>
      </c>
      <c r="S120" s="95" t="s">
        <v>99</v>
      </c>
      <c r="T120" s="95" t="s">
        <v>152</v>
      </c>
    </row>
    <row r="121" spans="1:20" x14ac:dyDescent="0.2">
      <c r="A121" s="95" t="s">
        <v>73</v>
      </c>
      <c r="B121" s="95" t="s">
        <v>66</v>
      </c>
      <c r="C121" s="95" t="s">
        <v>67</v>
      </c>
      <c r="D121" s="95" t="s">
        <v>81</v>
      </c>
      <c r="G121" s="95">
        <v>19</v>
      </c>
      <c r="I121" s="95">
        <v>0.76</v>
      </c>
      <c r="P121" s="95">
        <v>2023</v>
      </c>
      <c r="S121" s="95" t="s">
        <v>99</v>
      </c>
      <c r="T121" s="95" t="s">
        <v>153</v>
      </c>
    </row>
    <row r="122" spans="1:20" x14ac:dyDescent="0.2">
      <c r="A122" s="95" t="s">
        <v>73</v>
      </c>
      <c r="B122" s="95" t="s">
        <v>66</v>
      </c>
      <c r="C122" s="95" t="s">
        <v>67</v>
      </c>
      <c r="D122" s="95" t="s">
        <v>68</v>
      </c>
      <c r="G122" s="95">
        <v>30</v>
      </c>
      <c r="I122" s="95">
        <v>1.1599999999999999</v>
      </c>
      <c r="P122" s="95">
        <v>2023</v>
      </c>
      <c r="S122" s="95" t="s">
        <v>99</v>
      </c>
      <c r="T122" s="95" t="s">
        <v>154</v>
      </c>
    </row>
    <row r="123" spans="1:20" x14ac:dyDescent="0.2">
      <c r="A123" s="95" t="s">
        <v>73</v>
      </c>
      <c r="B123" s="95" t="s">
        <v>66</v>
      </c>
      <c r="C123" s="95" t="s">
        <v>67</v>
      </c>
      <c r="D123" s="95" t="s">
        <v>81</v>
      </c>
      <c r="G123" s="95">
        <v>15</v>
      </c>
      <c r="I123" s="95">
        <v>1.1200000000000001</v>
      </c>
      <c r="P123" s="95">
        <v>2023</v>
      </c>
      <c r="S123" s="95" t="s">
        <v>99</v>
      </c>
      <c r="T123" s="95" t="s">
        <v>155</v>
      </c>
    </row>
    <row r="124" spans="1:20" x14ac:dyDescent="0.2">
      <c r="A124" s="95" t="s">
        <v>73</v>
      </c>
      <c r="B124" s="95" t="s">
        <v>66</v>
      </c>
      <c r="C124" s="95" t="s">
        <v>67</v>
      </c>
      <c r="D124" s="95" t="s">
        <v>68</v>
      </c>
      <c r="G124" s="95">
        <v>30</v>
      </c>
      <c r="I124" s="95">
        <v>1.47</v>
      </c>
      <c r="P124" s="95">
        <v>2023</v>
      </c>
      <c r="S124" s="95" t="s">
        <v>99</v>
      </c>
      <c r="T124" s="95" t="s">
        <v>156</v>
      </c>
    </row>
    <row r="125" spans="1:20" x14ac:dyDescent="0.2">
      <c r="A125" s="95" t="s">
        <v>73</v>
      </c>
      <c r="B125" s="95" t="s">
        <v>66</v>
      </c>
      <c r="C125" s="95" t="s">
        <v>67</v>
      </c>
      <c r="D125" s="95" t="s">
        <v>81</v>
      </c>
      <c r="G125" s="95">
        <v>19</v>
      </c>
      <c r="I125" s="95">
        <v>0.87</v>
      </c>
      <c r="P125" s="95">
        <v>2023</v>
      </c>
      <c r="S125" s="95" t="s">
        <v>99</v>
      </c>
      <c r="T125" s="95" t="s">
        <v>157</v>
      </c>
    </row>
    <row r="126" spans="1:20" x14ac:dyDescent="0.2">
      <c r="A126" s="95" t="s">
        <v>73</v>
      </c>
      <c r="B126" s="95" t="s">
        <v>66</v>
      </c>
      <c r="C126" s="95" t="s">
        <v>67</v>
      </c>
      <c r="D126" s="95" t="s">
        <v>81</v>
      </c>
      <c r="G126" s="95">
        <v>19</v>
      </c>
      <c r="I126" s="95">
        <v>0.97</v>
      </c>
      <c r="P126" s="95">
        <v>2023</v>
      </c>
      <c r="S126" s="95" t="s">
        <v>99</v>
      </c>
      <c r="T126" s="95" t="s">
        <v>158</v>
      </c>
    </row>
    <row r="127" spans="1:20" x14ac:dyDescent="0.2">
      <c r="A127" s="95" t="s">
        <v>73</v>
      </c>
      <c r="B127" s="95" t="s">
        <v>66</v>
      </c>
      <c r="C127" s="95" t="s">
        <v>67</v>
      </c>
      <c r="D127" s="95" t="s">
        <v>81</v>
      </c>
      <c r="G127" s="95">
        <v>13</v>
      </c>
      <c r="I127" s="95">
        <v>0.63</v>
      </c>
      <c r="P127" s="95">
        <v>2023</v>
      </c>
      <c r="S127" s="95" t="s">
        <v>99</v>
      </c>
      <c r="T127" s="95" t="s">
        <v>159</v>
      </c>
    </row>
    <row r="128" spans="1:20" x14ac:dyDescent="0.2">
      <c r="A128" s="95" t="s">
        <v>73</v>
      </c>
      <c r="B128" s="95" t="s">
        <v>66</v>
      </c>
      <c r="C128" s="95" t="s">
        <v>67</v>
      </c>
      <c r="D128" s="95" t="s">
        <v>68</v>
      </c>
      <c r="G128" s="95">
        <v>6</v>
      </c>
      <c r="I128" s="95">
        <v>1.87</v>
      </c>
      <c r="P128" s="95">
        <v>2023</v>
      </c>
      <c r="S128" s="95" t="s">
        <v>99</v>
      </c>
      <c r="T128" s="95" t="s">
        <v>160</v>
      </c>
    </row>
    <row r="129" spans="1:20" x14ac:dyDescent="0.2">
      <c r="A129" s="95" t="s">
        <v>73</v>
      </c>
      <c r="B129" s="95" t="s">
        <v>66</v>
      </c>
      <c r="C129" s="95" t="s">
        <v>67</v>
      </c>
      <c r="D129" s="95" t="s">
        <v>68</v>
      </c>
      <c r="G129" s="95">
        <v>30</v>
      </c>
      <c r="I129" s="95">
        <v>1.24</v>
      </c>
      <c r="P129" s="95">
        <v>2023</v>
      </c>
      <c r="S129" s="95" t="s">
        <v>99</v>
      </c>
      <c r="T129" s="95" t="s">
        <v>161</v>
      </c>
    </row>
    <row r="130" spans="1:20" x14ac:dyDescent="0.2">
      <c r="A130" s="95" t="s">
        <v>73</v>
      </c>
      <c r="B130" s="95" t="s">
        <v>66</v>
      </c>
      <c r="C130" s="95" t="s">
        <v>67</v>
      </c>
      <c r="D130" s="95" t="s">
        <v>68</v>
      </c>
      <c r="G130" s="95">
        <v>30</v>
      </c>
      <c r="I130" s="95">
        <v>19.57</v>
      </c>
      <c r="P130" s="95">
        <v>2023</v>
      </c>
      <c r="S130" s="95" t="s">
        <v>99</v>
      </c>
      <c r="T130" s="95" t="s">
        <v>162</v>
      </c>
    </row>
    <row r="131" spans="1:20" x14ac:dyDescent="0.2">
      <c r="A131" s="95" t="s">
        <v>73</v>
      </c>
      <c r="B131" s="95" t="s">
        <v>66</v>
      </c>
      <c r="C131" s="95" t="s">
        <v>67</v>
      </c>
      <c r="D131" s="95" t="s">
        <v>81</v>
      </c>
      <c r="G131" s="95">
        <v>13</v>
      </c>
      <c r="I131" s="95">
        <v>0.82</v>
      </c>
      <c r="P131" s="95">
        <v>2023</v>
      </c>
      <c r="S131" s="95" t="s">
        <v>99</v>
      </c>
      <c r="T131" s="95" t="s">
        <v>163</v>
      </c>
    </row>
    <row r="132" spans="1:20" x14ac:dyDescent="0.2">
      <c r="A132" s="95" t="s">
        <v>73</v>
      </c>
      <c r="B132" s="95" t="s">
        <v>66</v>
      </c>
      <c r="C132" s="95" t="s">
        <v>67</v>
      </c>
      <c r="D132" s="95" t="s">
        <v>81</v>
      </c>
      <c r="G132" s="95">
        <v>30</v>
      </c>
      <c r="I132" s="95">
        <v>1.43</v>
      </c>
      <c r="P132" s="95">
        <v>2023</v>
      </c>
      <c r="S132" s="95" t="s">
        <v>99</v>
      </c>
      <c r="T132" s="95" t="s">
        <v>164</v>
      </c>
    </row>
    <row r="133" spans="1:20" x14ac:dyDescent="0.2">
      <c r="A133" s="95" t="s">
        <v>73</v>
      </c>
      <c r="B133" s="95" t="s">
        <v>66</v>
      </c>
      <c r="C133" s="95" t="s">
        <v>67</v>
      </c>
      <c r="D133" s="95" t="s">
        <v>81</v>
      </c>
      <c r="G133" s="95">
        <v>13</v>
      </c>
      <c r="I133" s="95">
        <v>0.84</v>
      </c>
      <c r="P133" s="95">
        <v>2023</v>
      </c>
      <c r="S133" s="95" t="s">
        <v>99</v>
      </c>
      <c r="T133" s="95" t="s">
        <v>165</v>
      </c>
    </row>
    <row r="134" spans="1:20" x14ac:dyDescent="0.2">
      <c r="A134" s="95" t="s">
        <v>73</v>
      </c>
      <c r="B134" s="95" t="s">
        <v>66</v>
      </c>
      <c r="C134" s="95" t="s">
        <v>67</v>
      </c>
      <c r="D134" s="95" t="s">
        <v>81</v>
      </c>
      <c r="G134" s="95">
        <v>19</v>
      </c>
      <c r="I134" s="95">
        <v>0.85</v>
      </c>
      <c r="P134" s="95">
        <v>2023</v>
      </c>
      <c r="S134" s="95" t="s">
        <v>99</v>
      </c>
      <c r="T134" s="95" t="s">
        <v>166</v>
      </c>
    </row>
    <row r="135" spans="1:20" x14ac:dyDescent="0.2">
      <c r="A135" s="95" t="s">
        <v>73</v>
      </c>
      <c r="B135" s="95" t="s">
        <v>66</v>
      </c>
      <c r="C135" s="95" t="s">
        <v>67</v>
      </c>
      <c r="D135" s="95" t="s">
        <v>81</v>
      </c>
      <c r="G135" s="95">
        <v>19</v>
      </c>
      <c r="I135" s="95">
        <v>1.26</v>
      </c>
      <c r="P135" s="95">
        <v>2023</v>
      </c>
      <c r="S135" s="95" t="s">
        <v>99</v>
      </c>
      <c r="T135" s="95" t="s">
        <v>167</v>
      </c>
    </row>
    <row r="136" spans="1:20" x14ac:dyDescent="0.2">
      <c r="A136" s="95" t="s">
        <v>73</v>
      </c>
      <c r="B136" s="95" t="s">
        <v>66</v>
      </c>
      <c r="C136" s="95" t="s">
        <v>67</v>
      </c>
      <c r="D136" s="95" t="s">
        <v>68</v>
      </c>
      <c r="G136" s="95">
        <v>30</v>
      </c>
      <c r="I136" s="95">
        <v>1.48</v>
      </c>
      <c r="P136" s="95">
        <v>2023</v>
      </c>
      <c r="S136" s="95" t="s">
        <v>99</v>
      </c>
      <c r="T136" s="95" t="s">
        <v>168</v>
      </c>
    </row>
    <row r="137" spans="1:20" x14ac:dyDescent="0.2">
      <c r="A137" s="95" t="s">
        <v>73</v>
      </c>
      <c r="B137" s="95" t="s">
        <v>66</v>
      </c>
      <c r="C137" s="95" t="s">
        <v>67</v>
      </c>
      <c r="D137" s="95" t="s">
        <v>81</v>
      </c>
      <c r="G137" s="95">
        <v>19</v>
      </c>
      <c r="I137" s="95">
        <v>1.1499999999999999</v>
      </c>
      <c r="P137" s="95">
        <v>2023</v>
      </c>
      <c r="S137" s="95" t="s">
        <v>99</v>
      </c>
      <c r="T137" s="95" t="s">
        <v>169</v>
      </c>
    </row>
    <row r="138" spans="1:20" x14ac:dyDescent="0.2">
      <c r="A138" s="95" t="s">
        <v>73</v>
      </c>
      <c r="B138" s="95" t="s">
        <v>66</v>
      </c>
      <c r="C138" s="95" t="s">
        <v>67</v>
      </c>
      <c r="D138" s="95" t="s">
        <v>81</v>
      </c>
      <c r="G138" s="95">
        <v>13</v>
      </c>
      <c r="I138" s="95">
        <v>0.96</v>
      </c>
      <c r="P138" s="95">
        <v>2023</v>
      </c>
      <c r="S138" s="95" t="s">
        <v>99</v>
      </c>
      <c r="T138" s="95" t="s">
        <v>170</v>
      </c>
    </row>
    <row r="139" spans="1:20" x14ac:dyDescent="0.2">
      <c r="A139" s="95" t="s">
        <v>73</v>
      </c>
      <c r="B139" s="95" t="s">
        <v>66</v>
      </c>
      <c r="C139" s="95" t="s">
        <v>67</v>
      </c>
      <c r="D139" s="95" t="s">
        <v>81</v>
      </c>
      <c r="G139" s="95">
        <v>19</v>
      </c>
      <c r="I139" s="95">
        <v>1.08</v>
      </c>
      <c r="P139" s="95">
        <v>2023</v>
      </c>
      <c r="S139" s="95" t="s">
        <v>99</v>
      </c>
      <c r="T139" s="95" t="s">
        <v>171</v>
      </c>
    </row>
    <row r="140" spans="1:20" x14ac:dyDescent="0.2">
      <c r="A140" s="95" t="s">
        <v>73</v>
      </c>
      <c r="B140" s="95" t="s">
        <v>66</v>
      </c>
      <c r="C140" s="95" t="s">
        <v>67</v>
      </c>
      <c r="D140" s="95" t="s">
        <v>68</v>
      </c>
      <c r="G140" s="95">
        <v>13</v>
      </c>
      <c r="I140" s="95">
        <v>0.93</v>
      </c>
      <c r="P140" s="95">
        <v>2023</v>
      </c>
      <c r="S140" s="95" t="s">
        <v>99</v>
      </c>
      <c r="T140" s="95" t="s">
        <v>172</v>
      </c>
    </row>
    <row r="141" spans="1:20" x14ac:dyDescent="0.2">
      <c r="A141" s="95" t="s">
        <v>73</v>
      </c>
      <c r="B141" s="95" t="s">
        <v>66</v>
      </c>
      <c r="C141" s="95" t="s">
        <v>67</v>
      </c>
      <c r="D141" s="95" t="s">
        <v>68</v>
      </c>
      <c r="G141" s="95">
        <v>7</v>
      </c>
      <c r="I141" s="95">
        <v>1.99</v>
      </c>
      <c r="P141" s="95">
        <v>2023</v>
      </c>
      <c r="S141" s="95" t="s">
        <v>99</v>
      </c>
      <c r="T141" s="95" t="s">
        <v>173</v>
      </c>
    </row>
    <row r="142" spans="1:20" x14ac:dyDescent="0.2">
      <c r="A142" s="95" t="s">
        <v>73</v>
      </c>
      <c r="B142" s="95" t="s">
        <v>66</v>
      </c>
      <c r="C142" s="95" t="s">
        <v>67</v>
      </c>
      <c r="D142" s="95" t="s">
        <v>68</v>
      </c>
      <c r="G142" s="95">
        <v>6</v>
      </c>
      <c r="I142" s="95">
        <v>95.58</v>
      </c>
      <c r="P142" s="95">
        <v>2023</v>
      </c>
      <c r="S142" s="95" t="s">
        <v>99</v>
      </c>
      <c r="T142" s="95" t="s">
        <v>174</v>
      </c>
    </row>
    <row r="143" spans="1:20" x14ac:dyDescent="0.2">
      <c r="A143" s="95" t="s">
        <v>73</v>
      </c>
      <c r="B143" s="95" t="s">
        <v>66</v>
      </c>
      <c r="C143" s="95" t="s">
        <v>67</v>
      </c>
      <c r="D143" s="95" t="s">
        <v>81</v>
      </c>
      <c r="G143" s="95">
        <v>13</v>
      </c>
      <c r="I143" s="95">
        <v>0.75</v>
      </c>
      <c r="P143" s="95">
        <v>2023</v>
      </c>
      <c r="S143" s="95" t="s">
        <v>99</v>
      </c>
      <c r="T143" s="95" t="s">
        <v>175</v>
      </c>
    </row>
    <row r="144" spans="1:20" x14ac:dyDescent="0.2">
      <c r="A144" s="95" t="s">
        <v>65</v>
      </c>
      <c r="B144" s="95" t="s">
        <v>66</v>
      </c>
      <c r="C144" s="95" t="s">
        <v>86</v>
      </c>
      <c r="D144" s="95" t="s">
        <v>68</v>
      </c>
      <c r="F144" s="95">
        <v>0.5</v>
      </c>
      <c r="G144" s="95">
        <v>3</v>
      </c>
      <c r="I144" s="95">
        <v>0.43687500000000001</v>
      </c>
      <c r="P144" s="95">
        <v>2023</v>
      </c>
      <c r="Q144" s="95" t="s">
        <v>176</v>
      </c>
      <c r="R144" s="95" t="s">
        <v>177</v>
      </c>
      <c r="S144" s="95" t="s">
        <v>99</v>
      </c>
      <c r="T144" s="95" t="s">
        <v>178</v>
      </c>
    </row>
    <row r="145" spans="1:20" x14ac:dyDescent="0.2">
      <c r="A145" s="95" t="s">
        <v>65</v>
      </c>
      <c r="B145" s="95" t="s">
        <v>66</v>
      </c>
      <c r="C145" s="95" t="s">
        <v>84</v>
      </c>
      <c r="D145" s="95" t="s">
        <v>81</v>
      </c>
      <c r="F145" s="95">
        <v>0.5</v>
      </c>
      <c r="G145" s="95">
        <v>3.2</v>
      </c>
      <c r="I145" s="95">
        <v>0.62250000000000005</v>
      </c>
      <c r="P145" s="95">
        <v>2023</v>
      </c>
      <c r="Q145" s="95" t="s">
        <v>179</v>
      </c>
      <c r="R145" s="95" t="s">
        <v>180</v>
      </c>
      <c r="S145" s="95" t="s">
        <v>99</v>
      </c>
      <c r="T145" s="95" t="s">
        <v>181</v>
      </c>
    </row>
    <row r="146" spans="1:20" x14ac:dyDescent="0.2">
      <c r="A146" s="95" t="s">
        <v>65</v>
      </c>
      <c r="B146" s="95" t="s">
        <v>66</v>
      </c>
      <c r="C146" s="95" t="s">
        <v>85</v>
      </c>
      <c r="D146" s="95" t="s">
        <v>81</v>
      </c>
      <c r="F146" s="95">
        <v>0.63</v>
      </c>
      <c r="G146" s="95">
        <v>3</v>
      </c>
      <c r="I146" s="95">
        <v>0.83250000000000002</v>
      </c>
      <c r="P146" s="95">
        <v>2023</v>
      </c>
      <c r="Q146" s="95" t="s">
        <v>182</v>
      </c>
      <c r="R146" s="95" t="s">
        <v>183</v>
      </c>
      <c r="S146" s="95" t="s">
        <v>99</v>
      </c>
      <c r="T146" s="95" t="s">
        <v>184</v>
      </c>
    </row>
    <row r="147" spans="1:20" x14ac:dyDescent="0.2">
      <c r="A147" s="95" t="s">
        <v>65</v>
      </c>
      <c r="B147" s="95" t="s">
        <v>66</v>
      </c>
      <c r="C147" s="95" t="s">
        <v>85</v>
      </c>
      <c r="D147" s="95" t="s">
        <v>68</v>
      </c>
      <c r="F147" s="95">
        <v>0.75</v>
      </c>
      <c r="G147" s="95">
        <v>2.65</v>
      </c>
      <c r="I147" s="95">
        <v>2.5950000000000002</v>
      </c>
      <c r="P147" s="95">
        <v>2023</v>
      </c>
      <c r="Q147" s="95" t="s">
        <v>185</v>
      </c>
      <c r="R147" s="95" t="s">
        <v>186</v>
      </c>
      <c r="S147" s="95" t="s">
        <v>99</v>
      </c>
      <c r="T147" s="95" t="s">
        <v>187</v>
      </c>
    </row>
    <row r="148" spans="1:20" x14ac:dyDescent="0.2">
      <c r="A148" s="95" t="s">
        <v>65</v>
      </c>
      <c r="B148" s="95" t="s">
        <v>66</v>
      </c>
      <c r="C148" s="95" t="s">
        <v>86</v>
      </c>
      <c r="D148" s="95" t="s">
        <v>68</v>
      </c>
      <c r="F148" s="95">
        <v>1</v>
      </c>
      <c r="G148" s="95">
        <v>5</v>
      </c>
      <c r="I148" s="95">
        <v>0.97875000000000001</v>
      </c>
      <c r="P148" s="95">
        <v>2023</v>
      </c>
      <c r="Q148" s="95" t="s">
        <v>188</v>
      </c>
      <c r="R148" s="95" t="s">
        <v>189</v>
      </c>
      <c r="S148" s="95" t="s">
        <v>99</v>
      </c>
      <c r="T148" s="95" t="s">
        <v>190</v>
      </c>
    </row>
    <row r="149" spans="1:20" x14ac:dyDescent="0.2">
      <c r="A149" s="95" t="s">
        <v>65</v>
      </c>
      <c r="B149" s="95" t="s">
        <v>66</v>
      </c>
      <c r="C149" s="95" t="s">
        <v>85</v>
      </c>
      <c r="D149" s="95" t="s">
        <v>81</v>
      </c>
      <c r="F149" s="95">
        <v>1</v>
      </c>
      <c r="G149" s="95">
        <v>3.85</v>
      </c>
      <c r="I149" s="95">
        <v>0.48781249999999998</v>
      </c>
      <c r="P149" s="95">
        <v>2023</v>
      </c>
      <c r="Q149" s="95" t="s">
        <v>191</v>
      </c>
      <c r="R149" s="95" t="s">
        <v>192</v>
      </c>
      <c r="S149" s="95" t="s">
        <v>99</v>
      </c>
      <c r="T149" s="95" t="s">
        <v>193</v>
      </c>
    </row>
    <row r="150" spans="1:20" x14ac:dyDescent="0.2">
      <c r="A150" s="95" t="s">
        <v>65</v>
      </c>
      <c r="B150" s="95" t="s">
        <v>66</v>
      </c>
      <c r="C150" s="95" t="s">
        <v>85</v>
      </c>
      <c r="D150" s="95" t="s">
        <v>81</v>
      </c>
      <c r="F150" s="95">
        <v>1</v>
      </c>
      <c r="G150" s="95">
        <v>5</v>
      </c>
      <c r="I150" s="95">
        <v>1.3891666666666669</v>
      </c>
      <c r="P150" s="95">
        <v>2023</v>
      </c>
      <c r="Q150" s="95" t="s">
        <v>194</v>
      </c>
      <c r="R150" s="95" t="s">
        <v>195</v>
      </c>
      <c r="S150" s="95" t="s">
        <v>99</v>
      </c>
      <c r="T150" s="95" t="s">
        <v>196</v>
      </c>
    </row>
    <row r="151" spans="1:20" x14ac:dyDescent="0.2">
      <c r="A151" s="95" t="s">
        <v>65</v>
      </c>
      <c r="B151" s="95" t="s">
        <v>66</v>
      </c>
      <c r="C151" s="95" t="s">
        <v>86</v>
      </c>
      <c r="D151" s="95" t="s">
        <v>68</v>
      </c>
      <c r="F151" s="95">
        <v>1</v>
      </c>
      <c r="G151" s="95">
        <v>5</v>
      </c>
      <c r="I151" s="95">
        <v>1.7450000000000001</v>
      </c>
      <c r="P151" s="95">
        <v>2023</v>
      </c>
      <c r="Q151" s="95" t="s">
        <v>16</v>
      </c>
      <c r="R151" s="95" t="s">
        <v>197</v>
      </c>
      <c r="S151" s="95" t="s">
        <v>99</v>
      </c>
      <c r="T151" s="95" t="s">
        <v>198</v>
      </c>
    </row>
    <row r="152" spans="1:20" x14ac:dyDescent="0.2">
      <c r="A152" s="95" t="s">
        <v>65</v>
      </c>
      <c r="B152" s="95" t="s">
        <v>66</v>
      </c>
      <c r="C152" s="95" t="s">
        <v>86</v>
      </c>
      <c r="D152" s="95" t="s">
        <v>81</v>
      </c>
      <c r="F152" s="95">
        <v>1</v>
      </c>
      <c r="G152" s="95">
        <v>5</v>
      </c>
      <c r="I152" s="95">
        <v>3.85</v>
      </c>
      <c r="P152" s="95">
        <v>2023</v>
      </c>
      <c r="Q152" s="95" t="s">
        <v>199</v>
      </c>
      <c r="R152" s="95" t="s">
        <v>200</v>
      </c>
      <c r="S152" s="95" t="s">
        <v>99</v>
      </c>
      <c r="T152" s="95" t="s">
        <v>201</v>
      </c>
    </row>
    <row r="153" spans="1:20" x14ac:dyDescent="0.2">
      <c r="A153" s="95" t="s">
        <v>65</v>
      </c>
      <c r="B153" s="95" t="s">
        <v>66</v>
      </c>
      <c r="C153" s="95" t="s">
        <v>86</v>
      </c>
      <c r="D153" s="95" t="s">
        <v>81</v>
      </c>
      <c r="F153" s="95">
        <v>1</v>
      </c>
      <c r="G153" s="95">
        <v>5</v>
      </c>
      <c r="I153" s="95">
        <v>3.66</v>
      </c>
      <c r="P153" s="95">
        <v>2023</v>
      </c>
      <c r="Q153" s="95" t="s">
        <v>199</v>
      </c>
      <c r="R153" s="95" t="s">
        <v>202</v>
      </c>
      <c r="S153" s="95" t="s">
        <v>99</v>
      </c>
      <c r="T153" s="95" t="s">
        <v>203</v>
      </c>
    </row>
    <row r="154" spans="1:20" x14ac:dyDescent="0.2">
      <c r="A154" s="95" t="s">
        <v>65</v>
      </c>
      <c r="B154" s="95" t="s">
        <v>66</v>
      </c>
      <c r="C154" s="95" t="s">
        <v>86</v>
      </c>
      <c r="D154" s="95" t="s">
        <v>81</v>
      </c>
      <c r="F154" s="95">
        <v>1</v>
      </c>
      <c r="G154" s="95">
        <v>5</v>
      </c>
      <c r="I154" s="95">
        <v>3.9950000000000001</v>
      </c>
      <c r="P154" s="95">
        <v>2023</v>
      </c>
      <c r="Q154" s="95" t="s">
        <v>199</v>
      </c>
      <c r="R154" s="95" t="s">
        <v>204</v>
      </c>
      <c r="S154" s="95" t="s">
        <v>99</v>
      </c>
      <c r="T154" s="95" t="s">
        <v>205</v>
      </c>
    </row>
    <row r="155" spans="1:20" x14ac:dyDescent="0.2">
      <c r="A155" s="95" t="s">
        <v>65</v>
      </c>
      <c r="B155" s="95" t="s">
        <v>66</v>
      </c>
      <c r="C155" s="95" t="s">
        <v>86</v>
      </c>
      <c r="D155" s="95" t="s">
        <v>68</v>
      </c>
      <c r="F155" s="95">
        <v>1.5</v>
      </c>
      <c r="G155" s="95">
        <v>7.5</v>
      </c>
      <c r="I155" s="95">
        <v>1.1131249999999999</v>
      </c>
      <c r="P155" s="95">
        <v>2023</v>
      </c>
      <c r="Q155" s="95" t="s">
        <v>199</v>
      </c>
      <c r="R155" s="95" t="s">
        <v>206</v>
      </c>
      <c r="S155" s="95" t="s">
        <v>99</v>
      </c>
      <c r="T155" s="95" t="s">
        <v>207</v>
      </c>
    </row>
    <row r="156" spans="1:20" x14ac:dyDescent="0.2">
      <c r="A156" s="95" t="s">
        <v>65</v>
      </c>
      <c r="B156" s="95" t="s">
        <v>66</v>
      </c>
      <c r="C156" s="95" t="s">
        <v>85</v>
      </c>
      <c r="D156" s="95" t="s">
        <v>81</v>
      </c>
      <c r="F156" s="95">
        <v>1.5</v>
      </c>
      <c r="G156" s="95">
        <v>5.78</v>
      </c>
      <c r="I156" s="95">
        <v>0.65187499999999998</v>
      </c>
      <c r="P156" s="95">
        <v>2023</v>
      </c>
      <c r="Q156" s="95" t="s">
        <v>191</v>
      </c>
      <c r="R156" s="95" t="s">
        <v>208</v>
      </c>
      <c r="S156" s="95" t="s">
        <v>99</v>
      </c>
      <c r="T156" s="95" t="s">
        <v>209</v>
      </c>
    </row>
    <row r="157" spans="1:20" x14ac:dyDescent="0.2">
      <c r="A157" s="95" t="s">
        <v>65</v>
      </c>
      <c r="B157" s="95" t="s">
        <v>66</v>
      </c>
      <c r="C157" s="95" t="s">
        <v>86</v>
      </c>
      <c r="D157" s="95" t="s">
        <v>68</v>
      </c>
      <c r="F157" s="95">
        <v>2</v>
      </c>
      <c r="G157" s="95">
        <v>10</v>
      </c>
      <c r="I157" s="95">
        <v>1.89</v>
      </c>
      <c r="P157" s="95">
        <v>2023</v>
      </c>
      <c r="Q157" s="95" t="s">
        <v>210</v>
      </c>
      <c r="R157" s="95" t="s">
        <v>211</v>
      </c>
      <c r="S157" s="95" t="s">
        <v>99</v>
      </c>
      <c r="T157" s="95" t="s">
        <v>212</v>
      </c>
    </row>
    <row r="158" spans="1:20" x14ac:dyDescent="0.2">
      <c r="A158" s="95" t="s">
        <v>65</v>
      </c>
      <c r="B158" s="95" t="s">
        <v>66</v>
      </c>
      <c r="C158" s="95" t="s">
        <v>85</v>
      </c>
      <c r="D158" s="95" t="s">
        <v>81</v>
      </c>
      <c r="F158" s="95">
        <v>2</v>
      </c>
      <c r="G158" s="95">
        <v>7.7</v>
      </c>
      <c r="I158" s="95">
        <v>0.83218749999999997</v>
      </c>
      <c r="P158" s="95">
        <v>2023</v>
      </c>
      <c r="Q158" s="95" t="s">
        <v>191</v>
      </c>
      <c r="R158" s="95" t="s">
        <v>213</v>
      </c>
      <c r="S158" s="95" t="s">
        <v>99</v>
      </c>
      <c r="T158" s="95" t="s">
        <v>214</v>
      </c>
    </row>
    <row r="159" spans="1:20" x14ac:dyDescent="0.2">
      <c r="A159" s="95" t="s">
        <v>65</v>
      </c>
      <c r="B159" s="95" t="s">
        <v>66</v>
      </c>
      <c r="C159" s="95" t="s">
        <v>86</v>
      </c>
      <c r="D159" s="95" t="s">
        <v>68</v>
      </c>
      <c r="F159" s="95">
        <v>2</v>
      </c>
      <c r="G159" s="95">
        <v>10</v>
      </c>
      <c r="I159" s="95">
        <v>1.85625</v>
      </c>
      <c r="P159" s="95">
        <v>2023</v>
      </c>
      <c r="Q159" s="95" t="s">
        <v>176</v>
      </c>
      <c r="R159" s="95" t="s">
        <v>215</v>
      </c>
      <c r="S159" s="95" t="s">
        <v>99</v>
      </c>
      <c r="T159" s="95" t="s">
        <v>216</v>
      </c>
    </row>
    <row r="160" spans="1:20" x14ac:dyDescent="0.2">
      <c r="A160" s="95" t="s">
        <v>65</v>
      </c>
      <c r="B160" s="95" t="s">
        <v>66</v>
      </c>
      <c r="C160" s="95" t="s">
        <v>86</v>
      </c>
      <c r="D160" s="95" t="s">
        <v>68</v>
      </c>
      <c r="F160" s="95">
        <v>2</v>
      </c>
      <c r="G160" s="95">
        <v>10</v>
      </c>
      <c r="I160" s="95">
        <v>1.85625</v>
      </c>
      <c r="P160" s="95">
        <v>2023</v>
      </c>
      <c r="Q160" s="95" t="s">
        <v>217</v>
      </c>
      <c r="R160" s="95" t="s">
        <v>218</v>
      </c>
      <c r="S160" s="95" t="s">
        <v>99</v>
      </c>
      <c r="T160" s="95" t="s">
        <v>219</v>
      </c>
    </row>
    <row r="161" spans="1:20" x14ac:dyDescent="0.2">
      <c r="A161" s="95" t="s">
        <v>65</v>
      </c>
      <c r="B161" s="95" t="s">
        <v>66</v>
      </c>
      <c r="C161" s="95" t="s">
        <v>85</v>
      </c>
      <c r="D161" s="95" t="s">
        <v>81</v>
      </c>
      <c r="F161" s="95">
        <v>2</v>
      </c>
      <c r="G161" s="95">
        <v>10</v>
      </c>
      <c r="I161" s="95">
        <v>2.875</v>
      </c>
      <c r="P161" s="95">
        <v>2023</v>
      </c>
      <c r="Q161" s="95" t="s">
        <v>182</v>
      </c>
      <c r="R161" s="95" t="s">
        <v>220</v>
      </c>
      <c r="S161" s="95" t="s">
        <v>99</v>
      </c>
      <c r="T161" s="95" t="s">
        <v>221</v>
      </c>
    </row>
    <row r="162" spans="1:20" x14ac:dyDescent="0.2">
      <c r="A162" s="95" t="s">
        <v>65</v>
      </c>
      <c r="B162" s="95" t="s">
        <v>66</v>
      </c>
      <c r="C162" s="95" t="s">
        <v>86</v>
      </c>
      <c r="D162" s="95" t="s">
        <v>81</v>
      </c>
      <c r="F162" s="95">
        <v>2</v>
      </c>
      <c r="G162" s="95">
        <v>10</v>
      </c>
      <c r="I162" s="95">
        <v>5.2262500000000003</v>
      </c>
      <c r="P162" s="95">
        <v>2023</v>
      </c>
      <c r="Q162" s="95" t="s">
        <v>199</v>
      </c>
      <c r="R162" s="95" t="s">
        <v>222</v>
      </c>
      <c r="S162" s="95" t="s">
        <v>99</v>
      </c>
      <c r="T162" s="95" t="s">
        <v>223</v>
      </c>
    </row>
    <row r="163" spans="1:20" x14ac:dyDescent="0.2">
      <c r="A163" s="95" t="s">
        <v>65</v>
      </c>
      <c r="B163" s="95" t="s">
        <v>66</v>
      </c>
      <c r="C163" s="95" t="s">
        <v>86</v>
      </c>
      <c r="D163" s="95" t="s">
        <v>81</v>
      </c>
      <c r="F163" s="95">
        <v>2</v>
      </c>
      <c r="G163" s="95">
        <v>10</v>
      </c>
      <c r="I163" s="95">
        <v>4.9924999999999997</v>
      </c>
      <c r="P163" s="95">
        <v>2023</v>
      </c>
      <c r="Q163" s="95" t="s">
        <v>199</v>
      </c>
      <c r="R163" s="95" t="s">
        <v>224</v>
      </c>
      <c r="S163" s="95" t="s">
        <v>99</v>
      </c>
      <c r="T163" s="95" t="s">
        <v>225</v>
      </c>
    </row>
    <row r="164" spans="1:20" x14ac:dyDescent="0.2">
      <c r="A164" s="95" t="s">
        <v>65</v>
      </c>
      <c r="B164" s="95" t="s">
        <v>66</v>
      </c>
      <c r="C164" s="95" t="s">
        <v>86</v>
      </c>
      <c r="D164" s="95" t="s">
        <v>81</v>
      </c>
      <c r="F164" s="95">
        <v>2</v>
      </c>
      <c r="G164" s="95">
        <v>10</v>
      </c>
      <c r="I164" s="95">
        <v>5.15625</v>
      </c>
      <c r="P164" s="95">
        <v>2023</v>
      </c>
      <c r="Q164" s="95" t="s">
        <v>199</v>
      </c>
      <c r="R164" s="95" t="s">
        <v>226</v>
      </c>
      <c r="S164" s="95" t="s">
        <v>99</v>
      </c>
      <c r="T164" s="95" t="s">
        <v>227</v>
      </c>
    </row>
    <row r="165" spans="1:20" x14ac:dyDescent="0.2">
      <c r="A165" s="95" t="s">
        <v>65</v>
      </c>
      <c r="B165" s="95" t="s">
        <v>66</v>
      </c>
      <c r="C165" s="95" t="s">
        <v>85</v>
      </c>
      <c r="D165" s="95" t="s">
        <v>68</v>
      </c>
      <c r="F165" s="95">
        <v>2.38</v>
      </c>
      <c r="G165" s="95">
        <v>10</v>
      </c>
      <c r="I165" s="95">
        <v>2.5821874999999999</v>
      </c>
      <c r="P165" s="95">
        <v>2023</v>
      </c>
      <c r="Q165" s="95" t="s">
        <v>228</v>
      </c>
      <c r="R165" s="95" t="s">
        <v>229</v>
      </c>
      <c r="S165" s="95" t="s">
        <v>99</v>
      </c>
      <c r="T165" s="95" t="s">
        <v>230</v>
      </c>
    </row>
    <row r="166" spans="1:20" x14ac:dyDescent="0.2">
      <c r="A166" s="95" t="s">
        <v>97</v>
      </c>
      <c r="B166" s="95" t="s">
        <v>66</v>
      </c>
      <c r="C166" s="95" t="s">
        <v>239</v>
      </c>
      <c r="G166" s="95">
        <v>2</v>
      </c>
      <c r="H166" s="95">
        <v>3.7</v>
      </c>
      <c r="I166" s="95">
        <v>0.876</v>
      </c>
      <c r="P166" s="95">
        <v>2023</v>
      </c>
      <c r="R166" s="95" t="s">
        <v>240</v>
      </c>
      <c r="S166" s="95" t="s">
        <v>99</v>
      </c>
      <c r="T166" s="95" t="s">
        <v>241</v>
      </c>
    </row>
    <row r="167" spans="1:20" x14ac:dyDescent="0.2">
      <c r="A167" s="95" t="s">
        <v>97</v>
      </c>
      <c r="B167" s="95" t="s">
        <v>66</v>
      </c>
      <c r="C167" s="95" t="s">
        <v>252</v>
      </c>
      <c r="G167" s="95">
        <v>6.44</v>
      </c>
      <c r="I167" s="95">
        <v>1.9450000000000001</v>
      </c>
      <c r="P167" s="95">
        <v>2023</v>
      </c>
      <c r="R167" s="95" t="s">
        <v>242</v>
      </c>
      <c r="S167" s="95" t="s">
        <v>99</v>
      </c>
      <c r="T167" s="95" t="s">
        <v>243</v>
      </c>
    </row>
    <row r="168" spans="1:20" x14ac:dyDescent="0.2">
      <c r="A168" s="95" t="s">
        <v>97</v>
      </c>
      <c r="B168" s="95" t="s">
        <v>66</v>
      </c>
      <c r="C168" s="95" t="s">
        <v>239</v>
      </c>
      <c r="G168" s="95">
        <v>3.7</v>
      </c>
      <c r="I168" s="95">
        <v>1.0760000000000001</v>
      </c>
      <c r="P168" s="95">
        <v>2023</v>
      </c>
      <c r="R168" s="95" t="s">
        <v>244</v>
      </c>
      <c r="S168" s="95" t="s">
        <v>99</v>
      </c>
      <c r="T168" s="95" t="s">
        <v>245</v>
      </c>
    </row>
    <row r="169" spans="1:20" x14ac:dyDescent="0.2">
      <c r="A169" s="95" t="s">
        <v>97</v>
      </c>
      <c r="B169" s="95" t="s">
        <v>66</v>
      </c>
      <c r="C169" s="95" t="s">
        <v>239</v>
      </c>
      <c r="G169" s="95">
        <v>4.49</v>
      </c>
      <c r="H169" s="95">
        <v>4</v>
      </c>
      <c r="I169" s="95">
        <v>1.3759999999999999</v>
      </c>
      <c r="P169" s="95">
        <v>2023</v>
      </c>
      <c r="R169" s="95" t="s">
        <v>246</v>
      </c>
      <c r="S169" s="95" t="s">
        <v>99</v>
      </c>
      <c r="T169" s="95" t="s">
        <v>247</v>
      </c>
    </row>
    <row r="170" spans="1:20" x14ac:dyDescent="0.2">
      <c r="A170" s="95" t="s">
        <v>97</v>
      </c>
      <c r="B170" s="95" t="s">
        <v>66</v>
      </c>
      <c r="C170" s="95" t="s">
        <v>252</v>
      </c>
      <c r="G170" s="95">
        <v>6</v>
      </c>
      <c r="I170" s="95">
        <v>1.9450000000000001</v>
      </c>
      <c r="P170" s="95">
        <v>2023</v>
      </c>
      <c r="R170" s="95" t="s">
        <v>248</v>
      </c>
      <c r="S170" s="95" t="s">
        <v>99</v>
      </c>
      <c r="T170" s="95" t="s">
        <v>249</v>
      </c>
    </row>
    <row r="171" spans="1:20" x14ac:dyDescent="0.2">
      <c r="A171" s="95" t="s">
        <v>97</v>
      </c>
      <c r="B171" s="95" t="s">
        <v>66</v>
      </c>
      <c r="C171" s="95" t="s">
        <v>239</v>
      </c>
      <c r="G171" s="95">
        <v>4.5</v>
      </c>
      <c r="H171" s="95">
        <v>4</v>
      </c>
      <c r="I171" s="95">
        <v>1.536</v>
      </c>
      <c r="P171" s="95">
        <v>2023</v>
      </c>
      <c r="R171" s="95" t="s">
        <v>250</v>
      </c>
      <c r="S171" s="95" t="s">
        <v>99</v>
      </c>
      <c r="T171" s="95" t="s">
        <v>251</v>
      </c>
    </row>
    <row r="172" spans="1:20" x14ac:dyDescent="0.2">
      <c r="A172" s="95" t="s">
        <v>97</v>
      </c>
      <c r="B172" s="95" t="s">
        <v>66</v>
      </c>
      <c r="C172" s="95" t="s">
        <v>252</v>
      </c>
      <c r="G172" s="95">
        <v>6.5</v>
      </c>
      <c r="I172" s="95">
        <v>1.665</v>
      </c>
      <c r="P172" s="95">
        <v>2023</v>
      </c>
      <c r="R172" s="95" t="s">
        <v>253</v>
      </c>
      <c r="S172" s="95" t="s">
        <v>99</v>
      </c>
      <c r="T172" s="95" t="s">
        <v>254</v>
      </c>
    </row>
    <row r="173" spans="1:20" x14ac:dyDescent="0.2">
      <c r="A173" s="95" t="s">
        <v>97</v>
      </c>
      <c r="B173" s="95" t="s">
        <v>66</v>
      </c>
      <c r="C173" s="95" t="s">
        <v>239</v>
      </c>
      <c r="G173" s="95">
        <v>4.5</v>
      </c>
      <c r="H173" s="95">
        <v>4</v>
      </c>
      <c r="I173" s="95">
        <v>0.74750000000000005</v>
      </c>
      <c r="P173" s="95">
        <v>2023</v>
      </c>
      <c r="R173" s="95" t="s">
        <v>255</v>
      </c>
      <c r="S173" s="95" t="s">
        <v>99</v>
      </c>
      <c r="T173" s="95" t="s">
        <v>256</v>
      </c>
    </row>
    <row r="174" spans="1:20" x14ac:dyDescent="0.2">
      <c r="A174" s="95" t="s">
        <v>97</v>
      </c>
      <c r="B174" s="95" t="s">
        <v>66</v>
      </c>
      <c r="C174" s="95" t="s">
        <v>239</v>
      </c>
      <c r="G174" s="95">
        <v>2</v>
      </c>
      <c r="H174" s="95">
        <v>3.7</v>
      </c>
      <c r="I174" s="95">
        <v>0.92642857142857149</v>
      </c>
      <c r="P174" s="95">
        <v>2023</v>
      </c>
      <c r="R174" s="95" t="s">
        <v>257</v>
      </c>
      <c r="S174" s="95" t="s">
        <v>99</v>
      </c>
      <c r="T174" s="95" t="s">
        <v>258</v>
      </c>
    </row>
    <row r="175" spans="1:20" x14ac:dyDescent="0.2">
      <c r="A175" s="95" t="s">
        <v>97</v>
      </c>
      <c r="B175" s="95" t="s">
        <v>66</v>
      </c>
      <c r="C175" s="95" t="s">
        <v>239</v>
      </c>
      <c r="G175" s="95">
        <v>3.8</v>
      </c>
      <c r="I175" s="95">
        <v>1.4950000000000001</v>
      </c>
      <c r="P175" s="95">
        <v>2023</v>
      </c>
      <c r="R175" s="95" t="s">
        <v>259</v>
      </c>
      <c r="S175" s="95" t="s">
        <v>99</v>
      </c>
      <c r="T175" s="95" t="s">
        <v>260</v>
      </c>
    </row>
    <row r="176" spans="1:20" x14ac:dyDescent="0.2">
      <c r="A176" s="95" t="s">
        <v>97</v>
      </c>
      <c r="B176" s="95" t="s">
        <v>66</v>
      </c>
      <c r="C176" s="95" t="s">
        <v>239</v>
      </c>
      <c r="G176" s="95">
        <v>2</v>
      </c>
      <c r="H176" s="95">
        <v>3.7</v>
      </c>
      <c r="I176" s="95">
        <v>1.4970000000000001</v>
      </c>
      <c r="P176" s="95">
        <v>2023</v>
      </c>
      <c r="R176" s="95" t="s">
        <v>261</v>
      </c>
      <c r="S176" s="95" t="s">
        <v>99</v>
      </c>
      <c r="T176" s="95" t="s">
        <v>262</v>
      </c>
    </row>
    <row r="177" spans="1:20" x14ac:dyDescent="0.2">
      <c r="A177" s="95" t="s">
        <v>97</v>
      </c>
      <c r="B177" s="95" t="s">
        <v>66</v>
      </c>
      <c r="C177" s="95" t="s">
        <v>239</v>
      </c>
      <c r="G177" s="95">
        <v>4</v>
      </c>
      <c r="I177" s="95">
        <v>1.3283333333333334</v>
      </c>
      <c r="P177" s="95">
        <v>2023</v>
      </c>
      <c r="R177" s="95" t="s">
        <v>263</v>
      </c>
      <c r="S177" s="95" t="s">
        <v>99</v>
      </c>
      <c r="T177" s="95" t="s">
        <v>264</v>
      </c>
    </row>
    <row r="178" spans="1:20" x14ac:dyDescent="0.2">
      <c r="A178" s="95" t="s">
        <v>97</v>
      </c>
      <c r="B178" s="95" t="s">
        <v>66</v>
      </c>
      <c r="C178" s="95" t="s">
        <v>239</v>
      </c>
      <c r="G178" s="95">
        <v>3.7</v>
      </c>
      <c r="I178" s="95">
        <v>1.1960000000000002</v>
      </c>
      <c r="P178" s="95">
        <v>2023</v>
      </c>
      <c r="R178" s="95" t="s">
        <v>265</v>
      </c>
      <c r="S178" s="95" t="s">
        <v>99</v>
      </c>
      <c r="T178" s="95" t="s">
        <v>266</v>
      </c>
    </row>
    <row r="179" spans="1:20" x14ac:dyDescent="0.2">
      <c r="A179" s="95" t="s">
        <v>97</v>
      </c>
      <c r="B179" s="95" t="s">
        <v>66</v>
      </c>
      <c r="C179" s="95" t="s">
        <v>252</v>
      </c>
      <c r="G179" s="95">
        <v>14</v>
      </c>
      <c r="H179" s="95">
        <v>6.8</v>
      </c>
      <c r="I179" s="95">
        <v>1.6658153846153845</v>
      </c>
      <c r="P179" s="95">
        <v>2023</v>
      </c>
      <c r="R179" s="95" t="s">
        <v>267</v>
      </c>
      <c r="S179" s="95" t="s">
        <v>99</v>
      </c>
      <c r="T179" s="95" t="s">
        <v>268</v>
      </c>
    </row>
    <row r="180" spans="1:20" x14ac:dyDescent="0.2">
      <c r="A180" s="95" t="s">
        <v>97</v>
      </c>
      <c r="B180" s="95" t="s">
        <v>66</v>
      </c>
      <c r="C180" s="95" t="s">
        <v>239</v>
      </c>
      <c r="G180" s="95">
        <v>4</v>
      </c>
      <c r="I180" s="95">
        <v>1.9957142857142858</v>
      </c>
      <c r="P180" s="95">
        <v>2023</v>
      </c>
      <c r="R180" s="95" t="s">
        <v>269</v>
      </c>
      <c r="S180" s="95" t="s">
        <v>99</v>
      </c>
      <c r="T180" s="95" t="s">
        <v>270</v>
      </c>
    </row>
    <row r="181" spans="1:20" x14ac:dyDescent="0.2">
      <c r="A181" s="95" t="s">
        <v>97</v>
      </c>
      <c r="B181" s="95" t="s">
        <v>66</v>
      </c>
      <c r="C181" s="95" t="s">
        <v>239</v>
      </c>
      <c r="G181" s="95">
        <v>4</v>
      </c>
      <c r="I181" s="95">
        <v>1.7100000000000002</v>
      </c>
      <c r="P181" s="95">
        <v>2023</v>
      </c>
      <c r="R181" s="95" t="s">
        <v>271</v>
      </c>
      <c r="S181" s="95" t="s">
        <v>99</v>
      </c>
      <c r="T181" s="95" t="s">
        <v>272</v>
      </c>
    </row>
    <row r="182" spans="1:20" x14ac:dyDescent="0.2">
      <c r="A182" s="95" t="s">
        <v>97</v>
      </c>
      <c r="B182" s="95" t="s">
        <v>66</v>
      </c>
      <c r="C182" s="95" t="s">
        <v>252</v>
      </c>
      <c r="G182" s="95">
        <v>14</v>
      </c>
      <c r="H182" s="95">
        <v>6.8</v>
      </c>
      <c r="I182" s="95">
        <v>1.621032258064516</v>
      </c>
      <c r="P182" s="95">
        <v>2023</v>
      </c>
      <c r="R182" s="95" t="s">
        <v>273</v>
      </c>
      <c r="S182" s="95" t="s">
        <v>99</v>
      </c>
      <c r="T182" s="95" t="s">
        <v>274</v>
      </c>
    </row>
    <row r="183" spans="1:20" x14ac:dyDescent="0.2">
      <c r="A183" s="95" t="s">
        <v>97</v>
      </c>
      <c r="B183" s="95" t="s">
        <v>66</v>
      </c>
      <c r="C183" s="95" t="s">
        <v>252</v>
      </c>
      <c r="G183" s="95">
        <v>5.5</v>
      </c>
      <c r="I183" s="95">
        <v>2.2069047619047617</v>
      </c>
      <c r="P183" s="95">
        <v>2023</v>
      </c>
      <c r="R183" s="95" t="s">
        <v>275</v>
      </c>
      <c r="S183" s="95" t="s">
        <v>99</v>
      </c>
      <c r="T183" s="95" t="s">
        <v>276</v>
      </c>
    </row>
    <row r="184" spans="1:20" x14ac:dyDescent="0.2">
      <c r="A184" s="95" t="s">
        <v>97</v>
      </c>
      <c r="B184" s="95" t="s">
        <v>66</v>
      </c>
      <c r="C184" s="95" t="s">
        <v>252</v>
      </c>
      <c r="G184" s="95">
        <v>3.7</v>
      </c>
      <c r="I184" s="95">
        <v>6.427142857142857</v>
      </c>
      <c r="P184" s="95">
        <v>2023</v>
      </c>
      <c r="R184" s="95" t="s">
        <v>277</v>
      </c>
      <c r="S184" s="95" t="s">
        <v>99</v>
      </c>
      <c r="T184" s="95" t="s">
        <v>278</v>
      </c>
    </row>
    <row r="185" spans="1:20" x14ac:dyDescent="0.2">
      <c r="A185" s="95" t="s">
        <v>97</v>
      </c>
      <c r="B185" s="95" t="s">
        <v>66</v>
      </c>
      <c r="C185" s="95" t="s">
        <v>239</v>
      </c>
      <c r="G185" s="95">
        <v>3.8</v>
      </c>
      <c r="I185" s="95">
        <v>1.1475</v>
      </c>
      <c r="P185" s="95">
        <v>2023</v>
      </c>
      <c r="R185" s="95" t="s">
        <v>279</v>
      </c>
      <c r="S185" s="95" t="s">
        <v>99</v>
      </c>
      <c r="T185" s="95" t="s">
        <v>280</v>
      </c>
    </row>
    <row r="186" spans="1:20" x14ac:dyDescent="0.2">
      <c r="A186" s="95" t="s">
        <v>97</v>
      </c>
      <c r="B186" s="95" t="s">
        <v>66</v>
      </c>
      <c r="C186" s="95" t="s">
        <v>252</v>
      </c>
      <c r="G186" s="95">
        <v>3.7</v>
      </c>
      <c r="I186" s="95">
        <v>9.2707142857142859</v>
      </c>
      <c r="P186" s="95">
        <v>2023</v>
      </c>
      <c r="R186" s="95" t="s">
        <v>281</v>
      </c>
      <c r="S186" s="95" t="s">
        <v>99</v>
      </c>
      <c r="T186" s="95" t="s">
        <v>282</v>
      </c>
    </row>
    <row r="187" spans="1:20" x14ac:dyDescent="0.2">
      <c r="A187" s="95" t="s">
        <v>97</v>
      </c>
      <c r="B187" s="95" t="s">
        <v>66</v>
      </c>
      <c r="C187" s="95" t="s">
        <v>252</v>
      </c>
      <c r="G187" s="95">
        <v>3.7</v>
      </c>
      <c r="I187" s="95">
        <v>7.2735714285714286</v>
      </c>
      <c r="P187" s="95">
        <v>2023</v>
      </c>
      <c r="R187" s="95" t="s">
        <v>283</v>
      </c>
      <c r="S187" s="95" t="s">
        <v>99</v>
      </c>
      <c r="T187" s="95" t="s">
        <v>284</v>
      </c>
    </row>
    <row r="188" spans="1:20" x14ac:dyDescent="0.2">
      <c r="A188" s="95" t="s">
        <v>73</v>
      </c>
      <c r="B188" s="95" t="s">
        <v>66</v>
      </c>
      <c r="C188" s="95" t="s">
        <v>91</v>
      </c>
      <c r="D188" s="95" t="s">
        <v>68</v>
      </c>
      <c r="F188" s="95">
        <v>2</v>
      </c>
      <c r="G188" s="95">
        <v>8.4</v>
      </c>
      <c r="I188" s="95">
        <v>3.6652473958333331</v>
      </c>
      <c r="P188" s="95">
        <v>2023</v>
      </c>
      <c r="Q188" s="95" t="s">
        <v>176</v>
      </c>
      <c r="R188" s="95" t="s">
        <v>285</v>
      </c>
      <c r="S188" s="95" t="s">
        <v>99</v>
      </c>
      <c r="T188" s="95" t="s">
        <v>286</v>
      </c>
    </row>
    <row r="189" spans="1:20" x14ac:dyDescent="0.2">
      <c r="A189" s="95" t="s">
        <v>73</v>
      </c>
      <c r="B189" s="95" t="s">
        <v>66</v>
      </c>
      <c r="C189" s="95" t="s">
        <v>287</v>
      </c>
      <c r="D189" s="95" t="s">
        <v>68</v>
      </c>
      <c r="I189" s="95">
        <v>1.1765886287625418</v>
      </c>
      <c r="P189" s="95">
        <v>2023</v>
      </c>
      <c r="Q189" s="95" t="s">
        <v>288</v>
      </c>
      <c r="R189" s="95" t="s">
        <v>289</v>
      </c>
      <c r="S189" s="95" t="s">
        <v>99</v>
      </c>
      <c r="T189" s="95" t="s">
        <v>290</v>
      </c>
    </row>
    <row r="190" spans="1:20" x14ac:dyDescent="0.2">
      <c r="A190" s="95" t="s">
        <v>73</v>
      </c>
      <c r="B190" s="95" t="s">
        <v>66</v>
      </c>
      <c r="C190" s="95" t="s">
        <v>291</v>
      </c>
      <c r="D190" s="95" t="s">
        <v>68</v>
      </c>
      <c r="F190" s="95">
        <v>3.5</v>
      </c>
      <c r="G190" s="95">
        <v>13</v>
      </c>
      <c r="I190" s="95">
        <v>1.3846938775510202</v>
      </c>
      <c r="P190" s="95">
        <v>2023</v>
      </c>
      <c r="Q190" s="95" t="s">
        <v>292</v>
      </c>
      <c r="R190" s="95" t="s">
        <v>293</v>
      </c>
      <c r="S190" s="95" t="s">
        <v>99</v>
      </c>
      <c r="T190" s="95" t="s">
        <v>102</v>
      </c>
    </row>
    <row r="191" spans="1:20" x14ac:dyDescent="0.2">
      <c r="A191" s="95" t="s">
        <v>73</v>
      </c>
      <c r="B191" s="95" t="s">
        <v>66</v>
      </c>
      <c r="C191" s="95" t="s">
        <v>291</v>
      </c>
      <c r="D191" s="95" t="s">
        <v>68</v>
      </c>
      <c r="F191" s="95">
        <v>3.5</v>
      </c>
      <c r="G191" s="95">
        <v>15</v>
      </c>
      <c r="I191" s="95">
        <v>1.5803571428571428</v>
      </c>
      <c r="P191" s="95">
        <v>2023</v>
      </c>
      <c r="Q191" s="95" t="s">
        <v>292</v>
      </c>
      <c r="R191" s="95" t="s">
        <v>294</v>
      </c>
      <c r="S191" s="95" t="s">
        <v>99</v>
      </c>
      <c r="T191" s="95" t="s">
        <v>106</v>
      </c>
    </row>
    <row r="192" spans="1:20" x14ac:dyDescent="0.2">
      <c r="A192" s="95" t="s">
        <v>73</v>
      </c>
      <c r="B192" s="95" t="s">
        <v>66</v>
      </c>
      <c r="C192" s="95" t="s">
        <v>295</v>
      </c>
      <c r="D192" s="95" t="s">
        <v>68</v>
      </c>
      <c r="F192" s="95">
        <v>3.5</v>
      </c>
      <c r="G192" s="95">
        <v>15</v>
      </c>
      <c r="I192" s="95">
        <v>1.3144053601340033</v>
      </c>
      <c r="P192" s="95">
        <v>2023</v>
      </c>
      <c r="Q192" s="95" t="s">
        <v>296</v>
      </c>
      <c r="R192" s="95" t="s">
        <v>297</v>
      </c>
      <c r="S192" s="95" t="s">
        <v>99</v>
      </c>
      <c r="T192" s="95" t="s">
        <v>110</v>
      </c>
    </row>
    <row r="193" spans="1:20" x14ac:dyDescent="0.2">
      <c r="A193" s="95" t="s">
        <v>73</v>
      </c>
      <c r="B193" s="95" t="s">
        <v>66</v>
      </c>
      <c r="C193" s="95" t="s">
        <v>291</v>
      </c>
      <c r="D193" s="95" t="s">
        <v>68</v>
      </c>
      <c r="F193" s="95">
        <v>7.125</v>
      </c>
      <c r="G193" s="95">
        <v>30</v>
      </c>
      <c r="I193" s="95">
        <v>3.7503401360544215</v>
      </c>
      <c r="P193" s="95">
        <v>2023</v>
      </c>
      <c r="Q193" s="95" t="s">
        <v>298</v>
      </c>
      <c r="R193" s="95" t="s">
        <v>299</v>
      </c>
      <c r="S193" s="95" t="s">
        <v>99</v>
      </c>
      <c r="T193" s="95" t="s">
        <v>117</v>
      </c>
    </row>
    <row r="194" spans="1:20" x14ac:dyDescent="0.2">
      <c r="A194" s="95" t="s">
        <v>73</v>
      </c>
      <c r="B194" s="95" t="s">
        <v>66</v>
      </c>
      <c r="C194" s="95" t="s">
        <v>291</v>
      </c>
      <c r="D194" s="95" t="s">
        <v>68</v>
      </c>
      <c r="F194" s="95">
        <v>5.5</v>
      </c>
      <c r="G194" s="95">
        <v>23</v>
      </c>
      <c r="I194" s="95">
        <v>2.0020483613109512</v>
      </c>
      <c r="P194" s="95">
        <v>2023</v>
      </c>
      <c r="Q194" s="95" t="s">
        <v>300</v>
      </c>
      <c r="R194" s="95" t="s">
        <v>301</v>
      </c>
      <c r="S194" s="95" t="s">
        <v>99</v>
      </c>
      <c r="T194" s="95" t="s">
        <v>302</v>
      </c>
    </row>
    <row r="195" spans="1:20" x14ac:dyDescent="0.2">
      <c r="A195" s="95" t="s">
        <v>73</v>
      </c>
      <c r="B195" s="95" t="s">
        <v>66</v>
      </c>
      <c r="C195" s="95" t="s">
        <v>291</v>
      </c>
      <c r="D195" s="95" t="s">
        <v>68</v>
      </c>
      <c r="F195" s="95">
        <v>7.125</v>
      </c>
      <c r="G195" s="95">
        <v>30</v>
      </c>
      <c r="I195" s="95">
        <v>3.3362777777777777</v>
      </c>
      <c r="P195" s="95">
        <v>2023</v>
      </c>
      <c r="Q195" s="95" t="s">
        <v>298</v>
      </c>
      <c r="R195" s="95" t="s">
        <v>303</v>
      </c>
      <c r="S195" s="95" t="s">
        <v>99</v>
      </c>
      <c r="T195" s="95" t="s">
        <v>123</v>
      </c>
    </row>
    <row r="196" spans="1:20" x14ac:dyDescent="0.2">
      <c r="A196" s="95" t="s">
        <v>73</v>
      </c>
      <c r="B196" s="95" t="s">
        <v>66</v>
      </c>
      <c r="C196" s="95" t="s">
        <v>291</v>
      </c>
      <c r="D196" s="95" t="s">
        <v>68</v>
      </c>
      <c r="F196" s="95">
        <v>5.5</v>
      </c>
      <c r="G196" s="95">
        <v>21</v>
      </c>
      <c r="I196" s="95">
        <v>2.6538701622971286</v>
      </c>
      <c r="P196" s="95">
        <v>2023</v>
      </c>
      <c r="Q196" s="95" t="s">
        <v>304</v>
      </c>
      <c r="R196" s="95" t="s">
        <v>305</v>
      </c>
      <c r="S196" s="95" t="s">
        <v>99</v>
      </c>
      <c r="T196" s="95" t="s">
        <v>119</v>
      </c>
    </row>
    <row r="197" spans="1:20" x14ac:dyDescent="0.2">
      <c r="A197" s="95" t="s">
        <v>73</v>
      </c>
      <c r="B197" s="95" t="s">
        <v>66</v>
      </c>
      <c r="C197" s="95" t="s">
        <v>291</v>
      </c>
      <c r="D197" s="95" t="s">
        <v>68</v>
      </c>
      <c r="F197" s="95">
        <v>5.5</v>
      </c>
      <c r="G197" s="95">
        <v>21</v>
      </c>
      <c r="I197" s="95">
        <v>2.6630356349911191</v>
      </c>
      <c r="P197" s="95">
        <v>2023</v>
      </c>
      <c r="Q197" s="95" t="s">
        <v>300</v>
      </c>
      <c r="R197" s="95" t="s">
        <v>306</v>
      </c>
      <c r="S197" s="95" t="s">
        <v>99</v>
      </c>
      <c r="T197" s="95" t="s">
        <v>139</v>
      </c>
    </row>
    <row r="198" spans="1:20" x14ac:dyDescent="0.2">
      <c r="A198" s="95" t="s">
        <v>73</v>
      </c>
      <c r="B198" s="95" t="s">
        <v>66</v>
      </c>
      <c r="C198" s="95" t="s">
        <v>291</v>
      </c>
      <c r="D198" s="95" t="s">
        <v>68</v>
      </c>
      <c r="F198" s="95">
        <v>3.5</v>
      </c>
      <c r="G198" s="95">
        <v>13</v>
      </c>
      <c r="I198" s="95">
        <v>1.4539939227439227</v>
      </c>
      <c r="P198" s="95">
        <v>2023</v>
      </c>
      <c r="Q198" s="95" t="s">
        <v>300</v>
      </c>
      <c r="R198" s="95" t="s">
        <v>307</v>
      </c>
      <c r="S198" s="95" t="s">
        <v>99</v>
      </c>
      <c r="T198" s="95" t="s">
        <v>146</v>
      </c>
    </row>
    <row r="199" spans="1:20" x14ac:dyDescent="0.2">
      <c r="A199" s="95" t="s">
        <v>76</v>
      </c>
      <c r="B199" s="95" t="s">
        <v>66</v>
      </c>
      <c r="C199" s="95" t="s">
        <v>93</v>
      </c>
      <c r="F199" s="95">
        <v>3.3</v>
      </c>
      <c r="G199" s="95">
        <v>19</v>
      </c>
      <c r="H199" s="95">
        <v>3.7</v>
      </c>
      <c r="I199" s="95">
        <v>0.22500000000000003</v>
      </c>
      <c r="P199" s="95">
        <v>2023</v>
      </c>
      <c r="Q199" s="95" t="s">
        <v>308</v>
      </c>
      <c r="R199" s="95" t="s">
        <v>309</v>
      </c>
      <c r="S199" s="95" t="s">
        <v>99</v>
      </c>
      <c r="T199" s="95" t="s">
        <v>310</v>
      </c>
    </row>
    <row r="200" spans="1:20" x14ac:dyDescent="0.2">
      <c r="A200" s="95" t="s">
        <v>76</v>
      </c>
      <c r="B200" s="95" t="s">
        <v>66</v>
      </c>
      <c r="C200" s="95" t="s">
        <v>67</v>
      </c>
      <c r="F200" s="95">
        <v>20.5</v>
      </c>
      <c r="G200" s="95">
        <v>19</v>
      </c>
      <c r="H200" s="95">
        <v>2.7</v>
      </c>
      <c r="I200" s="95">
        <v>0.37022831050228311</v>
      </c>
      <c r="P200" s="95">
        <v>2023</v>
      </c>
      <c r="Q200" s="95" t="s">
        <v>311</v>
      </c>
      <c r="R200" s="95" t="s">
        <v>312</v>
      </c>
      <c r="S200" s="95" t="s">
        <v>99</v>
      </c>
      <c r="T200" s="95" t="s">
        <v>313</v>
      </c>
    </row>
    <row r="201" spans="1:20" x14ac:dyDescent="0.2">
      <c r="A201" s="95" t="s">
        <v>76</v>
      </c>
      <c r="B201" s="95" t="s">
        <v>66</v>
      </c>
      <c r="C201" s="95" t="s">
        <v>93</v>
      </c>
      <c r="F201" s="95">
        <v>50</v>
      </c>
      <c r="G201" s="95">
        <v>19</v>
      </c>
      <c r="H201" s="95">
        <v>3.7</v>
      </c>
      <c r="I201" s="95">
        <v>0.4126492194674013</v>
      </c>
      <c r="P201" s="95">
        <v>2023</v>
      </c>
      <c r="Q201" s="95" t="s">
        <v>314</v>
      </c>
      <c r="R201" s="95" t="s">
        <v>315</v>
      </c>
      <c r="S201" s="95" t="s">
        <v>99</v>
      </c>
      <c r="T201" s="95" t="s">
        <v>316</v>
      </c>
    </row>
    <row r="202" spans="1:20" x14ac:dyDescent="0.2">
      <c r="A202" s="95" t="s">
        <v>76</v>
      </c>
      <c r="B202" s="95" t="s">
        <v>66</v>
      </c>
      <c r="C202" s="95" t="s">
        <v>93</v>
      </c>
      <c r="F202" s="95">
        <v>3.3</v>
      </c>
      <c r="G202" s="95">
        <v>19</v>
      </c>
      <c r="H202" s="95">
        <v>3.7</v>
      </c>
      <c r="I202" s="95">
        <v>0.54340359094457458</v>
      </c>
      <c r="P202" s="95">
        <v>2023</v>
      </c>
      <c r="Q202" s="95" t="s">
        <v>308</v>
      </c>
      <c r="R202" s="95" t="s">
        <v>317</v>
      </c>
      <c r="S202" s="95" t="s">
        <v>99</v>
      </c>
      <c r="T202" s="95" t="s">
        <v>318</v>
      </c>
    </row>
    <row r="203" spans="1:20" x14ac:dyDescent="0.2">
      <c r="A203" s="95" t="s">
        <v>76</v>
      </c>
      <c r="B203" s="95" t="s">
        <v>66</v>
      </c>
      <c r="C203" s="95" t="s">
        <v>93</v>
      </c>
      <c r="G203" s="95">
        <v>19</v>
      </c>
      <c r="H203" s="95">
        <v>3.7</v>
      </c>
      <c r="I203" s="95">
        <v>0.34180327868852461</v>
      </c>
      <c r="P203" s="95">
        <v>2023</v>
      </c>
      <c r="Q203" s="95" t="s">
        <v>319</v>
      </c>
      <c r="R203" s="95" t="s">
        <v>320</v>
      </c>
      <c r="S203" s="95" t="s">
        <v>321</v>
      </c>
      <c r="T203" s="95" t="s">
        <v>322</v>
      </c>
    </row>
    <row r="204" spans="1:20" x14ac:dyDescent="0.2">
      <c r="A204" s="95" t="s">
        <v>76</v>
      </c>
      <c r="B204" s="95" t="s">
        <v>66</v>
      </c>
      <c r="C204" s="95" t="s">
        <v>67</v>
      </c>
      <c r="G204" s="95">
        <v>19</v>
      </c>
      <c r="H204" s="95">
        <v>3</v>
      </c>
      <c r="I204" s="95">
        <v>0.52357723577235771</v>
      </c>
      <c r="P204" s="95">
        <v>2023</v>
      </c>
      <c r="Q204" s="95" t="s">
        <v>311</v>
      </c>
      <c r="R204" s="95" t="s">
        <v>323</v>
      </c>
      <c r="S204" s="95" t="s">
        <v>321</v>
      </c>
      <c r="T204" s="95" t="s">
        <v>324</v>
      </c>
    </row>
    <row r="205" spans="1:20" x14ac:dyDescent="0.2">
      <c r="A205" s="95" t="s">
        <v>76</v>
      </c>
      <c r="B205" s="95" t="s">
        <v>66</v>
      </c>
      <c r="C205" s="95" t="s">
        <v>67</v>
      </c>
      <c r="G205" s="95">
        <v>19</v>
      </c>
      <c r="H205" s="95">
        <v>3</v>
      </c>
      <c r="I205" s="95">
        <v>1.0835591689250226</v>
      </c>
      <c r="P205" s="95">
        <v>2023</v>
      </c>
      <c r="Q205" s="95" t="s">
        <v>311</v>
      </c>
      <c r="R205" s="95" t="s">
        <v>325</v>
      </c>
      <c r="S205" s="95" t="s">
        <v>321</v>
      </c>
      <c r="T205" s="95" t="s">
        <v>326</v>
      </c>
    </row>
    <row r="206" spans="1:20" x14ac:dyDescent="0.2">
      <c r="A206" s="95" t="s">
        <v>73</v>
      </c>
      <c r="B206" s="95" t="s">
        <v>87</v>
      </c>
      <c r="C206" s="95" t="s">
        <v>67</v>
      </c>
      <c r="D206" s="95" t="s">
        <v>81</v>
      </c>
      <c r="E206" s="95" t="s">
        <v>88</v>
      </c>
      <c r="F206" s="95">
        <v>3.5</v>
      </c>
      <c r="G206" s="95">
        <v>13</v>
      </c>
      <c r="I206" s="95">
        <v>1</v>
      </c>
      <c r="J206" s="95">
        <v>1.0999999999999999E-2</v>
      </c>
      <c r="K206" s="95">
        <v>0.44</v>
      </c>
      <c r="L206" s="95">
        <v>1.82</v>
      </c>
      <c r="O206" s="95">
        <v>999</v>
      </c>
      <c r="P206" s="95">
        <v>2023</v>
      </c>
      <c r="R206" s="95" t="s">
        <v>87</v>
      </c>
      <c r="S206" s="95" t="s">
        <v>70</v>
      </c>
    </row>
    <row r="207" spans="1:20" x14ac:dyDescent="0.2">
      <c r="A207" s="95" t="s">
        <v>73</v>
      </c>
      <c r="B207" s="95" t="s">
        <v>87</v>
      </c>
      <c r="C207" s="95" t="s">
        <v>67</v>
      </c>
      <c r="D207" s="95" t="s">
        <v>81</v>
      </c>
      <c r="E207" s="95" t="s">
        <v>88</v>
      </c>
      <c r="F207" s="95">
        <v>6.25</v>
      </c>
      <c r="G207" s="95">
        <v>19</v>
      </c>
      <c r="I207" s="95">
        <v>1.1000000000000001</v>
      </c>
      <c r="J207" s="95">
        <v>1.2999999999999999E-2</v>
      </c>
      <c r="K207" s="95">
        <v>0.52</v>
      </c>
      <c r="L207" s="95">
        <v>2.0499999999999998</v>
      </c>
      <c r="O207" s="95">
        <v>999</v>
      </c>
      <c r="P207" s="95">
        <v>2023</v>
      </c>
      <c r="R207" s="95" t="s">
        <v>87</v>
      </c>
      <c r="S207" s="95" t="s">
        <v>70</v>
      </c>
    </row>
    <row r="208" spans="1:20" x14ac:dyDescent="0.2">
      <c r="A208" s="95" t="s">
        <v>73</v>
      </c>
      <c r="B208" s="95" t="s">
        <v>87</v>
      </c>
      <c r="C208" s="95" t="s">
        <v>67</v>
      </c>
      <c r="D208" s="95" t="s">
        <v>81</v>
      </c>
      <c r="E208" s="95" t="s">
        <v>88</v>
      </c>
      <c r="F208" s="95">
        <v>9.5</v>
      </c>
      <c r="G208" s="95">
        <v>30</v>
      </c>
      <c r="I208" s="95">
        <v>1</v>
      </c>
      <c r="J208" s="95">
        <v>1.6E-2</v>
      </c>
      <c r="K208" s="95">
        <v>0.62</v>
      </c>
      <c r="L208" s="95">
        <v>2.11</v>
      </c>
      <c r="O208" s="95">
        <v>999</v>
      </c>
      <c r="P208" s="95">
        <v>2023</v>
      </c>
      <c r="R208" s="95" t="s">
        <v>87</v>
      </c>
      <c r="S208" s="95" t="s">
        <v>70</v>
      </c>
    </row>
    <row r="209" spans="1:19" x14ac:dyDescent="0.2">
      <c r="A209" s="95" t="s">
        <v>73</v>
      </c>
      <c r="B209" s="95" t="s">
        <v>87</v>
      </c>
      <c r="C209" s="95" t="s">
        <v>67</v>
      </c>
      <c r="D209" s="95" t="s">
        <v>81</v>
      </c>
      <c r="E209" s="95" t="s">
        <v>88</v>
      </c>
      <c r="F209" s="95">
        <v>12</v>
      </c>
      <c r="G209" s="95">
        <v>38</v>
      </c>
      <c r="I209" s="95">
        <v>1.58</v>
      </c>
      <c r="J209" s="95">
        <v>1.7000000000000001E-2</v>
      </c>
      <c r="K209" s="95">
        <v>0.65</v>
      </c>
      <c r="L209" s="95">
        <v>2.8</v>
      </c>
      <c r="O209" s="95">
        <v>999</v>
      </c>
      <c r="P209" s="95">
        <v>2023</v>
      </c>
      <c r="R209" s="95" t="s">
        <v>87</v>
      </c>
      <c r="S209" s="95" t="s">
        <v>70</v>
      </c>
    </row>
    <row r="210" spans="1:19" x14ac:dyDescent="0.2">
      <c r="A210" s="95" t="s">
        <v>73</v>
      </c>
      <c r="B210" s="95" t="s">
        <v>87</v>
      </c>
      <c r="C210" s="95" t="s">
        <v>67</v>
      </c>
      <c r="D210" s="95" t="s">
        <v>68</v>
      </c>
      <c r="E210" s="95" t="s">
        <v>68</v>
      </c>
      <c r="F210" s="95">
        <v>3.5</v>
      </c>
      <c r="G210" s="95">
        <v>13</v>
      </c>
      <c r="I210" s="95">
        <v>0.59</v>
      </c>
      <c r="J210" s="95">
        <v>1.2999999999999999E-2</v>
      </c>
      <c r="K210" s="95">
        <v>0.52</v>
      </c>
      <c r="L210" s="95">
        <v>1.49</v>
      </c>
      <c r="O210" s="95">
        <v>999</v>
      </c>
      <c r="P210" s="95">
        <v>2023</v>
      </c>
      <c r="R210" s="95" t="s">
        <v>87</v>
      </c>
      <c r="S210" s="95" t="s">
        <v>70</v>
      </c>
    </row>
    <row r="211" spans="1:19" x14ac:dyDescent="0.2">
      <c r="A211" s="95" t="s">
        <v>73</v>
      </c>
      <c r="B211" s="95" t="s">
        <v>87</v>
      </c>
      <c r="C211" s="95" t="s">
        <v>67</v>
      </c>
      <c r="D211" s="95" t="s">
        <v>68</v>
      </c>
      <c r="E211" s="95" t="s">
        <v>68</v>
      </c>
      <c r="F211" s="95">
        <v>6.25</v>
      </c>
      <c r="G211" s="95">
        <v>19</v>
      </c>
      <c r="I211" s="95">
        <v>0.93</v>
      </c>
      <c r="J211" s="95">
        <v>1.6E-2</v>
      </c>
      <c r="K211" s="95">
        <v>0.62</v>
      </c>
      <c r="L211" s="95">
        <v>2.0299999999999998</v>
      </c>
      <c r="O211" s="95">
        <v>999</v>
      </c>
      <c r="P211" s="95">
        <v>2023</v>
      </c>
      <c r="R211" s="95" t="s">
        <v>87</v>
      </c>
      <c r="S211" s="95" t="s">
        <v>70</v>
      </c>
    </row>
    <row r="212" spans="1:19" x14ac:dyDescent="0.2">
      <c r="A212" s="95" t="s">
        <v>73</v>
      </c>
      <c r="B212" s="95" t="s">
        <v>87</v>
      </c>
      <c r="C212" s="95" t="s">
        <v>67</v>
      </c>
      <c r="D212" s="95" t="s">
        <v>68</v>
      </c>
      <c r="E212" s="95" t="s">
        <v>68</v>
      </c>
      <c r="F212" s="95">
        <v>9.5</v>
      </c>
      <c r="G212" s="95">
        <v>30</v>
      </c>
      <c r="I212" s="95">
        <v>1.56</v>
      </c>
      <c r="J212" s="95">
        <v>1.7999999999999999E-2</v>
      </c>
      <c r="K212" s="95">
        <v>0.69</v>
      </c>
      <c r="L212" s="95">
        <v>2.84</v>
      </c>
      <c r="O212" s="95">
        <v>999</v>
      </c>
      <c r="P212" s="95">
        <v>2023</v>
      </c>
      <c r="R212" s="95" t="s">
        <v>87</v>
      </c>
      <c r="S212" s="95" t="s">
        <v>70</v>
      </c>
    </row>
    <row r="213" spans="1:19" x14ac:dyDescent="0.2">
      <c r="A213" s="95" t="s">
        <v>73</v>
      </c>
      <c r="B213" s="95" t="s">
        <v>87</v>
      </c>
      <c r="C213" s="95" t="s">
        <v>67</v>
      </c>
      <c r="D213" s="95" t="s">
        <v>68</v>
      </c>
      <c r="E213" s="95" t="s">
        <v>68</v>
      </c>
      <c r="F213" s="95">
        <v>12</v>
      </c>
      <c r="G213" s="95">
        <v>38</v>
      </c>
      <c r="I213" s="95">
        <v>1.82</v>
      </c>
      <c r="J213" s="95">
        <v>1.9E-2</v>
      </c>
      <c r="K213" s="95">
        <v>0.73</v>
      </c>
      <c r="L213" s="95">
        <v>3.18</v>
      </c>
      <c r="O213" s="95">
        <v>999</v>
      </c>
      <c r="P213" s="95">
        <v>2023</v>
      </c>
      <c r="R213" s="95" t="s">
        <v>87</v>
      </c>
      <c r="S213" s="95" t="s">
        <v>70</v>
      </c>
    </row>
    <row r="214" spans="1:19" x14ac:dyDescent="0.2">
      <c r="A214" s="95" t="s">
        <v>76</v>
      </c>
      <c r="B214" s="95" t="s">
        <v>87</v>
      </c>
      <c r="C214" s="95" t="s">
        <v>93</v>
      </c>
      <c r="D214" s="95" t="s">
        <v>68</v>
      </c>
      <c r="E214" s="95" t="s">
        <v>94</v>
      </c>
      <c r="F214" s="95">
        <v>3.5</v>
      </c>
      <c r="G214" s="95">
        <v>13</v>
      </c>
      <c r="I214" s="95">
        <v>0.25</v>
      </c>
      <c r="J214" s="95">
        <v>5.0000000000000001E-3</v>
      </c>
      <c r="K214" s="95">
        <v>0.15</v>
      </c>
      <c r="L214" s="95">
        <v>0.65</v>
      </c>
      <c r="O214" s="95">
        <v>999</v>
      </c>
      <c r="P214" s="95">
        <v>2023</v>
      </c>
      <c r="R214" s="95" t="s">
        <v>87</v>
      </c>
      <c r="S214" s="95" t="s">
        <v>70</v>
      </c>
    </row>
    <row r="215" spans="1:19" x14ac:dyDescent="0.2">
      <c r="A215" s="95" t="s">
        <v>76</v>
      </c>
      <c r="B215" s="95" t="s">
        <v>87</v>
      </c>
      <c r="C215" s="95" t="s">
        <v>93</v>
      </c>
      <c r="D215" s="95" t="s">
        <v>68</v>
      </c>
      <c r="E215" s="95" t="s">
        <v>94</v>
      </c>
      <c r="F215" s="95">
        <v>5.1875</v>
      </c>
      <c r="G215" s="95">
        <v>19</v>
      </c>
      <c r="I215" s="95">
        <v>0.37</v>
      </c>
      <c r="J215" s="95">
        <v>6.0000000000000001E-3</v>
      </c>
      <c r="K215" s="95">
        <v>0.19</v>
      </c>
      <c r="L215" s="95">
        <v>0.9</v>
      </c>
      <c r="O215" s="95">
        <v>999</v>
      </c>
      <c r="P215" s="95">
        <v>2023</v>
      </c>
      <c r="R215" s="95" t="s">
        <v>87</v>
      </c>
      <c r="S215" s="95" t="s">
        <v>70</v>
      </c>
    </row>
    <row r="216" spans="1:19" x14ac:dyDescent="0.2">
      <c r="A216" s="95" t="s">
        <v>76</v>
      </c>
      <c r="B216" s="95" t="s">
        <v>87</v>
      </c>
      <c r="C216" s="95" t="s">
        <v>93</v>
      </c>
      <c r="D216" s="95" t="s">
        <v>68</v>
      </c>
      <c r="E216" s="95" t="s">
        <v>94</v>
      </c>
      <c r="F216" s="95">
        <v>6.5</v>
      </c>
      <c r="G216" s="95">
        <v>22</v>
      </c>
      <c r="I216" s="95">
        <v>0.48</v>
      </c>
      <c r="J216" s="95">
        <v>8.0000000000000002E-3</v>
      </c>
      <c r="K216" s="95">
        <v>0.24</v>
      </c>
      <c r="L216" s="95">
        <v>1.1399999999999999</v>
      </c>
      <c r="O216" s="95">
        <v>999</v>
      </c>
      <c r="P216" s="95">
        <v>2023</v>
      </c>
      <c r="R216" s="95" t="s">
        <v>87</v>
      </c>
      <c r="S216" s="95" t="s">
        <v>70</v>
      </c>
    </row>
    <row r="217" spans="1:19" x14ac:dyDescent="0.2">
      <c r="A217" s="95" t="s">
        <v>76</v>
      </c>
      <c r="B217" s="95" t="s">
        <v>87</v>
      </c>
      <c r="C217" s="95" t="s">
        <v>93</v>
      </c>
      <c r="D217" s="95" t="s">
        <v>68</v>
      </c>
      <c r="E217" s="95" t="s">
        <v>94</v>
      </c>
      <c r="F217" s="95">
        <v>8.6875</v>
      </c>
      <c r="G217" s="95">
        <v>30</v>
      </c>
      <c r="I217" s="95">
        <v>0.64</v>
      </c>
      <c r="J217" s="95">
        <v>8.9999999999999993E-3</v>
      </c>
      <c r="K217" s="95">
        <v>0.28000000000000003</v>
      </c>
      <c r="L217" s="95">
        <v>1.42</v>
      </c>
      <c r="O217" s="95">
        <v>999</v>
      </c>
      <c r="P217" s="95">
        <v>2023</v>
      </c>
      <c r="R217" s="95" t="s">
        <v>87</v>
      </c>
      <c r="S217" s="95" t="s">
        <v>70</v>
      </c>
    </row>
    <row r="218" spans="1:19" x14ac:dyDescent="0.2">
      <c r="A218" s="95" t="s">
        <v>76</v>
      </c>
      <c r="B218" s="95" t="s">
        <v>87</v>
      </c>
      <c r="C218" s="95" t="s">
        <v>93</v>
      </c>
      <c r="D218" s="95" t="s">
        <v>68</v>
      </c>
      <c r="E218" s="95" t="s">
        <v>94</v>
      </c>
      <c r="F218" s="95">
        <v>10.875</v>
      </c>
      <c r="G218" s="95">
        <v>38</v>
      </c>
      <c r="I218" s="95">
        <v>0.82</v>
      </c>
      <c r="J218" s="95">
        <v>1.2999999999999999E-2</v>
      </c>
      <c r="K218" s="95">
        <v>0.41</v>
      </c>
      <c r="L218" s="95">
        <v>1.93</v>
      </c>
      <c r="O218" s="95">
        <v>999</v>
      </c>
      <c r="P218" s="95">
        <v>2023</v>
      </c>
      <c r="R218" s="95" t="s">
        <v>87</v>
      </c>
      <c r="S218" s="95" t="s">
        <v>70</v>
      </c>
    </row>
    <row r="219" spans="1:19" x14ac:dyDescent="0.2">
      <c r="A219" s="95" t="s">
        <v>76</v>
      </c>
      <c r="B219" s="95" t="s">
        <v>87</v>
      </c>
      <c r="C219" s="95" t="s">
        <v>67</v>
      </c>
      <c r="D219" s="95" t="s">
        <v>68</v>
      </c>
      <c r="E219" s="95" t="s">
        <v>94</v>
      </c>
      <c r="F219" s="95">
        <v>5.5</v>
      </c>
      <c r="G219" s="95">
        <v>11</v>
      </c>
      <c r="I219" s="95">
        <v>0.25</v>
      </c>
      <c r="J219" s="95">
        <v>6.0000000000000001E-3</v>
      </c>
      <c r="K219" s="95">
        <v>0.19</v>
      </c>
      <c r="L219" s="95">
        <v>0.76</v>
      </c>
      <c r="O219" s="95">
        <v>999</v>
      </c>
      <c r="P219" s="95">
        <v>2023</v>
      </c>
      <c r="R219" s="95" t="s">
        <v>87</v>
      </c>
      <c r="S219" s="95" t="s">
        <v>70</v>
      </c>
    </row>
    <row r="220" spans="1:19" x14ac:dyDescent="0.2">
      <c r="A220" s="95" t="s">
        <v>76</v>
      </c>
      <c r="B220" s="95" t="s">
        <v>87</v>
      </c>
      <c r="C220" s="95" t="s">
        <v>67</v>
      </c>
      <c r="D220" s="95" t="s">
        <v>68</v>
      </c>
      <c r="E220" s="95" t="s">
        <v>94</v>
      </c>
      <c r="F220" s="95">
        <v>6</v>
      </c>
      <c r="G220" s="95">
        <v>12</v>
      </c>
      <c r="I220" s="95">
        <v>0.35</v>
      </c>
      <c r="J220" s="95">
        <v>8.0000000000000002E-3</v>
      </c>
      <c r="K220" s="95">
        <v>0.24</v>
      </c>
      <c r="L220" s="95">
        <v>1</v>
      </c>
      <c r="O220" s="95">
        <v>999</v>
      </c>
      <c r="P220" s="95">
        <v>2023</v>
      </c>
      <c r="R220" s="95" t="s">
        <v>87</v>
      </c>
      <c r="S220" s="95" t="s">
        <v>70</v>
      </c>
    </row>
    <row r="221" spans="1:19" x14ac:dyDescent="0.2">
      <c r="A221" s="95" t="s">
        <v>76</v>
      </c>
      <c r="B221" s="95" t="s">
        <v>87</v>
      </c>
      <c r="C221" s="95" t="s">
        <v>67</v>
      </c>
      <c r="D221" s="95" t="s">
        <v>68</v>
      </c>
      <c r="E221" s="95" t="s">
        <v>94</v>
      </c>
      <c r="F221" s="95">
        <v>8.8000000000000007</v>
      </c>
      <c r="G221" s="95">
        <v>19</v>
      </c>
      <c r="I221" s="95">
        <v>0.44</v>
      </c>
      <c r="J221" s="95">
        <v>1.0999999999999999E-2</v>
      </c>
      <c r="K221" s="95">
        <v>0.33</v>
      </c>
      <c r="L221" s="95">
        <v>1.32</v>
      </c>
      <c r="O221" s="95">
        <v>999</v>
      </c>
      <c r="P221" s="95">
        <v>2023</v>
      </c>
      <c r="R221" s="95" t="s">
        <v>87</v>
      </c>
      <c r="S221" s="95" t="s">
        <v>70</v>
      </c>
    </row>
    <row r="222" spans="1:19" x14ac:dyDescent="0.2">
      <c r="A222" s="95" t="s">
        <v>76</v>
      </c>
      <c r="B222" s="95" t="s">
        <v>87</v>
      </c>
      <c r="C222" s="95" t="s">
        <v>67</v>
      </c>
      <c r="D222" s="95" t="s">
        <v>68</v>
      </c>
      <c r="E222" s="95" t="s">
        <v>94</v>
      </c>
      <c r="F222" s="95">
        <v>10</v>
      </c>
      <c r="G222" s="95">
        <v>22</v>
      </c>
      <c r="I222" s="95">
        <v>0.51</v>
      </c>
      <c r="J222" s="95">
        <v>1.2999999999999999E-2</v>
      </c>
      <c r="K222" s="95">
        <v>0.41</v>
      </c>
      <c r="L222" s="95">
        <v>1.59</v>
      </c>
      <c r="O222" s="95">
        <v>999</v>
      </c>
      <c r="P222" s="95">
        <v>2023</v>
      </c>
      <c r="R222" s="95" t="s">
        <v>87</v>
      </c>
      <c r="S222" s="95" t="s">
        <v>70</v>
      </c>
    </row>
    <row r="223" spans="1:19" x14ac:dyDescent="0.2">
      <c r="A223" s="95" t="s">
        <v>76</v>
      </c>
      <c r="B223" s="95" t="s">
        <v>87</v>
      </c>
      <c r="C223" s="95" t="s">
        <v>67</v>
      </c>
      <c r="D223" s="95" t="s">
        <v>68</v>
      </c>
      <c r="E223" s="95" t="s">
        <v>94</v>
      </c>
      <c r="F223" s="95">
        <v>11.5</v>
      </c>
      <c r="G223" s="95">
        <v>26</v>
      </c>
      <c r="I223" s="95">
        <v>0.6</v>
      </c>
      <c r="J223" s="95">
        <v>1.6E-2</v>
      </c>
      <c r="K223" s="95">
        <v>0.49</v>
      </c>
      <c r="L223" s="95">
        <v>1.89</v>
      </c>
      <c r="O223" s="95">
        <v>999</v>
      </c>
      <c r="P223" s="95">
        <v>2023</v>
      </c>
      <c r="R223" s="95" t="s">
        <v>87</v>
      </c>
      <c r="S223" s="95" t="s">
        <v>70</v>
      </c>
    </row>
    <row r="224" spans="1:19" x14ac:dyDescent="0.2">
      <c r="A224" s="95" t="s">
        <v>76</v>
      </c>
      <c r="B224" s="95" t="s">
        <v>87</v>
      </c>
      <c r="C224" s="95" t="s">
        <v>67</v>
      </c>
      <c r="D224" s="95" t="s">
        <v>68</v>
      </c>
      <c r="E224" s="95" t="s">
        <v>94</v>
      </c>
      <c r="F224" s="95">
        <v>13</v>
      </c>
      <c r="G224" s="95">
        <v>30</v>
      </c>
      <c r="I224" s="95">
        <v>0.7</v>
      </c>
      <c r="J224" s="95">
        <v>1.7000000000000001E-2</v>
      </c>
      <c r="K224" s="95">
        <v>0.52</v>
      </c>
      <c r="L224" s="95">
        <v>2.1</v>
      </c>
      <c r="O224" s="95">
        <v>999</v>
      </c>
      <c r="P224" s="95">
        <v>2023</v>
      </c>
      <c r="R224" s="95" t="s">
        <v>87</v>
      </c>
      <c r="S224" s="95" t="s">
        <v>70</v>
      </c>
    </row>
    <row r="225" spans="1:19" x14ac:dyDescent="0.2">
      <c r="A225" s="95" t="s">
        <v>76</v>
      </c>
      <c r="B225" s="95" t="s">
        <v>87</v>
      </c>
      <c r="C225" s="95" t="s">
        <v>67</v>
      </c>
      <c r="D225" s="95" t="s">
        <v>68</v>
      </c>
      <c r="E225" s="95" t="s">
        <v>94</v>
      </c>
      <c r="F225" s="95">
        <v>16</v>
      </c>
      <c r="G225" s="95">
        <v>38</v>
      </c>
      <c r="I225" s="95">
        <v>0.9</v>
      </c>
      <c r="J225" s="95">
        <v>2.1000000000000001E-2</v>
      </c>
      <c r="K225" s="95">
        <v>0.64</v>
      </c>
      <c r="L225" s="95">
        <v>2.6</v>
      </c>
      <c r="O225" s="95">
        <v>999</v>
      </c>
      <c r="P225" s="95">
        <v>2023</v>
      </c>
      <c r="R225" s="95" t="s">
        <v>87</v>
      </c>
      <c r="S225" s="95" t="s">
        <v>70</v>
      </c>
    </row>
    <row r="226" spans="1:19" x14ac:dyDescent="0.2">
      <c r="A226" s="95" t="s">
        <v>76</v>
      </c>
      <c r="B226" s="95" t="s">
        <v>87</v>
      </c>
      <c r="C226" s="95" t="s">
        <v>67</v>
      </c>
      <c r="D226" s="95" t="s">
        <v>68</v>
      </c>
      <c r="E226" s="95" t="s">
        <v>94</v>
      </c>
      <c r="F226" s="95">
        <v>20</v>
      </c>
      <c r="G226" s="95">
        <v>49</v>
      </c>
      <c r="I226" s="95">
        <v>1.18</v>
      </c>
      <c r="J226" s="95">
        <v>2.5999999999999999E-2</v>
      </c>
      <c r="K226" s="95">
        <v>0.79</v>
      </c>
      <c r="L226" s="95">
        <v>3.31</v>
      </c>
      <c r="O226" s="95">
        <v>999</v>
      </c>
      <c r="P226" s="95">
        <v>2023</v>
      </c>
      <c r="R226" s="95" t="s">
        <v>87</v>
      </c>
      <c r="S226" s="95" t="s">
        <v>70</v>
      </c>
    </row>
  </sheetData>
  <hyperlinks>
    <hyperlink ref="A1" location="'Table of Contents'!A1" display="Table of Contents" xr:uid="{C290DE2C-65CD-4A41-B937-5E8FE6BF3DE7}"/>
  </hyperlink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A013B-B1EF-4078-BBF7-B1F91C672E26}">
  <dimension ref="A1:T179"/>
  <sheetViews>
    <sheetView workbookViewId="0"/>
  </sheetViews>
  <sheetFormatPr baseColWidth="10" defaultColWidth="8.5" defaultRowHeight="15" x14ac:dyDescent="0.2"/>
  <cols>
    <col min="1" max="1" width="14.5" style="95" customWidth="1"/>
    <col min="2" max="2" width="13" style="95" customWidth="1"/>
    <col min="3" max="3" width="10.5" style="95" customWidth="1"/>
    <col min="4" max="4" width="8.5" style="95"/>
    <col min="5" max="5" width="12.5" style="95" customWidth="1"/>
    <col min="6" max="6" width="15.5" style="95" customWidth="1"/>
    <col min="7" max="7" width="9.5" style="95" customWidth="1"/>
    <col min="8" max="9" width="17.5" style="95" customWidth="1"/>
    <col min="10" max="10" width="19.5" style="95" customWidth="1"/>
    <col min="11" max="11" width="13.5" style="95" customWidth="1"/>
    <col min="12" max="12" width="25.5" style="95" customWidth="1"/>
    <col min="13" max="14" width="21.5" style="95" customWidth="1"/>
    <col min="15" max="15" width="10.5" style="95" customWidth="1"/>
    <col min="16" max="17" width="8.5" style="95"/>
    <col min="18" max="18" width="14.5" style="95" customWidth="1"/>
    <col min="19" max="19" width="8.5" style="95"/>
    <col min="20" max="20" width="13.5" style="95" customWidth="1"/>
    <col min="21" max="16384" width="8.5" style="95"/>
  </cols>
  <sheetData>
    <row r="1" spans="1:20" customFormat="1" x14ac:dyDescent="0.2">
      <c r="A1" s="4" t="s">
        <v>21</v>
      </c>
      <c r="K1" s="39"/>
      <c r="L1" s="39"/>
    </row>
    <row r="2" spans="1:20" customFormat="1" ht="19" x14ac:dyDescent="0.25">
      <c r="A2" s="24" t="s">
        <v>22</v>
      </c>
      <c r="K2" s="39"/>
      <c r="L2" s="39"/>
    </row>
    <row r="3" spans="1:20" s="96" customFormat="1" x14ac:dyDescent="0.2">
      <c r="A3" s="96" t="s">
        <v>25</v>
      </c>
      <c r="B3" s="96" t="s">
        <v>26</v>
      </c>
      <c r="C3" s="96" t="s">
        <v>27</v>
      </c>
      <c r="D3" s="96" t="s">
        <v>28</v>
      </c>
      <c r="E3" s="96" t="s">
        <v>29</v>
      </c>
      <c r="F3" s="96" t="s">
        <v>30</v>
      </c>
      <c r="G3" s="96" t="s">
        <v>31</v>
      </c>
      <c r="H3" s="96" t="s">
        <v>32</v>
      </c>
      <c r="I3" s="96" t="s">
        <v>33</v>
      </c>
      <c r="J3" s="96" t="s">
        <v>34</v>
      </c>
      <c r="K3" s="96" t="s">
        <v>35</v>
      </c>
      <c r="L3" s="96" t="s">
        <v>36</v>
      </c>
      <c r="M3" s="96" t="s">
        <v>37</v>
      </c>
      <c r="N3" s="96" t="s">
        <v>38</v>
      </c>
      <c r="O3" s="96" t="s">
        <v>39</v>
      </c>
      <c r="P3" s="96" t="s">
        <v>40</v>
      </c>
      <c r="Q3" s="96" t="s">
        <v>41</v>
      </c>
      <c r="R3" s="96" t="s">
        <v>42</v>
      </c>
      <c r="S3" s="96" t="s">
        <v>43</v>
      </c>
      <c r="T3" s="96" t="s">
        <v>44</v>
      </c>
    </row>
    <row r="4" spans="1:20" x14ac:dyDescent="0.2">
      <c r="A4" s="95" t="s">
        <v>73</v>
      </c>
      <c r="B4" s="95" t="s">
        <v>87</v>
      </c>
      <c r="C4" s="95" t="s">
        <v>67</v>
      </c>
      <c r="D4" s="95" t="s">
        <v>81</v>
      </c>
      <c r="E4" s="95" t="s">
        <v>88</v>
      </c>
      <c r="F4" s="95">
        <v>3.5</v>
      </c>
      <c r="G4" s="95">
        <v>13</v>
      </c>
      <c r="I4" s="95">
        <v>1</v>
      </c>
      <c r="J4" s="95">
        <v>1.0999999999999999E-2</v>
      </c>
      <c r="K4" s="95">
        <v>0.44</v>
      </c>
      <c r="L4" s="95">
        <v>1.82</v>
      </c>
      <c r="O4" s="95">
        <v>999</v>
      </c>
      <c r="P4" s="95">
        <v>2023</v>
      </c>
      <c r="R4" s="95" t="s">
        <v>87</v>
      </c>
      <c r="S4" s="95" t="s">
        <v>70</v>
      </c>
    </row>
    <row r="5" spans="1:20" x14ac:dyDescent="0.2">
      <c r="A5" s="95" t="s">
        <v>73</v>
      </c>
      <c r="B5" s="95" t="s">
        <v>87</v>
      </c>
      <c r="C5" s="95" t="s">
        <v>67</v>
      </c>
      <c r="D5" s="95" t="s">
        <v>81</v>
      </c>
      <c r="E5" s="95" t="s">
        <v>88</v>
      </c>
      <c r="F5" s="95">
        <v>6.25</v>
      </c>
      <c r="G5" s="95">
        <v>19</v>
      </c>
      <c r="I5" s="95">
        <v>1.1000000000000001</v>
      </c>
      <c r="J5" s="95">
        <v>1.2999999999999999E-2</v>
      </c>
      <c r="K5" s="95">
        <v>0.52</v>
      </c>
      <c r="L5" s="95">
        <v>2.0499999999999998</v>
      </c>
      <c r="O5" s="95">
        <v>999</v>
      </c>
      <c r="P5" s="95">
        <v>2023</v>
      </c>
      <c r="R5" s="95" t="s">
        <v>87</v>
      </c>
      <c r="S5" s="95" t="s">
        <v>70</v>
      </c>
    </row>
    <row r="6" spans="1:20" x14ac:dyDescent="0.2">
      <c r="A6" s="95" t="s">
        <v>73</v>
      </c>
      <c r="B6" s="95" t="s">
        <v>87</v>
      </c>
      <c r="C6" s="95" t="s">
        <v>67</v>
      </c>
      <c r="D6" s="95" t="s">
        <v>81</v>
      </c>
      <c r="E6" s="95" t="s">
        <v>88</v>
      </c>
      <c r="F6" s="95">
        <v>9.5</v>
      </c>
      <c r="G6" s="95">
        <v>30</v>
      </c>
      <c r="I6" s="95">
        <v>1</v>
      </c>
      <c r="J6" s="95">
        <v>1.6E-2</v>
      </c>
      <c r="K6" s="95">
        <v>0.62</v>
      </c>
      <c r="L6" s="95">
        <v>2.11</v>
      </c>
      <c r="O6" s="95">
        <v>999</v>
      </c>
      <c r="P6" s="95">
        <v>2023</v>
      </c>
      <c r="R6" s="95" t="s">
        <v>87</v>
      </c>
      <c r="S6" s="95" t="s">
        <v>70</v>
      </c>
    </row>
    <row r="7" spans="1:20" x14ac:dyDescent="0.2">
      <c r="A7" s="95" t="s">
        <v>73</v>
      </c>
      <c r="B7" s="95" t="s">
        <v>87</v>
      </c>
      <c r="C7" s="95" t="s">
        <v>67</v>
      </c>
      <c r="D7" s="95" t="s">
        <v>81</v>
      </c>
      <c r="E7" s="95" t="s">
        <v>88</v>
      </c>
      <c r="F7" s="95">
        <v>12</v>
      </c>
      <c r="G7" s="95">
        <v>38</v>
      </c>
      <c r="I7" s="95">
        <v>1.58</v>
      </c>
      <c r="J7" s="95">
        <v>1.7000000000000001E-2</v>
      </c>
      <c r="K7" s="95">
        <v>0.65</v>
      </c>
      <c r="L7" s="95">
        <v>2.8</v>
      </c>
      <c r="O7" s="95">
        <v>999</v>
      </c>
      <c r="P7" s="95">
        <v>2023</v>
      </c>
      <c r="R7" s="95" t="s">
        <v>87</v>
      </c>
      <c r="S7" s="95" t="s">
        <v>70</v>
      </c>
    </row>
    <row r="8" spans="1:20" x14ac:dyDescent="0.2">
      <c r="A8" s="95" t="s">
        <v>73</v>
      </c>
      <c r="B8" s="95" t="s">
        <v>87</v>
      </c>
      <c r="C8" s="95" t="s">
        <v>67</v>
      </c>
      <c r="D8" s="95" t="s">
        <v>68</v>
      </c>
      <c r="E8" s="95" t="s">
        <v>68</v>
      </c>
      <c r="F8" s="95">
        <v>3.5</v>
      </c>
      <c r="G8" s="95">
        <v>13</v>
      </c>
      <c r="I8" s="95">
        <v>0.59</v>
      </c>
      <c r="J8" s="95">
        <v>1.2999999999999999E-2</v>
      </c>
      <c r="K8" s="95">
        <v>0.52</v>
      </c>
      <c r="L8" s="95">
        <v>1.49</v>
      </c>
      <c r="O8" s="95">
        <v>999</v>
      </c>
      <c r="P8" s="95">
        <v>2023</v>
      </c>
      <c r="R8" s="95" t="s">
        <v>87</v>
      </c>
      <c r="S8" s="95" t="s">
        <v>70</v>
      </c>
    </row>
    <row r="9" spans="1:20" x14ac:dyDescent="0.2">
      <c r="A9" s="95" t="s">
        <v>73</v>
      </c>
      <c r="B9" s="95" t="s">
        <v>87</v>
      </c>
      <c r="C9" s="95" t="s">
        <v>67</v>
      </c>
      <c r="D9" s="95" t="s">
        <v>68</v>
      </c>
      <c r="E9" s="95" t="s">
        <v>68</v>
      </c>
      <c r="F9" s="95">
        <v>6.25</v>
      </c>
      <c r="G9" s="95">
        <v>19</v>
      </c>
      <c r="I9" s="95">
        <v>0.93</v>
      </c>
      <c r="J9" s="95">
        <v>1.6E-2</v>
      </c>
      <c r="K9" s="95">
        <v>0.62</v>
      </c>
      <c r="L9" s="95">
        <v>2.0299999999999998</v>
      </c>
      <c r="O9" s="95">
        <v>999</v>
      </c>
      <c r="P9" s="95">
        <v>2023</v>
      </c>
      <c r="R9" s="95" t="s">
        <v>87</v>
      </c>
      <c r="S9" s="95" t="s">
        <v>70</v>
      </c>
    </row>
    <row r="10" spans="1:20" x14ac:dyDescent="0.2">
      <c r="A10" s="95" t="s">
        <v>73</v>
      </c>
      <c r="B10" s="95" t="s">
        <v>87</v>
      </c>
      <c r="C10" s="95" t="s">
        <v>67</v>
      </c>
      <c r="D10" s="95" t="s">
        <v>68</v>
      </c>
      <c r="E10" s="95" t="s">
        <v>68</v>
      </c>
      <c r="F10" s="95">
        <v>9.5</v>
      </c>
      <c r="G10" s="95">
        <v>30</v>
      </c>
      <c r="I10" s="95">
        <v>1.56</v>
      </c>
      <c r="J10" s="95">
        <v>1.7999999999999999E-2</v>
      </c>
      <c r="K10" s="95">
        <v>0.69</v>
      </c>
      <c r="L10" s="95">
        <v>2.84</v>
      </c>
      <c r="O10" s="95">
        <v>999</v>
      </c>
      <c r="P10" s="95">
        <v>2023</v>
      </c>
      <c r="R10" s="95" t="s">
        <v>87</v>
      </c>
      <c r="S10" s="95" t="s">
        <v>70</v>
      </c>
    </row>
    <row r="11" spans="1:20" x14ac:dyDescent="0.2">
      <c r="A11" s="95" t="s">
        <v>73</v>
      </c>
      <c r="B11" s="95" t="s">
        <v>87</v>
      </c>
      <c r="C11" s="95" t="s">
        <v>67</v>
      </c>
      <c r="D11" s="95" t="s">
        <v>68</v>
      </c>
      <c r="E11" s="95" t="s">
        <v>68</v>
      </c>
      <c r="F11" s="95">
        <v>12</v>
      </c>
      <c r="G11" s="95">
        <v>38</v>
      </c>
      <c r="I11" s="95">
        <v>1.82</v>
      </c>
      <c r="J11" s="95">
        <v>1.9E-2</v>
      </c>
      <c r="K11" s="95">
        <v>0.73</v>
      </c>
      <c r="L11" s="95">
        <v>3.18</v>
      </c>
      <c r="O11" s="95">
        <v>999</v>
      </c>
      <c r="P11" s="95">
        <v>2023</v>
      </c>
      <c r="R11" s="95" t="s">
        <v>87</v>
      </c>
      <c r="S11" s="95" t="s">
        <v>70</v>
      </c>
    </row>
    <row r="12" spans="1:20" x14ac:dyDescent="0.2">
      <c r="A12" s="95" t="s">
        <v>73</v>
      </c>
      <c r="B12" s="95" t="s">
        <v>66</v>
      </c>
      <c r="C12" s="95" t="s">
        <v>91</v>
      </c>
      <c r="D12" s="95" t="s">
        <v>68</v>
      </c>
      <c r="E12" s="95" t="s">
        <v>68</v>
      </c>
      <c r="F12" s="95">
        <v>3.5</v>
      </c>
      <c r="G12" s="95">
        <v>15</v>
      </c>
      <c r="I12" s="95">
        <v>1.47</v>
      </c>
      <c r="J12" s="95">
        <v>5.0000000000000001E-3</v>
      </c>
      <c r="K12" s="95">
        <v>0.19</v>
      </c>
      <c r="L12" s="95">
        <v>1.93</v>
      </c>
      <c r="O12" s="95">
        <v>999</v>
      </c>
      <c r="P12" s="95">
        <v>2023</v>
      </c>
      <c r="R12" s="95" t="s">
        <v>92</v>
      </c>
      <c r="S12" s="95" t="s">
        <v>70</v>
      </c>
    </row>
    <row r="13" spans="1:20" x14ac:dyDescent="0.2">
      <c r="A13" s="95" t="s">
        <v>73</v>
      </c>
      <c r="B13" s="95" t="s">
        <v>66</v>
      </c>
      <c r="C13" s="95" t="s">
        <v>91</v>
      </c>
      <c r="D13" s="95" t="s">
        <v>68</v>
      </c>
      <c r="E13" s="95" t="s">
        <v>68</v>
      </c>
      <c r="F13" s="95">
        <v>5.5</v>
      </c>
      <c r="G13" s="95">
        <v>23</v>
      </c>
      <c r="I13" s="95">
        <v>2.31</v>
      </c>
      <c r="J13" s="95">
        <v>5.0000000000000001E-3</v>
      </c>
      <c r="K13" s="95">
        <v>0.19</v>
      </c>
      <c r="L13" s="95">
        <v>2.85</v>
      </c>
      <c r="O13" s="95">
        <v>999</v>
      </c>
      <c r="P13" s="95">
        <v>2023</v>
      </c>
      <c r="R13" s="95" t="s">
        <v>92</v>
      </c>
      <c r="S13" s="95" t="s">
        <v>70</v>
      </c>
    </row>
    <row r="14" spans="1:20" x14ac:dyDescent="0.2">
      <c r="A14" s="95" t="s">
        <v>73</v>
      </c>
      <c r="B14" s="95" t="s">
        <v>66</v>
      </c>
      <c r="C14" s="95" t="s">
        <v>91</v>
      </c>
      <c r="D14" s="95" t="s">
        <v>68</v>
      </c>
      <c r="E14" s="95" t="s">
        <v>68</v>
      </c>
      <c r="F14" s="95">
        <v>7.25</v>
      </c>
      <c r="G14" s="95">
        <v>30</v>
      </c>
      <c r="I14" s="95">
        <v>3.05</v>
      </c>
      <c r="J14" s="95">
        <v>6.0000000000000001E-3</v>
      </c>
      <c r="K14" s="95">
        <v>0.23</v>
      </c>
      <c r="L14" s="95">
        <v>3.72</v>
      </c>
      <c r="O14" s="95">
        <v>999</v>
      </c>
      <c r="P14" s="95">
        <v>2023</v>
      </c>
      <c r="R14" s="95" t="s">
        <v>92</v>
      </c>
      <c r="S14" s="95" t="s">
        <v>70</v>
      </c>
    </row>
    <row r="15" spans="1:20" x14ac:dyDescent="0.2">
      <c r="A15" s="95" t="s">
        <v>73</v>
      </c>
      <c r="B15" s="95" t="s">
        <v>66</v>
      </c>
      <c r="C15" s="95" t="s">
        <v>91</v>
      </c>
      <c r="D15" s="95" t="s">
        <v>68</v>
      </c>
      <c r="E15" s="95" t="s">
        <v>68</v>
      </c>
      <c r="G15" s="95">
        <v>13</v>
      </c>
      <c r="I15" s="95">
        <v>1.02</v>
      </c>
      <c r="J15" s="95">
        <v>5.0000000000000001E-3</v>
      </c>
      <c r="K15" s="95">
        <v>0.19</v>
      </c>
      <c r="L15" s="95">
        <v>1.43</v>
      </c>
      <c r="O15" s="95">
        <v>999</v>
      </c>
      <c r="P15" s="95">
        <v>2023</v>
      </c>
      <c r="R15" s="95" t="s">
        <v>92</v>
      </c>
      <c r="S15" s="95" t="s">
        <v>70</v>
      </c>
    </row>
    <row r="16" spans="1:20" x14ac:dyDescent="0.2">
      <c r="A16" s="95" t="s">
        <v>73</v>
      </c>
      <c r="B16" s="95" t="s">
        <v>66</v>
      </c>
      <c r="C16" s="95" t="s">
        <v>91</v>
      </c>
      <c r="D16" s="95" t="s">
        <v>68</v>
      </c>
      <c r="E16" s="95" t="s">
        <v>68</v>
      </c>
      <c r="G16" s="95">
        <v>19</v>
      </c>
      <c r="I16" s="95">
        <v>1.49</v>
      </c>
      <c r="J16" s="95">
        <v>5.0000000000000001E-3</v>
      </c>
      <c r="K16" s="95">
        <v>0.19</v>
      </c>
      <c r="L16" s="95">
        <v>1.95</v>
      </c>
      <c r="O16" s="95">
        <v>999</v>
      </c>
      <c r="P16" s="95">
        <v>2023</v>
      </c>
      <c r="R16" s="95" t="s">
        <v>92</v>
      </c>
      <c r="S16" s="95" t="s">
        <v>70</v>
      </c>
    </row>
    <row r="17" spans="1:19" x14ac:dyDescent="0.2">
      <c r="A17" s="95" t="s">
        <v>76</v>
      </c>
      <c r="B17" s="95" t="s">
        <v>87</v>
      </c>
      <c r="C17" s="95" t="s">
        <v>93</v>
      </c>
      <c r="D17" s="95" t="s">
        <v>68</v>
      </c>
      <c r="E17" s="95" t="s">
        <v>94</v>
      </c>
      <c r="F17" s="95">
        <v>3.5</v>
      </c>
      <c r="G17" s="95">
        <v>13</v>
      </c>
      <c r="I17" s="95">
        <v>0.25</v>
      </c>
      <c r="J17" s="95">
        <v>5.0000000000000001E-3</v>
      </c>
      <c r="K17" s="95">
        <v>0.15</v>
      </c>
      <c r="L17" s="95">
        <v>0.65</v>
      </c>
      <c r="O17" s="95">
        <v>999</v>
      </c>
      <c r="P17" s="95">
        <v>2023</v>
      </c>
      <c r="R17" s="95" t="s">
        <v>87</v>
      </c>
      <c r="S17" s="95" t="s">
        <v>70</v>
      </c>
    </row>
    <row r="18" spans="1:19" x14ac:dyDescent="0.2">
      <c r="A18" s="95" t="s">
        <v>76</v>
      </c>
      <c r="B18" s="95" t="s">
        <v>87</v>
      </c>
      <c r="C18" s="95" t="s">
        <v>93</v>
      </c>
      <c r="D18" s="95" t="s">
        <v>68</v>
      </c>
      <c r="E18" s="95" t="s">
        <v>94</v>
      </c>
      <c r="F18" s="95">
        <v>5.1875</v>
      </c>
      <c r="G18" s="95">
        <v>19</v>
      </c>
      <c r="I18" s="95">
        <v>0.37</v>
      </c>
      <c r="J18" s="95">
        <v>6.0000000000000001E-3</v>
      </c>
      <c r="K18" s="95">
        <v>0.19</v>
      </c>
      <c r="L18" s="95">
        <v>0.9</v>
      </c>
      <c r="O18" s="95">
        <v>999</v>
      </c>
      <c r="P18" s="95">
        <v>2023</v>
      </c>
      <c r="R18" s="95" t="s">
        <v>87</v>
      </c>
      <c r="S18" s="95" t="s">
        <v>70</v>
      </c>
    </row>
    <row r="19" spans="1:19" x14ac:dyDescent="0.2">
      <c r="A19" s="95" t="s">
        <v>76</v>
      </c>
      <c r="B19" s="95" t="s">
        <v>87</v>
      </c>
      <c r="C19" s="95" t="s">
        <v>93</v>
      </c>
      <c r="D19" s="95" t="s">
        <v>68</v>
      </c>
      <c r="E19" s="95" t="s">
        <v>94</v>
      </c>
      <c r="F19" s="95">
        <v>6.5</v>
      </c>
      <c r="G19" s="95">
        <v>22</v>
      </c>
      <c r="I19" s="95">
        <v>0.48</v>
      </c>
      <c r="J19" s="95">
        <v>8.0000000000000002E-3</v>
      </c>
      <c r="K19" s="95">
        <v>0.24</v>
      </c>
      <c r="L19" s="95">
        <v>1.1399999999999999</v>
      </c>
      <c r="O19" s="95">
        <v>999</v>
      </c>
      <c r="P19" s="95">
        <v>2023</v>
      </c>
      <c r="R19" s="95" t="s">
        <v>87</v>
      </c>
      <c r="S19" s="95" t="s">
        <v>70</v>
      </c>
    </row>
    <row r="20" spans="1:19" x14ac:dyDescent="0.2">
      <c r="A20" s="95" t="s">
        <v>76</v>
      </c>
      <c r="B20" s="95" t="s">
        <v>87</v>
      </c>
      <c r="C20" s="95" t="s">
        <v>93</v>
      </c>
      <c r="D20" s="95" t="s">
        <v>68</v>
      </c>
      <c r="E20" s="95" t="s">
        <v>94</v>
      </c>
      <c r="F20" s="95">
        <v>8.6875</v>
      </c>
      <c r="G20" s="95">
        <v>30</v>
      </c>
      <c r="I20" s="95">
        <v>0.64</v>
      </c>
      <c r="J20" s="95">
        <v>8.9999999999999993E-3</v>
      </c>
      <c r="K20" s="95">
        <v>0.28000000000000003</v>
      </c>
      <c r="L20" s="95">
        <v>1.42</v>
      </c>
      <c r="O20" s="95">
        <v>999</v>
      </c>
      <c r="P20" s="95">
        <v>2023</v>
      </c>
      <c r="R20" s="95" t="s">
        <v>87</v>
      </c>
      <c r="S20" s="95" t="s">
        <v>70</v>
      </c>
    </row>
    <row r="21" spans="1:19" x14ac:dyDescent="0.2">
      <c r="A21" s="95" t="s">
        <v>76</v>
      </c>
      <c r="B21" s="95" t="s">
        <v>87</v>
      </c>
      <c r="C21" s="95" t="s">
        <v>93</v>
      </c>
      <c r="D21" s="95" t="s">
        <v>68</v>
      </c>
      <c r="E21" s="95" t="s">
        <v>94</v>
      </c>
      <c r="F21" s="95">
        <v>10.875</v>
      </c>
      <c r="G21" s="95">
        <v>38</v>
      </c>
      <c r="I21" s="95">
        <v>0.82</v>
      </c>
      <c r="J21" s="95">
        <v>1.2999999999999999E-2</v>
      </c>
      <c r="K21" s="95">
        <v>0.41</v>
      </c>
      <c r="L21" s="95">
        <v>1.93</v>
      </c>
      <c r="O21" s="95">
        <v>999</v>
      </c>
      <c r="P21" s="95">
        <v>2023</v>
      </c>
      <c r="R21" s="95" t="s">
        <v>87</v>
      </c>
      <c r="S21" s="95" t="s">
        <v>70</v>
      </c>
    </row>
    <row r="22" spans="1:19" x14ac:dyDescent="0.2">
      <c r="A22" s="95" t="s">
        <v>76</v>
      </c>
      <c r="B22" s="95" t="s">
        <v>87</v>
      </c>
      <c r="C22" s="95" t="s">
        <v>67</v>
      </c>
      <c r="D22" s="95" t="s">
        <v>68</v>
      </c>
      <c r="E22" s="95" t="s">
        <v>94</v>
      </c>
      <c r="F22" s="95">
        <v>5.5</v>
      </c>
      <c r="G22" s="95">
        <v>11</v>
      </c>
      <c r="I22" s="95">
        <v>0.25</v>
      </c>
      <c r="J22" s="95">
        <v>6.0000000000000001E-3</v>
      </c>
      <c r="K22" s="95">
        <v>0.19</v>
      </c>
      <c r="L22" s="95">
        <v>0.76</v>
      </c>
      <c r="O22" s="95">
        <v>999</v>
      </c>
      <c r="P22" s="95">
        <v>2023</v>
      </c>
      <c r="R22" s="95" t="s">
        <v>87</v>
      </c>
      <c r="S22" s="95" t="s">
        <v>70</v>
      </c>
    </row>
    <row r="23" spans="1:19" x14ac:dyDescent="0.2">
      <c r="A23" s="95" t="s">
        <v>76</v>
      </c>
      <c r="B23" s="95" t="s">
        <v>87</v>
      </c>
      <c r="C23" s="95" t="s">
        <v>67</v>
      </c>
      <c r="D23" s="95" t="s">
        <v>68</v>
      </c>
      <c r="E23" s="95" t="s">
        <v>94</v>
      </c>
      <c r="F23" s="95">
        <v>6</v>
      </c>
      <c r="G23" s="95">
        <v>12</v>
      </c>
      <c r="I23" s="95">
        <v>0.35</v>
      </c>
      <c r="J23" s="95">
        <v>8.0000000000000002E-3</v>
      </c>
      <c r="K23" s="95">
        <v>0.24</v>
      </c>
      <c r="L23" s="95">
        <v>1</v>
      </c>
      <c r="O23" s="95">
        <v>999</v>
      </c>
      <c r="P23" s="95">
        <v>2023</v>
      </c>
      <c r="R23" s="95" t="s">
        <v>87</v>
      </c>
      <c r="S23" s="95" t="s">
        <v>70</v>
      </c>
    </row>
    <row r="24" spans="1:19" x14ac:dyDescent="0.2">
      <c r="A24" s="95" t="s">
        <v>76</v>
      </c>
      <c r="B24" s="95" t="s">
        <v>87</v>
      </c>
      <c r="C24" s="95" t="s">
        <v>67</v>
      </c>
      <c r="D24" s="95" t="s">
        <v>68</v>
      </c>
      <c r="E24" s="95" t="s">
        <v>94</v>
      </c>
      <c r="F24" s="95">
        <v>8.8000000000000007</v>
      </c>
      <c r="G24" s="95">
        <v>19</v>
      </c>
      <c r="I24" s="95">
        <v>0.44</v>
      </c>
      <c r="J24" s="95">
        <v>1.0999999999999999E-2</v>
      </c>
      <c r="K24" s="95">
        <v>0.33</v>
      </c>
      <c r="L24" s="95">
        <v>1.32</v>
      </c>
      <c r="O24" s="95">
        <v>999</v>
      </c>
      <c r="P24" s="95">
        <v>2023</v>
      </c>
      <c r="R24" s="95" t="s">
        <v>87</v>
      </c>
      <c r="S24" s="95" t="s">
        <v>70</v>
      </c>
    </row>
    <row r="25" spans="1:19" x14ac:dyDescent="0.2">
      <c r="A25" s="95" t="s">
        <v>76</v>
      </c>
      <c r="B25" s="95" t="s">
        <v>87</v>
      </c>
      <c r="C25" s="95" t="s">
        <v>67</v>
      </c>
      <c r="D25" s="95" t="s">
        <v>68</v>
      </c>
      <c r="E25" s="95" t="s">
        <v>94</v>
      </c>
      <c r="F25" s="95">
        <v>10</v>
      </c>
      <c r="G25" s="95">
        <v>22</v>
      </c>
      <c r="I25" s="95">
        <v>0.51</v>
      </c>
      <c r="J25" s="95">
        <v>1.2999999999999999E-2</v>
      </c>
      <c r="K25" s="95">
        <v>0.41</v>
      </c>
      <c r="L25" s="95">
        <v>1.59</v>
      </c>
      <c r="O25" s="95">
        <v>999</v>
      </c>
      <c r="P25" s="95">
        <v>2023</v>
      </c>
      <c r="R25" s="95" t="s">
        <v>87</v>
      </c>
      <c r="S25" s="95" t="s">
        <v>70</v>
      </c>
    </row>
    <row r="26" spans="1:19" x14ac:dyDescent="0.2">
      <c r="A26" s="95" t="s">
        <v>76</v>
      </c>
      <c r="B26" s="95" t="s">
        <v>87</v>
      </c>
      <c r="C26" s="95" t="s">
        <v>67</v>
      </c>
      <c r="D26" s="95" t="s">
        <v>68</v>
      </c>
      <c r="E26" s="95" t="s">
        <v>94</v>
      </c>
      <c r="F26" s="95">
        <v>11.5</v>
      </c>
      <c r="G26" s="95">
        <v>26</v>
      </c>
      <c r="I26" s="95">
        <v>0.6</v>
      </c>
      <c r="J26" s="95">
        <v>1.6E-2</v>
      </c>
      <c r="K26" s="95">
        <v>0.49</v>
      </c>
      <c r="L26" s="95">
        <v>1.89</v>
      </c>
      <c r="O26" s="95">
        <v>999</v>
      </c>
      <c r="P26" s="95">
        <v>2023</v>
      </c>
      <c r="R26" s="95" t="s">
        <v>87</v>
      </c>
      <c r="S26" s="95" t="s">
        <v>70</v>
      </c>
    </row>
    <row r="27" spans="1:19" x14ac:dyDescent="0.2">
      <c r="A27" s="95" t="s">
        <v>76</v>
      </c>
      <c r="B27" s="95" t="s">
        <v>87</v>
      </c>
      <c r="C27" s="95" t="s">
        <v>67</v>
      </c>
      <c r="D27" s="95" t="s">
        <v>68</v>
      </c>
      <c r="E27" s="95" t="s">
        <v>94</v>
      </c>
      <c r="F27" s="95">
        <v>13</v>
      </c>
      <c r="G27" s="95">
        <v>30</v>
      </c>
      <c r="I27" s="95">
        <v>0.7</v>
      </c>
      <c r="J27" s="95">
        <v>1.7000000000000001E-2</v>
      </c>
      <c r="K27" s="95">
        <v>0.52</v>
      </c>
      <c r="L27" s="95">
        <v>2.1</v>
      </c>
      <c r="O27" s="95">
        <v>999</v>
      </c>
      <c r="P27" s="95">
        <v>2023</v>
      </c>
      <c r="R27" s="95" t="s">
        <v>87</v>
      </c>
      <c r="S27" s="95" t="s">
        <v>70</v>
      </c>
    </row>
    <row r="28" spans="1:19" x14ac:dyDescent="0.2">
      <c r="A28" s="95" t="s">
        <v>76</v>
      </c>
      <c r="B28" s="95" t="s">
        <v>87</v>
      </c>
      <c r="C28" s="95" t="s">
        <v>67</v>
      </c>
      <c r="D28" s="95" t="s">
        <v>68</v>
      </c>
      <c r="E28" s="95" t="s">
        <v>94</v>
      </c>
      <c r="F28" s="95">
        <v>16</v>
      </c>
      <c r="G28" s="95">
        <v>38</v>
      </c>
      <c r="I28" s="95">
        <v>0.9</v>
      </c>
      <c r="J28" s="95">
        <v>2.1000000000000001E-2</v>
      </c>
      <c r="K28" s="95">
        <v>0.64</v>
      </c>
      <c r="L28" s="95">
        <v>2.6</v>
      </c>
      <c r="O28" s="95">
        <v>999</v>
      </c>
      <c r="P28" s="95">
        <v>2023</v>
      </c>
      <c r="R28" s="95" t="s">
        <v>87</v>
      </c>
      <c r="S28" s="95" t="s">
        <v>70</v>
      </c>
    </row>
    <row r="29" spans="1:19" x14ac:dyDescent="0.2">
      <c r="A29" s="95" t="s">
        <v>76</v>
      </c>
      <c r="B29" s="95" t="s">
        <v>87</v>
      </c>
      <c r="C29" s="95" t="s">
        <v>67</v>
      </c>
      <c r="D29" s="95" t="s">
        <v>68</v>
      </c>
      <c r="E29" s="95" t="s">
        <v>94</v>
      </c>
      <c r="F29" s="95">
        <v>20</v>
      </c>
      <c r="G29" s="95">
        <v>49</v>
      </c>
      <c r="I29" s="95">
        <v>1.18</v>
      </c>
      <c r="J29" s="95">
        <v>2.5999999999999999E-2</v>
      </c>
      <c r="K29" s="95">
        <v>0.79</v>
      </c>
      <c r="L29" s="95">
        <v>3.31</v>
      </c>
      <c r="O29" s="95">
        <v>999</v>
      </c>
      <c r="P29" s="95">
        <v>2023</v>
      </c>
      <c r="R29" s="95" t="s">
        <v>87</v>
      </c>
      <c r="S29" s="95" t="s">
        <v>70</v>
      </c>
    </row>
    <row r="30" spans="1:19" x14ac:dyDescent="0.2">
      <c r="A30" s="95" t="s">
        <v>76</v>
      </c>
      <c r="B30" s="95" t="s">
        <v>66</v>
      </c>
      <c r="C30" s="95" t="s">
        <v>93</v>
      </c>
      <c r="D30" s="95" t="s">
        <v>68</v>
      </c>
      <c r="E30" s="95" t="s">
        <v>94</v>
      </c>
      <c r="F30" s="95">
        <v>4</v>
      </c>
      <c r="G30" s="95">
        <v>3.8</v>
      </c>
      <c r="I30" s="95">
        <v>0.17</v>
      </c>
      <c r="J30" s="95">
        <v>8.0000000000000002E-3</v>
      </c>
      <c r="K30" s="95">
        <v>0.31</v>
      </c>
      <c r="L30" s="95">
        <v>0.69</v>
      </c>
      <c r="O30" s="95">
        <v>999</v>
      </c>
      <c r="P30" s="95">
        <v>2023</v>
      </c>
      <c r="R30" s="95" t="s">
        <v>92</v>
      </c>
      <c r="S30" s="95" t="s">
        <v>70</v>
      </c>
    </row>
    <row r="31" spans="1:19" x14ac:dyDescent="0.2">
      <c r="A31" s="95" t="s">
        <v>76</v>
      </c>
      <c r="B31" s="95" t="s">
        <v>66</v>
      </c>
      <c r="C31" s="95" t="s">
        <v>93</v>
      </c>
      <c r="D31" s="95" t="s">
        <v>68</v>
      </c>
      <c r="E31" s="95" t="s">
        <v>94</v>
      </c>
      <c r="F31" s="95">
        <v>6</v>
      </c>
      <c r="G31" s="95">
        <v>3.8</v>
      </c>
      <c r="I31" s="95">
        <v>0.28999999999999998</v>
      </c>
      <c r="J31" s="95">
        <v>0.01</v>
      </c>
      <c r="K31" s="95">
        <v>0.39</v>
      </c>
      <c r="L31" s="95">
        <v>0.95</v>
      </c>
      <c r="O31" s="95">
        <v>999</v>
      </c>
      <c r="P31" s="95">
        <v>2023</v>
      </c>
      <c r="R31" s="95" t="s">
        <v>92</v>
      </c>
      <c r="S31" s="95" t="s">
        <v>70</v>
      </c>
    </row>
    <row r="32" spans="1:19" x14ac:dyDescent="0.2">
      <c r="A32" s="95" t="s">
        <v>76</v>
      </c>
      <c r="B32" s="95" t="s">
        <v>66</v>
      </c>
      <c r="C32" s="95" t="s">
        <v>67</v>
      </c>
      <c r="D32" s="95" t="s">
        <v>68</v>
      </c>
      <c r="E32" s="95" t="s">
        <v>94</v>
      </c>
      <c r="F32" s="95">
        <v>4</v>
      </c>
      <c r="G32" s="95">
        <v>4</v>
      </c>
      <c r="I32" s="95">
        <v>0.25</v>
      </c>
      <c r="J32" s="95">
        <v>1.2999999999999999E-2</v>
      </c>
      <c r="K32" s="95">
        <v>0.52</v>
      </c>
      <c r="L32" s="95">
        <v>1.1100000000000001</v>
      </c>
      <c r="O32" s="95">
        <v>999</v>
      </c>
      <c r="P32" s="95">
        <v>2023</v>
      </c>
      <c r="R32" s="95" t="s">
        <v>92</v>
      </c>
      <c r="S32" s="95" t="s">
        <v>70</v>
      </c>
    </row>
    <row r="33" spans="1:20" x14ac:dyDescent="0.2">
      <c r="A33" s="95" t="s">
        <v>76</v>
      </c>
      <c r="B33" s="95" t="s">
        <v>66</v>
      </c>
      <c r="C33" s="95" t="s">
        <v>67</v>
      </c>
      <c r="D33" s="95" t="s">
        <v>68</v>
      </c>
      <c r="E33" s="95" t="s">
        <v>94</v>
      </c>
      <c r="F33" s="95">
        <v>6</v>
      </c>
      <c r="G33" s="95">
        <v>4</v>
      </c>
      <c r="I33" s="95">
        <v>0.35</v>
      </c>
      <c r="J33" s="95">
        <v>0.02</v>
      </c>
      <c r="K33" s="95">
        <v>0.77</v>
      </c>
      <c r="L33" s="95">
        <v>1.64</v>
      </c>
      <c r="O33" s="95">
        <v>999</v>
      </c>
      <c r="P33" s="95">
        <v>2023</v>
      </c>
      <c r="R33" s="95" t="s">
        <v>92</v>
      </c>
      <c r="S33" s="95" t="s">
        <v>70</v>
      </c>
    </row>
    <row r="34" spans="1:20" x14ac:dyDescent="0.2">
      <c r="A34" s="95" t="s">
        <v>76</v>
      </c>
      <c r="B34" s="95" t="s">
        <v>66</v>
      </c>
      <c r="C34" s="95" t="s">
        <v>91</v>
      </c>
      <c r="D34" s="95" t="s">
        <v>68</v>
      </c>
      <c r="E34" s="95" t="s">
        <v>94</v>
      </c>
      <c r="F34" s="95">
        <v>4</v>
      </c>
      <c r="G34" s="95">
        <v>3</v>
      </c>
      <c r="I34" s="95">
        <v>0.3</v>
      </c>
      <c r="J34" s="95">
        <v>1.2999999999999999E-2</v>
      </c>
      <c r="K34" s="95">
        <v>0.52</v>
      </c>
      <c r="L34" s="95">
        <v>1.17</v>
      </c>
      <c r="O34" s="95">
        <v>999</v>
      </c>
      <c r="P34" s="95">
        <v>2023</v>
      </c>
      <c r="R34" s="95" t="s">
        <v>92</v>
      </c>
      <c r="S34" s="95" t="s">
        <v>70</v>
      </c>
    </row>
    <row r="35" spans="1:20" x14ac:dyDescent="0.2">
      <c r="A35" s="95" t="s">
        <v>76</v>
      </c>
      <c r="B35" s="95" t="s">
        <v>66</v>
      </c>
      <c r="C35" s="95" t="s">
        <v>91</v>
      </c>
      <c r="D35" s="95" t="s">
        <v>68</v>
      </c>
      <c r="E35" s="95" t="s">
        <v>94</v>
      </c>
      <c r="F35" s="95">
        <v>6</v>
      </c>
      <c r="G35" s="95">
        <v>3</v>
      </c>
      <c r="I35" s="95">
        <v>0.45</v>
      </c>
      <c r="J35" s="95">
        <v>0.02</v>
      </c>
      <c r="K35" s="95">
        <v>0.77</v>
      </c>
      <c r="L35" s="95">
        <v>1.76</v>
      </c>
      <c r="O35" s="95">
        <v>999</v>
      </c>
      <c r="P35" s="95">
        <v>2023</v>
      </c>
      <c r="R35" s="95" t="s">
        <v>92</v>
      </c>
      <c r="S35" s="95" t="s">
        <v>70</v>
      </c>
    </row>
    <row r="36" spans="1:20" x14ac:dyDescent="0.2">
      <c r="A36" s="95" t="s">
        <v>76</v>
      </c>
      <c r="B36" s="95" t="s">
        <v>66</v>
      </c>
      <c r="C36" s="95" t="s">
        <v>95</v>
      </c>
      <c r="D36" s="95" t="s">
        <v>68</v>
      </c>
      <c r="E36" s="95" t="s">
        <v>94</v>
      </c>
      <c r="F36" s="95">
        <v>4</v>
      </c>
      <c r="G36" s="95">
        <v>4</v>
      </c>
      <c r="I36" s="95">
        <v>0.63</v>
      </c>
      <c r="J36" s="95">
        <v>1.2999999999999999E-2</v>
      </c>
      <c r="K36" s="95">
        <v>0.52</v>
      </c>
      <c r="L36" s="95">
        <v>1.54</v>
      </c>
      <c r="O36" s="95">
        <v>999</v>
      </c>
      <c r="P36" s="95">
        <v>2023</v>
      </c>
      <c r="R36" s="95" t="s">
        <v>92</v>
      </c>
      <c r="S36" s="95" t="s">
        <v>70</v>
      </c>
    </row>
    <row r="37" spans="1:20" x14ac:dyDescent="0.2">
      <c r="A37" s="95" t="s">
        <v>76</v>
      </c>
      <c r="B37" s="95" t="s">
        <v>66</v>
      </c>
      <c r="C37" s="95" t="s">
        <v>95</v>
      </c>
      <c r="D37" s="95" t="s">
        <v>68</v>
      </c>
      <c r="E37" s="95" t="s">
        <v>94</v>
      </c>
      <c r="F37" s="95">
        <v>6</v>
      </c>
      <c r="G37" s="95">
        <v>4</v>
      </c>
      <c r="I37" s="95">
        <v>0.96</v>
      </c>
      <c r="J37" s="95">
        <v>0.02</v>
      </c>
      <c r="K37" s="95">
        <v>0.77</v>
      </c>
      <c r="L37" s="95">
        <v>1.54</v>
      </c>
      <c r="O37" s="95">
        <v>999</v>
      </c>
      <c r="P37" s="95">
        <v>2023</v>
      </c>
      <c r="R37" s="95" t="s">
        <v>92</v>
      </c>
      <c r="S37" s="95" t="s">
        <v>70</v>
      </c>
    </row>
    <row r="38" spans="1:20" x14ac:dyDescent="0.2">
      <c r="A38" s="95" t="s">
        <v>76</v>
      </c>
      <c r="B38" s="95" t="s">
        <v>66</v>
      </c>
      <c r="C38" s="95" t="s">
        <v>96</v>
      </c>
      <c r="D38" s="95" t="s">
        <v>68</v>
      </c>
      <c r="E38" s="95" t="s">
        <v>94</v>
      </c>
      <c r="F38" s="95">
        <v>4</v>
      </c>
      <c r="G38" s="95">
        <v>2.78</v>
      </c>
      <c r="I38" s="95">
        <v>1.05</v>
      </c>
      <c r="J38" s="95">
        <v>8.0000000000000002E-3</v>
      </c>
      <c r="K38" s="95">
        <v>0.31</v>
      </c>
      <c r="L38" s="95">
        <v>1.65</v>
      </c>
      <c r="O38" s="95">
        <v>999</v>
      </c>
      <c r="P38" s="95">
        <v>2023</v>
      </c>
      <c r="R38" s="95" t="s">
        <v>92</v>
      </c>
      <c r="S38" s="95" t="s">
        <v>70</v>
      </c>
    </row>
    <row r="39" spans="1:20" x14ac:dyDescent="0.2">
      <c r="A39" s="95" t="s">
        <v>76</v>
      </c>
      <c r="B39" s="95" t="s">
        <v>66</v>
      </c>
      <c r="C39" s="95" t="s">
        <v>96</v>
      </c>
      <c r="D39" s="95" t="s">
        <v>68</v>
      </c>
      <c r="E39" s="95" t="s">
        <v>94</v>
      </c>
      <c r="F39" s="95">
        <v>6</v>
      </c>
      <c r="G39" s="95">
        <v>2.78</v>
      </c>
      <c r="I39" s="95">
        <v>1.58</v>
      </c>
      <c r="J39" s="95">
        <v>0.01</v>
      </c>
      <c r="K39" s="95">
        <v>0.39</v>
      </c>
      <c r="L39" s="95">
        <v>2.36</v>
      </c>
      <c r="O39" s="95">
        <v>999</v>
      </c>
      <c r="P39" s="95">
        <v>2023</v>
      </c>
      <c r="R39" s="95" t="s">
        <v>92</v>
      </c>
      <c r="S39" s="95" t="s">
        <v>70</v>
      </c>
    </row>
    <row r="40" spans="1:20" x14ac:dyDescent="0.2">
      <c r="A40" s="95" t="s">
        <v>97</v>
      </c>
      <c r="B40" s="95" t="s">
        <v>66</v>
      </c>
      <c r="C40" s="95" t="s">
        <v>98</v>
      </c>
      <c r="D40" s="95" t="s">
        <v>68</v>
      </c>
      <c r="E40" s="95" t="s">
        <v>94</v>
      </c>
      <c r="F40" s="95">
        <v>1</v>
      </c>
      <c r="G40" s="95">
        <v>6.5</v>
      </c>
      <c r="I40" s="95">
        <v>0.86</v>
      </c>
      <c r="J40" s="95">
        <v>4.0000000000000001E-3</v>
      </c>
      <c r="K40" s="95">
        <v>0.12</v>
      </c>
      <c r="L40" s="95">
        <v>1.28</v>
      </c>
      <c r="O40" s="95">
        <v>999</v>
      </c>
      <c r="P40" s="95">
        <v>2023</v>
      </c>
      <c r="R40" s="95" t="s">
        <v>92</v>
      </c>
      <c r="S40" s="95" t="s">
        <v>70</v>
      </c>
    </row>
    <row r="41" spans="1:20" x14ac:dyDescent="0.2">
      <c r="A41" s="95" t="s">
        <v>97</v>
      </c>
      <c r="B41" s="95" t="s">
        <v>66</v>
      </c>
      <c r="C41" s="95" t="s">
        <v>98</v>
      </c>
      <c r="D41" s="95" t="s">
        <v>68</v>
      </c>
      <c r="E41" s="95" t="s">
        <v>94</v>
      </c>
      <c r="F41" s="95">
        <v>2</v>
      </c>
      <c r="G41" s="95">
        <v>13</v>
      </c>
      <c r="I41" s="95">
        <v>1.73</v>
      </c>
      <c r="J41" s="95">
        <v>8.0000000000000002E-3</v>
      </c>
      <c r="K41" s="95">
        <v>0.24</v>
      </c>
      <c r="L41" s="95">
        <v>2.57</v>
      </c>
      <c r="O41" s="95">
        <v>999</v>
      </c>
      <c r="P41" s="95">
        <v>2023</v>
      </c>
      <c r="R41" s="95" t="s">
        <v>92</v>
      </c>
      <c r="S41" s="95" t="s">
        <v>70</v>
      </c>
    </row>
    <row r="42" spans="1:20" x14ac:dyDescent="0.2">
      <c r="A42" s="95" t="s">
        <v>97</v>
      </c>
      <c r="B42" s="95" t="s">
        <v>66</v>
      </c>
      <c r="C42" s="95" t="s">
        <v>98</v>
      </c>
      <c r="D42" s="95" t="s">
        <v>68</v>
      </c>
      <c r="E42" s="95" t="s">
        <v>94</v>
      </c>
      <c r="F42" s="95">
        <v>3</v>
      </c>
      <c r="G42" s="95">
        <v>19.5</v>
      </c>
      <c r="I42" s="95">
        <v>2.59</v>
      </c>
      <c r="J42" s="95">
        <v>1.2E-2</v>
      </c>
      <c r="K42" s="95">
        <v>0.35</v>
      </c>
      <c r="L42" s="95">
        <v>3.85</v>
      </c>
      <c r="O42" s="95">
        <v>999</v>
      </c>
      <c r="P42" s="95">
        <v>2023</v>
      </c>
      <c r="R42" s="95" t="s">
        <v>92</v>
      </c>
      <c r="S42" s="95" t="s">
        <v>70</v>
      </c>
    </row>
    <row r="43" spans="1:20" x14ac:dyDescent="0.2">
      <c r="A43" s="95" t="s">
        <v>97</v>
      </c>
      <c r="B43" s="95" t="s">
        <v>66</v>
      </c>
      <c r="C43" s="95" t="s">
        <v>98</v>
      </c>
      <c r="D43" s="95" t="s">
        <v>68</v>
      </c>
      <c r="E43" s="95" t="s">
        <v>94</v>
      </c>
      <c r="F43" s="95">
        <v>3.5</v>
      </c>
      <c r="G43" s="95">
        <v>22.75</v>
      </c>
      <c r="I43" s="95">
        <v>3.02</v>
      </c>
      <c r="J43" s="95">
        <v>1.4E-2</v>
      </c>
      <c r="K43" s="95">
        <v>0.41</v>
      </c>
      <c r="L43" s="95">
        <v>4.4800000000000004</v>
      </c>
      <c r="O43" s="95">
        <v>999</v>
      </c>
      <c r="P43" s="95">
        <v>2023</v>
      </c>
      <c r="R43" s="95" t="s">
        <v>92</v>
      </c>
      <c r="S43" s="95" t="s">
        <v>70</v>
      </c>
    </row>
    <row r="44" spans="1:20" x14ac:dyDescent="0.2">
      <c r="A44" s="95" t="s">
        <v>97</v>
      </c>
      <c r="B44" s="95" t="s">
        <v>66</v>
      </c>
      <c r="C44" s="95" t="s">
        <v>98</v>
      </c>
      <c r="D44" s="95" t="s">
        <v>68</v>
      </c>
      <c r="E44" s="95" t="s">
        <v>94</v>
      </c>
      <c r="F44" s="95">
        <v>4</v>
      </c>
      <c r="G44" s="95">
        <v>26</v>
      </c>
      <c r="I44" s="95">
        <v>3.45</v>
      </c>
      <c r="J44" s="95">
        <v>1.6E-2</v>
      </c>
      <c r="K44" s="95">
        <v>0.47</v>
      </c>
      <c r="L44" s="95">
        <v>5.13</v>
      </c>
      <c r="O44" s="95">
        <v>999</v>
      </c>
      <c r="P44" s="95">
        <v>2023</v>
      </c>
      <c r="R44" s="95" t="s">
        <v>92</v>
      </c>
      <c r="S44" s="95" t="s">
        <v>70</v>
      </c>
    </row>
    <row r="45" spans="1:20" x14ac:dyDescent="0.2">
      <c r="A45" s="95" t="s">
        <v>97</v>
      </c>
      <c r="B45" s="95" t="s">
        <v>66</v>
      </c>
      <c r="C45" s="95" t="s">
        <v>98</v>
      </c>
      <c r="D45" s="95" t="s">
        <v>68</v>
      </c>
      <c r="E45" s="95" t="s">
        <v>94</v>
      </c>
      <c r="F45" s="95">
        <v>5</v>
      </c>
      <c r="G45" s="95">
        <v>32.5</v>
      </c>
      <c r="I45" s="95">
        <v>4.3099999999999996</v>
      </c>
      <c r="J45" s="95">
        <v>0.02</v>
      </c>
      <c r="K45" s="95">
        <v>0.59</v>
      </c>
      <c r="L45" s="95">
        <v>6.4</v>
      </c>
      <c r="O45" s="95">
        <v>999</v>
      </c>
      <c r="P45" s="95">
        <v>2023</v>
      </c>
      <c r="R45" s="95" t="s">
        <v>92</v>
      </c>
      <c r="S45" s="95" t="s">
        <v>70</v>
      </c>
    </row>
    <row r="46" spans="1:20" x14ac:dyDescent="0.2">
      <c r="A46" s="95" t="s">
        <v>97</v>
      </c>
      <c r="B46" s="95" t="s">
        <v>66</v>
      </c>
      <c r="C46" s="95" t="s">
        <v>98</v>
      </c>
      <c r="D46" s="95" t="s">
        <v>68</v>
      </c>
      <c r="E46" s="95" t="s">
        <v>94</v>
      </c>
      <c r="F46" s="95">
        <v>5.5</v>
      </c>
      <c r="G46" s="95">
        <v>35.75</v>
      </c>
      <c r="I46" s="95">
        <v>4.74</v>
      </c>
      <c r="J46" s="95">
        <v>2.1999999999999999E-2</v>
      </c>
      <c r="K46" s="95">
        <v>0.65</v>
      </c>
      <c r="L46" s="95">
        <v>7.03</v>
      </c>
      <c r="O46" s="95">
        <v>999</v>
      </c>
      <c r="P46" s="95">
        <v>2023</v>
      </c>
      <c r="R46" s="95" t="s">
        <v>92</v>
      </c>
      <c r="S46" s="95" t="s">
        <v>70</v>
      </c>
    </row>
    <row r="47" spans="1:20" x14ac:dyDescent="0.2">
      <c r="A47" s="95" t="s">
        <v>97</v>
      </c>
      <c r="B47" s="95" t="s">
        <v>66</v>
      </c>
      <c r="C47" s="95" t="s">
        <v>98</v>
      </c>
      <c r="D47" s="95" t="s">
        <v>68</v>
      </c>
      <c r="E47" s="95" t="s">
        <v>94</v>
      </c>
      <c r="F47" s="95">
        <v>6</v>
      </c>
      <c r="G47" s="95">
        <v>39</v>
      </c>
      <c r="I47" s="95">
        <v>5.2</v>
      </c>
      <c r="J47" s="95">
        <v>2.4E-2</v>
      </c>
      <c r="K47" s="95">
        <v>0.71</v>
      </c>
      <c r="L47" s="95">
        <v>7.69</v>
      </c>
      <c r="O47" s="95">
        <v>999</v>
      </c>
      <c r="P47" s="95">
        <v>2023</v>
      </c>
      <c r="R47" s="95" t="s">
        <v>92</v>
      </c>
      <c r="S47" s="95" t="s">
        <v>70</v>
      </c>
    </row>
    <row r="48" spans="1:20" x14ac:dyDescent="0.2">
      <c r="A48" s="95" t="s">
        <v>73</v>
      </c>
      <c r="B48" s="95" t="s">
        <v>66</v>
      </c>
      <c r="C48" s="95" t="s">
        <v>67</v>
      </c>
      <c r="D48" s="95" t="s">
        <v>81</v>
      </c>
      <c r="G48" s="95">
        <v>15</v>
      </c>
      <c r="I48" s="95">
        <v>0.79</v>
      </c>
      <c r="P48" s="95">
        <v>2023</v>
      </c>
      <c r="S48" s="95" t="s">
        <v>99</v>
      </c>
      <c r="T48" s="95" t="s">
        <v>100</v>
      </c>
    </row>
    <row r="49" spans="1:20" x14ac:dyDescent="0.2">
      <c r="A49" s="95" t="s">
        <v>73</v>
      </c>
      <c r="B49" s="95" t="s">
        <v>66</v>
      </c>
      <c r="C49" s="95" t="s">
        <v>67</v>
      </c>
      <c r="D49" s="95" t="s">
        <v>81</v>
      </c>
      <c r="G49" s="95">
        <v>21</v>
      </c>
      <c r="I49" s="95">
        <v>0.87</v>
      </c>
      <c r="P49" s="95">
        <v>2023</v>
      </c>
      <c r="S49" s="95" t="s">
        <v>99</v>
      </c>
      <c r="T49" s="95" t="s">
        <v>101</v>
      </c>
    </row>
    <row r="50" spans="1:20" x14ac:dyDescent="0.2">
      <c r="A50" s="95" t="s">
        <v>73</v>
      </c>
      <c r="B50" s="95" t="s">
        <v>66</v>
      </c>
      <c r="C50" s="95" t="s">
        <v>91</v>
      </c>
      <c r="G50" s="95">
        <v>13</v>
      </c>
      <c r="I50" s="95">
        <v>1.38</v>
      </c>
      <c r="P50" s="95">
        <v>2023</v>
      </c>
      <c r="S50" s="95" t="s">
        <v>99</v>
      </c>
      <c r="T50" s="95" t="s">
        <v>102</v>
      </c>
    </row>
    <row r="51" spans="1:20" x14ac:dyDescent="0.2">
      <c r="A51" s="95" t="s">
        <v>73</v>
      </c>
      <c r="B51" s="95" t="s">
        <v>66</v>
      </c>
      <c r="C51" s="95" t="s">
        <v>67</v>
      </c>
      <c r="D51" s="95" t="s">
        <v>81</v>
      </c>
      <c r="G51" s="95">
        <v>30</v>
      </c>
      <c r="I51" s="95">
        <v>1.08</v>
      </c>
      <c r="P51" s="95">
        <v>2023</v>
      </c>
      <c r="S51" s="95" t="s">
        <v>99</v>
      </c>
      <c r="T51" s="95" t="s">
        <v>103</v>
      </c>
    </row>
    <row r="52" spans="1:20" x14ac:dyDescent="0.2">
      <c r="A52" s="95" t="s">
        <v>73</v>
      </c>
      <c r="B52" s="95" t="s">
        <v>66</v>
      </c>
      <c r="C52" s="95" t="s">
        <v>67</v>
      </c>
      <c r="D52" s="95" t="s">
        <v>81</v>
      </c>
      <c r="G52" s="95">
        <v>38</v>
      </c>
      <c r="I52" s="95">
        <v>1.31</v>
      </c>
      <c r="P52" s="95">
        <v>2023</v>
      </c>
      <c r="S52" s="95" t="s">
        <v>99</v>
      </c>
      <c r="T52" s="95" t="s">
        <v>104</v>
      </c>
    </row>
    <row r="53" spans="1:20" x14ac:dyDescent="0.2">
      <c r="A53" s="95" t="s">
        <v>73</v>
      </c>
      <c r="B53" s="95" t="s">
        <v>66</v>
      </c>
      <c r="C53" s="95" t="s">
        <v>67</v>
      </c>
      <c r="D53" s="95" t="s">
        <v>81</v>
      </c>
      <c r="G53" s="95">
        <v>19</v>
      </c>
      <c r="I53" s="95">
        <v>0.73</v>
      </c>
      <c r="P53" s="95">
        <v>2023</v>
      </c>
      <c r="S53" s="95" t="s">
        <v>99</v>
      </c>
      <c r="T53" s="95" t="s">
        <v>105</v>
      </c>
    </row>
    <row r="54" spans="1:20" x14ac:dyDescent="0.2">
      <c r="A54" s="95" t="s">
        <v>73</v>
      </c>
      <c r="B54" s="95" t="s">
        <v>66</v>
      </c>
      <c r="C54" s="95" t="s">
        <v>91</v>
      </c>
      <c r="G54" s="95">
        <v>15</v>
      </c>
      <c r="I54" s="95">
        <v>1.58</v>
      </c>
      <c r="P54" s="95">
        <v>2023</v>
      </c>
      <c r="S54" s="95" t="s">
        <v>99</v>
      </c>
      <c r="T54" s="95" t="s">
        <v>106</v>
      </c>
    </row>
    <row r="55" spans="1:20" x14ac:dyDescent="0.2">
      <c r="A55" s="95" t="s">
        <v>73</v>
      </c>
      <c r="B55" s="95" t="s">
        <v>66</v>
      </c>
      <c r="C55" s="95" t="s">
        <v>67</v>
      </c>
      <c r="D55" s="95" t="s">
        <v>81</v>
      </c>
      <c r="G55" s="95">
        <v>13</v>
      </c>
      <c r="I55" s="95">
        <v>0.56999999999999995</v>
      </c>
      <c r="P55" s="95">
        <v>2023</v>
      </c>
      <c r="S55" s="95" t="s">
        <v>99</v>
      </c>
      <c r="T55" s="95" t="s">
        <v>107</v>
      </c>
    </row>
    <row r="56" spans="1:20" x14ac:dyDescent="0.2">
      <c r="A56" s="95" t="s">
        <v>73</v>
      </c>
      <c r="B56" s="95" t="s">
        <v>66</v>
      </c>
      <c r="C56" s="95" t="s">
        <v>67</v>
      </c>
      <c r="D56" s="95" t="s">
        <v>81</v>
      </c>
      <c r="G56" s="95">
        <v>13</v>
      </c>
      <c r="I56" s="95">
        <v>0.56999999999999995</v>
      </c>
      <c r="P56" s="95">
        <v>2023</v>
      </c>
      <c r="S56" s="95" t="s">
        <v>99</v>
      </c>
      <c r="T56" s="95" t="s">
        <v>108</v>
      </c>
    </row>
    <row r="57" spans="1:20" x14ac:dyDescent="0.2">
      <c r="A57" s="95" t="s">
        <v>73</v>
      </c>
      <c r="B57" s="95" t="s">
        <v>66</v>
      </c>
      <c r="C57" s="95" t="s">
        <v>67</v>
      </c>
      <c r="D57" s="95" t="s">
        <v>81</v>
      </c>
      <c r="G57" s="95">
        <v>13</v>
      </c>
      <c r="I57" s="95">
        <v>0.56999999999999995</v>
      </c>
      <c r="P57" s="95">
        <v>2023</v>
      </c>
      <c r="S57" s="95" t="s">
        <v>99</v>
      </c>
      <c r="T57" s="95" t="s">
        <v>109</v>
      </c>
    </row>
    <row r="58" spans="1:20" x14ac:dyDescent="0.2">
      <c r="A58" s="95" t="s">
        <v>73</v>
      </c>
      <c r="B58" s="95" t="s">
        <v>66</v>
      </c>
      <c r="C58" s="95" t="s">
        <v>91</v>
      </c>
      <c r="G58" s="95">
        <v>15</v>
      </c>
      <c r="I58" s="95">
        <v>1.31</v>
      </c>
      <c r="P58" s="95">
        <v>2023</v>
      </c>
      <c r="S58" s="95" t="s">
        <v>99</v>
      </c>
      <c r="T58" s="95" t="s">
        <v>110</v>
      </c>
    </row>
    <row r="59" spans="1:20" x14ac:dyDescent="0.2">
      <c r="A59" s="95" t="s">
        <v>73</v>
      </c>
      <c r="B59" s="95" t="s">
        <v>66</v>
      </c>
      <c r="C59" s="95" t="s">
        <v>67</v>
      </c>
      <c r="D59" s="95" t="s">
        <v>68</v>
      </c>
      <c r="G59" s="95">
        <v>13</v>
      </c>
      <c r="I59" s="95">
        <v>0.49</v>
      </c>
      <c r="P59" s="95">
        <v>2023</v>
      </c>
      <c r="S59" s="95" t="s">
        <v>99</v>
      </c>
      <c r="T59" s="95" t="s">
        <v>111</v>
      </c>
    </row>
    <row r="60" spans="1:20" x14ac:dyDescent="0.2">
      <c r="A60" s="95" t="s">
        <v>73</v>
      </c>
      <c r="B60" s="95" t="s">
        <v>66</v>
      </c>
      <c r="C60" s="95" t="s">
        <v>67</v>
      </c>
      <c r="D60" s="95" t="s">
        <v>81</v>
      </c>
      <c r="G60" s="95">
        <v>19</v>
      </c>
      <c r="I60" s="95">
        <v>0.99</v>
      </c>
      <c r="P60" s="95">
        <v>2023</v>
      </c>
      <c r="S60" s="95" t="s">
        <v>99</v>
      </c>
      <c r="T60" s="95" t="s">
        <v>112</v>
      </c>
    </row>
    <row r="61" spans="1:20" x14ac:dyDescent="0.2">
      <c r="A61" s="95" t="s">
        <v>73</v>
      </c>
      <c r="B61" s="95" t="s">
        <v>66</v>
      </c>
      <c r="C61" s="95" t="s">
        <v>67</v>
      </c>
      <c r="D61" s="95" t="s">
        <v>68</v>
      </c>
      <c r="G61" s="95">
        <v>19</v>
      </c>
      <c r="I61" s="95">
        <v>0.66</v>
      </c>
      <c r="P61" s="95">
        <v>2023</v>
      </c>
      <c r="S61" s="95" t="s">
        <v>99</v>
      </c>
      <c r="T61" s="95" t="s">
        <v>113</v>
      </c>
    </row>
    <row r="62" spans="1:20" x14ac:dyDescent="0.2">
      <c r="A62" s="95" t="s">
        <v>73</v>
      </c>
      <c r="B62" s="95" t="s">
        <v>66</v>
      </c>
      <c r="C62" s="95" t="s">
        <v>67</v>
      </c>
      <c r="D62" s="95" t="s">
        <v>68</v>
      </c>
      <c r="G62" s="95">
        <v>19</v>
      </c>
      <c r="I62" s="95">
        <v>7.52</v>
      </c>
      <c r="P62" s="95">
        <v>2023</v>
      </c>
      <c r="S62" s="95" t="s">
        <v>99</v>
      </c>
      <c r="T62" s="95" t="s">
        <v>114</v>
      </c>
    </row>
    <row r="63" spans="1:20" x14ac:dyDescent="0.2">
      <c r="A63" s="95" t="s">
        <v>73</v>
      </c>
      <c r="B63" s="95" t="s">
        <v>66</v>
      </c>
      <c r="C63" s="95" t="s">
        <v>67</v>
      </c>
      <c r="D63" s="95" t="s">
        <v>81</v>
      </c>
      <c r="G63" s="95">
        <v>49</v>
      </c>
      <c r="I63" s="95">
        <v>2.56</v>
      </c>
      <c r="P63" s="95">
        <v>2023</v>
      </c>
      <c r="S63" s="95" t="s">
        <v>99</v>
      </c>
      <c r="T63" s="95" t="s">
        <v>115</v>
      </c>
    </row>
    <row r="64" spans="1:20" x14ac:dyDescent="0.2">
      <c r="A64" s="95" t="s">
        <v>73</v>
      </c>
      <c r="B64" s="95" t="s">
        <v>66</v>
      </c>
      <c r="C64" s="95" t="s">
        <v>67</v>
      </c>
      <c r="D64" s="95" t="s">
        <v>81</v>
      </c>
      <c r="G64" s="95">
        <v>30</v>
      </c>
      <c r="I64" s="95">
        <v>1.17</v>
      </c>
      <c r="P64" s="95">
        <v>2023</v>
      </c>
      <c r="S64" s="95" t="s">
        <v>99</v>
      </c>
      <c r="T64" s="95" t="s">
        <v>116</v>
      </c>
    </row>
    <row r="65" spans="1:20" x14ac:dyDescent="0.2">
      <c r="A65" s="95" t="s">
        <v>73</v>
      </c>
      <c r="B65" s="95" t="s">
        <v>66</v>
      </c>
      <c r="C65" s="95" t="s">
        <v>91</v>
      </c>
      <c r="G65" s="95">
        <v>30</v>
      </c>
      <c r="I65" s="95">
        <v>3.75</v>
      </c>
      <c r="P65" s="95">
        <v>2023</v>
      </c>
      <c r="S65" s="95" t="s">
        <v>99</v>
      </c>
      <c r="T65" s="95" t="s">
        <v>117</v>
      </c>
    </row>
    <row r="66" spans="1:20" x14ac:dyDescent="0.2">
      <c r="A66" s="95" t="s">
        <v>73</v>
      </c>
      <c r="B66" s="95" t="s">
        <v>66</v>
      </c>
      <c r="C66" s="95" t="s">
        <v>91</v>
      </c>
      <c r="G66" s="95">
        <v>23</v>
      </c>
      <c r="I66" s="95">
        <v>1.52</v>
      </c>
      <c r="P66" s="95">
        <v>2023</v>
      </c>
      <c r="S66" s="95" t="s">
        <v>99</v>
      </c>
      <c r="T66" s="95" t="s">
        <v>118</v>
      </c>
    </row>
    <row r="67" spans="1:20" x14ac:dyDescent="0.2">
      <c r="A67" s="95" t="s">
        <v>73</v>
      </c>
      <c r="B67" s="95" t="s">
        <v>66</v>
      </c>
      <c r="C67" s="95" t="s">
        <v>91</v>
      </c>
      <c r="G67" s="95">
        <v>21</v>
      </c>
      <c r="I67" s="95">
        <v>2.65</v>
      </c>
      <c r="P67" s="95">
        <v>2023</v>
      </c>
      <c r="S67" s="95" t="s">
        <v>99</v>
      </c>
      <c r="T67" s="95" t="s">
        <v>119</v>
      </c>
    </row>
    <row r="68" spans="1:20" x14ac:dyDescent="0.2">
      <c r="A68" s="95" t="s">
        <v>73</v>
      </c>
      <c r="B68" s="95" t="s">
        <v>66</v>
      </c>
      <c r="C68" s="95" t="s">
        <v>67</v>
      </c>
      <c r="D68" s="95" t="s">
        <v>81</v>
      </c>
      <c r="G68" s="95">
        <v>38</v>
      </c>
      <c r="I68" s="95">
        <v>2.09</v>
      </c>
      <c r="P68" s="95">
        <v>2023</v>
      </c>
      <c r="S68" s="95" t="s">
        <v>99</v>
      </c>
      <c r="T68" s="95" t="s">
        <v>120</v>
      </c>
    </row>
    <row r="69" spans="1:20" x14ac:dyDescent="0.2">
      <c r="A69" s="95" t="s">
        <v>73</v>
      </c>
      <c r="B69" s="95" t="s">
        <v>66</v>
      </c>
      <c r="C69" s="95" t="s">
        <v>67</v>
      </c>
      <c r="D69" s="95" t="s">
        <v>81</v>
      </c>
      <c r="G69" s="95">
        <v>38</v>
      </c>
      <c r="I69" s="95">
        <v>2.23</v>
      </c>
      <c r="P69" s="95">
        <v>2023</v>
      </c>
      <c r="S69" s="95" t="s">
        <v>99</v>
      </c>
      <c r="T69" s="95" t="s">
        <v>121</v>
      </c>
    </row>
    <row r="70" spans="1:20" x14ac:dyDescent="0.2">
      <c r="A70" s="95" t="s">
        <v>73</v>
      </c>
      <c r="B70" s="95" t="s">
        <v>66</v>
      </c>
      <c r="C70" s="95" t="s">
        <v>67</v>
      </c>
      <c r="D70" s="95" t="s">
        <v>81</v>
      </c>
      <c r="G70" s="95">
        <v>21</v>
      </c>
      <c r="I70" s="95">
        <v>1.03</v>
      </c>
      <c r="P70" s="95">
        <v>2023</v>
      </c>
      <c r="S70" s="95" t="s">
        <v>99</v>
      </c>
      <c r="T70" s="95" t="s">
        <v>122</v>
      </c>
    </row>
    <row r="71" spans="1:20" x14ac:dyDescent="0.2">
      <c r="A71" s="95" t="s">
        <v>73</v>
      </c>
      <c r="B71" s="95" t="s">
        <v>66</v>
      </c>
      <c r="C71" s="95" t="s">
        <v>91</v>
      </c>
      <c r="G71" s="95">
        <v>30</v>
      </c>
      <c r="I71" s="95">
        <v>3.47</v>
      </c>
      <c r="P71" s="95">
        <v>2023</v>
      </c>
      <c r="S71" s="95" t="s">
        <v>99</v>
      </c>
      <c r="T71" s="95" t="s">
        <v>123</v>
      </c>
    </row>
    <row r="72" spans="1:20" x14ac:dyDescent="0.2">
      <c r="A72" s="95" t="s">
        <v>73</v>
      </c>
      <c r="B72" s="95" t="s">
        <v>66</v>
      </c>
      <c r="C72" s="95" t="s">
        <v>67</v>
      </c>
      <c r="D72" s="95" t="s">
        <v>81</v>
      </c>
      <c r="G72" s="95">
        <v>19</v>
      </c>
      <c r="I72" s="95">
        <v>0.65</v>
      </c>
      <c r="P72" s="95">
        <v>2023</v>
      </c>
      <c r="S72" s="95" t="s">
        <v>99</v>
      </c>
      <c r="T72" s="95" t="s">
        <v>124</v>
      </c>
    </row>
    <row r="73" spans="1:20" x14ac:dyDescent="0.2">
      <c r="A73" s="95" t="s">
        <v>73</v>
      </c>
      <c r="B73" s="95" t="s">
        <v>66</v>
      </c>
      <c r="C73" s="95" t="s">
        <v>67</v>
      </c>
      <c r="D73" s="95" t="s">
        <v>81</v>
      </c>
      <c r="G73" s="95">
        <v>38</v>
      </c>
      <c r="I73" s="95">
        <v>1.65</v>
      </c>
      <c r="P73" s="95">
        <v>2023</v>
      </c>
      <c r="S73" s="95" t="s">
        <v>99</v>
      </c>
      <c r="T73" s="95" t="s">
        <v>125</v>
      </c>
    </row>
    <row r="74" spans="1:20" x14ac:dyDescent="0.2">
      <c r="A74" s="95" t="s">
        <v>73</v>
      </c>
      <c r="B74" s="95" t="s">
        <v>66</v>
      </c>
      <c r="C74" s="95" t="s">
        <v>67</v>
      </c>
      <c r="D74" s="95" t="s">
        <v>81</v>
      </c>
      <c r="G74" s="95">
        <v>30</v>
      </c>
      <c r="I74" s="95">
        <v>1.44</v>
      </c>
      <c r="P74" s="95">
        <v>2023</v>
      </c>
      <c r="S74" s="95" t="s">
        <v>99</v>
      </c>
      <c r="T74" s="95" t="s">
        <v>126</v>
      </c>
    </row>
    <row r="75" spans="1:20" x14ac:dyDescent="0.2">
      <c r="A75" s="95" t="s">
        <v>73</v>
      </c>
      <c r="B75" s="95" t="s">
        <v>66</v>
      </c>
      <c r="C75" s="95" t="s">
        <v>67</v>
      </c>
      <c r="D75" s="95" t="s">
        <v>81</v>
      </c>
      <c r="G75" s="95">
        <v>21</v>
      </c>
      <c r="I75" s="95">
        <v>1.31</v>
      </c>
      <c r="P75" s="95">
        <v>2023</v>
      </c>
      <c r="S75" s="95" t="s">
        <v>99</v>
      </c>
      <c r="T75" s="95" t="s">
        <v>127</v>
      </c>
    </row>
    <row r="76" spans="1:20" x14ac:dyDescent="0.2">
      <c r="A76" s="95" t="s">
        <v>73</v>
      </c>
      <c r="B76" s="95" t="s">
        <v>66</v>
      </c>
      <c r="C76" s="95" t="s">
        <v>67</v>
      </c>
      <c r="D76" s="95" t="s">
        <v>81</v>
      </c>
      <c r="G76" s="95">
        <v>21</v>
      </c>
      <c r="I76" s="95">
        <v>1.33</v>
      </c>
      <c r="P76" s="95">
        <v>2023</v>
      </c>
      <c r="S76" s="95" t="s">
        <v>99</v>
      </c>
      <c r="T76" s="95" t="s">
        <v>128</v>
      </c>
    </row>
    <row r="77" spans="1:20" x14ac:dyDescent="0.2">
      <c r="A77" s="95" t="s">
        <v>73</v>
      </c>
      <c r="B77" s="95" t="s">
        <v>66</v>
      </c>
      <c r="C77" s="95" t="s">
        <v>67</v>
      </c>
      <c r="D77" s="95" t="s">
        <v>68</v>
      </c>
      <c r="G77" s="95">
        <v>13</v>
      </c>
      <c r="I77" s="95">
        <v>0.68</v>
      </c>
      <c r="P77" s="95">
        <v>2023</v>
      </c>
      <c r="S77" s="95" t="s">
        <v>99</v>
      </c>
      <c r="T77" s="95" t="s">
        <v>129</v>
      </c>
    </row>
    <row r="78" spans="1:20" x14ac:dyDescent="0.2">
      <c r="A78" s="95" t="s">
        <v>73</v>
      </c>
      <c r="B78" s="95" t="s">
        <v>66</v>
      </c>
      <c r="D78" s="95" t="s">
        <v>81</v>
      </c>
      <c r="G78" s="95">
        <v>49</v>
      </c>
      <c r="I78" s="95">
        <v>2.5099999999999998</v>
      </c>
      <c r="P78" s="95">
        <v>2023</v>
      </c>
      <c r="S78" s="95" t="s">
        <v>99</v>
      </c>
      <c r="T78" s="95" t="s">
        <v>130</v>
      </c>
    </row>
    <row r="79" spans="1:20" x14ac:dyDescent="0.2">
      <c r="A79" s="95" t="s">
        <v>73</v>
      </c>
      <c r="B79" s="95" t="s">
        <v>66</v>
      </c>
      <c r="C79" s="95" t="s">
        <v>67</v>
      </c>
      <c r="D79" s="95" t="s">
        <v>81</v>
      </c>
      <c r="G79" s="95">
        <v>15</v>
      </c>
      <c r="I79" s="95">
        <v>1.1499999999999999</v>
      </c>
      <c r="P79" s="95">
        <v>2023</v>
      </c>
      <c r="S79" s="95" t="s">
        <v>99</v>
      </c>
      <c r="T79" s="95" t="s">
        <v>131</v>
      </c>
    </row>
    <row r="80" spans="1:20" x14ac:dyDescent="0.2">
      <c r="A80" s="95" t="s">
        <v>73</v>
      </c>
      <c r="B80" s="95" t="s">
        <v>66</v>
      </c>
      <c r="C80" s="95" t="s">
        <v>67</v>
      </c>
      <c r="D80" s="95" t="s">
        <v>68</v>
      </c>
      <c r="G80" s="95">
        <v>19</v>
      </c>
      <c r="I80" s="95">
        <v>0.98</v>
      </c>
      <c r="P80" s="95">
        <v>2023</v>
      </c>
      <c r="S80" s="95" t="s">
        <v>99</v>
      </c>
      <c r="T80" s="95" t="s">
        <v>132</v>
      </c>
    </row>
    <row r="81" spans="1:20" x14ac:dyDescent="0.2">
      <c r="A81" s="95" t="s">
        <v>73</v>
      </c>
      <c r="B81" s="95" t="s">
        <v>66</v>
      </c>
      <c r="C81" s="95" t="s">
        <v>67</v>
      </c>
      <c r="D81" s="95" t="s">
        <v>81</v>
      </c>
      <c r="G81" s="95">
        <v>15</v>
      </c>
      <c r="I81" s="95">
        <v>1.1299999999999999</v>
      </c>
      <c r="P81" s="95">
        <v>2023</v>
      </c>
      <c r="S81" s="95" t="s">
        <v>99</v>
      </c>
      <c r="T81" s="95" t="s">
        <v>133</v>
      </c>
    </row>
    <row r="82" spans="1:20" x14ac:dyDescent="0.2">
      <c r="A82" s="95" t="s">
        <v>73</v>
      </c>
      <c r="B82" s="95" t="s">
        <v>66</v>
      </c>
      <c r="C82" s="95" t="s">
        <v>67</v>
      </c>
      <c r="D82" s="95" t="s">
        <v>68</v>
      </c>
      <c r="G82" s="95">
        <v>49</v>
      </c>
      <c r="I82" s="95">
        <v>2.37</v>
      </c>
      <c r="P82" s="95">
        <v>2023</v>
      </c>
      <c r="S82" s="95" t="s">
        <v>99</v>
      </c>
      <c r="T82" s="95" t="s">
        <v>134</v>
      </c>
    </row>
    <row r="83" spans="1:20" x14ac:dyDescent="0.2">
      <c r="A83" s="95" t="s">
        <v>73</v>
      </c>
      <c r="B83" s="95" t="s">
        <v>66</v>
      </c>
      <c r="C83" s="95" t="s">
        <v>67</v>
      </c>
      <c r="D83" s="95" t="s">
        <v>81</v>
      </c>
      <c r="G83" s="95">
        <v>30</v>
      </c>
      <c r="I83" s="95">
        <v>1.72</v>
      </c>
      <c r="P83" s="95">
        <v>2023</v>
      </c>
      <c r="S83" s="95" t="s">
        <v>99</v>
      </c>
      <c r="T83" s="95" t="s">
        <v>135</v>
      </c>
    </row>
    <row r="84" spans="1:20" x14ac:dyDescent="0.2">
      <c r="A84" s="95" t="s">
        <v>73</v>
      </c>
      <c r="B84" s="95" t="s">
        <v>66</v>
      </c>
      <c r="C84" s="95" t="s">
        <v>67</v>
      </c>
      <c r="D84" s="95" t="s">
        <v>68</v>
      </c>
      <c r="G84" s="95">
        <v>13</v>
      </c>
      <c r="I84" s="95">
        <v>0.68</v>
      </c>
      <c r="P84" s="95">
        <v>2023</v>
      </c>
      <c r="S84" s="95" t="s">
        <v>99</v>
      </c>
      <c r="T84" s="95" t="s">
        <v>136</v>
      </c>
    </row>
    <row r="85" spans="1:20" x14ac:dyDescent="0.2">
      <c r="A85" s="95" t="s">
        <v>73</v>
      </c>
      <c r="B85" s="95" t="s">
        <v>66</v>
      </c>
      <c r="C85" s="95" t="s">
        <v>67</v>
      </c>
      <c r="D85" s="95" t="s">
        <v>68</v>
      </c>
      <c r="G85" s="95">
        <v>19</v>
      </c>
      <c r="I85" s="95">
        <v>0.86</v>
      </c>
      <c r="P85" s="95">
        <v>2023</v>
      </c>
      <c r="S85" s="95" t="s">
        <v>99</v>
      </c>
      <c r="T85" s="95" t="s">
        <v>137</v>
      </c>
    </row>
    <row r="86" spans="1:20" x14ac:dyDescent="0.2">
      <c r="A86" s="95" t="s">
        <v>73</v>
      </c>
      <c r="B86" s="95" t="s">
        <v>66</v>
      </c>
      <c r="C86" s="95" t="s">
        <v>67</v>
      </c>
      <c r="D86" s="95" t="s">
        <v>68</v>
      </c>
      <c r="G86" s="95">
        <v>19</v>
      </c>
      <c r="I86" s="95">
        <v>1.1200000000000001</v>
      </c>
      <c r="P86" s="95">
        <v>2023</v>
      </c>
      <c r="S86" s="95" t="s">
        <v>99</v>
      </c>
      <c r="T86" s="95" t="s">
        <v>138</v>
      </c>
    </row>
    <row r="87" spans="1:20" x14ac:dyDescent="0.2">
      <c r="A87" s="95" t="s">
        <v>73</v>
      </c>
      <c r="B87" s="95" t="s">
        <v>66</v>
      </c>
      <c r="C87" s="95" t="s">
        <v>91</v>
      </c>
      <c r="G87" s="95">
        <v>21</v>
      </c>
      <c r="I87" s="95">
        <v>42.61</v>
      </c>
      <c r="P87" s="95">
        <v>2023</v>
      </c>
      <c r="S87" s="95" t="s">
        <v>99</v>
      </c>
      <c r="T87" s="95" t="s">
        <v>139</v>
      </c>
    </row>
    <row r="88" spans="1:20" x14ac:dyDescent="0.2">
      <c r="A88" s="95" t="s">
        <v>73</v>
      </c>
      <c r="B88" s="95" t="s">
        <v>66</v>
      </c>
      <c r="C88" s="95" t="s">
        <v>67</v>
      </c>
      <c r="D88" s="95" t="s">
        <v>68</v>
      </c>
      <c r="G88" s="95">
        <v>30</v>
      </c>
      <c r="I88" s="95">
        <v>1.36</v>
      </c>
      <c r="P88" s="95">
        <v>2023</v>
      </c>
      <c r="S88" s="95" t="s">
        <v>99</v>
      </c>
      <c r="T88" s="95" t="s">
        <v>140</v>
      </c>
    </row>
    <row r="89" spans="1:20" x14ac:dyDescent="0.2">
      <c r="A89" s="95" t="s">
        <v>73</v>
      </c>
      <c r="B89" s="95" t="s">
        <v>66</v>
      </c>
      <c r="C89" s="95" t="s">
        <v>67</v>
      </c>
      <c r="D89" s="95" t="s">
        <v>81</v>
      </c>
      <c r="G89" s="95">
        <v>13</v>
      </c>
      <c r="I89" s="95">
        <v>0.57999999999999996</v>
      </c>
      <c r="P89" s="95">
        <v>2023</v>
      </c>
      <c r="S89" s="95" t="s">
        <v>99</v>
      </c>
      <c r="T89" s="95" t="s">
        <v>141</v>
      </c>
    </row>
    <row r="90" spans="1:20" x14ac:dyDescent="0.2">
      <c r="A90" s="95" t="s">
        <v>73</v>
      </c>
      <c r="B90" s="95" t="s">
        <v>66</v>
      </c>
      <c r="C90" s="95" t="s">
        <v>67</v>
      </c>
      <c r="D90" s="95" t="s">
        <v>68</v>
      </c>
      <c r="G90" s="95">
        <v>13</v>
      </c>
      <c r="I90" s="95">
        <v>0.75</v>
      </c>
      <c r="P90" s="95">
        <v>2023</v>
      </c>
      <c r="S90" s="95" t="s">
        <v>99</v>
      </c>
      <c r="T90" s="95" t="s">
        <v>142</v>
      </c>
    </row>
    <row r="91" spans="1:20" x14ac:dyDescent="0.2">
      <c r="A91" s="95" t="s">
        <v>73</v>
      </c>
      <c r="B91" s="95" t="s">
        <v>66</v>
      </c>
      <c r="C91" s="95" t="s">
        <v>67</v>
      </c>
      <c r="D91" s="95" t="s">
        <v>81</v>
      </c>
      <c r="G91" s="95">
        <v>19</v>
      </c>
      <c r="I91" s="95">
        <v>1.02</v>
      </c>
      <c r="P91" s="95">
        <v>2023</v>
      </c>
      <c r="S91" s="95" t="s">
        <v>99</v>
      </c>
      <c r="T91" s="95" t="s">
        <v>143</v>
      </c>
    </row>
    <row r="92" spans="1:20" x14ac:dyDescent="0.2">
      <c r="A92" s="95" t="s">
        <v>73</v>
      </c>
      <c r="B92" s="95" t="s">
        <v>66</v>
      </c>
      <c r="C92" s="95" t="s">
        <v>67</v>
      </c>
      <c r="D92" s="95" t="s">
        <v>81</v>
      </c>
      <c r="G92" s="95">
        <v>19</v>
      </c>
      <c r="I92" s="95">
        <v>0.87</v>
      </c>
      <c r="P92" s="95">
        <v>2023</v>
      </c>
      <c r="S92" s="95" t="s">
        <v>99</v>
      </c>
      <c r="T92" s="95" t="s">
        <v>144</v>
      </c>
    </row>
    <row r="93" spans="1:20" x14ac:dyDescent="0.2">
      <c r="A93" s="95" t="s">
        <v>73</v>
      </c>
      <c r="B93" s="95" t="s">
        <v>66</v>
      </c>
      <c r="C93" s="95" t="s">
        <v>67</v>
      </c>
      <c r="D93" s="95" t="s">
        <v>81</v>
      </c>
      <c r="G93" s="95">
        <v>30</v>
      </c>
      <c r="I93" s="95">
        <v>1.33</v>
      </c>
      <c r="P93" s="95">
        <v>2023</v>
      </c>
      <c r="S93" s="95" t="s">
        <v>99</v>
      </c>
      <c r="T93" s="95" t="s">
        <v>145</v>
      </c>
    </row>
    <row r="94" spans="1:20" x14ac:dyDescent="0.2">
      <c r="A94" s="95" t="s">
        <v>73</v>
      </c>
      <c r="B94" s="95" t="s">
        <v>66</v>
      </c>
      <c r="C94" s="95" t="s">
        <v>91</v>
      </c>
      <c r="G94" s="95">
        <v>13</v>
      </c>
      <c r="I94" s="95">
        <v>23.26</v>
      </c>
      <c r="P94" s="95">
        <v>2023</v>
      </c>
      <c r="S94" s="95" t="s">
        <v>99</v>
      </c>
      <c r="T94" s="95" t="s">
        <v>146</v>
      </c>
    </row>
    <row r="95" spans="1:20" x14ac:dyDescent="0.2">
      <c r="A95" s="95" t="s">
        <v>73</v>
      </c>
      <c r="B95" s="95" t="s">
        <v>66</v>
      </c>
      <c r="C95" s="95" t="s">
        <v>67</v>
      </c>
      <c r="D95" s="95" t="s">
        <v>81</v>
      </c>
      <c r="G95" s="95">
        <v>19</v>
      </c>
      <c r="I95" s="95">
        <v>0.99</v>
      </c>
      <c r="P95" s="95">
        <v>2023</v>
      </c>
      <c r="S95" s="95" t="s">
        <v>99</v>
      </c>
      <c r="T95" s="95" t="s">
        <v>147</v>
      </c>
    </row>
    <row r="96" spans="1:20" x14ac:dyDescent="0.2">
      <c r="A96" s="95" t="s">
        <v>73</v>
      </c>
      <c r="B96" s="95" t="s">
        <v>66</v>
      </c>
      <c r="C96" s="95" t="s">
        <v>67</v>
      </c>
      <c r="D96" s="95" t="s">
        <v>68</v>
      </c>
      <c r="G96" s="95">
        <v>15</v>
      </c>
      <c r="I96" s="95">
        <v>1.27</v>
      </c>
      <c r="P96" s="95">
        <v>2023</v>
      </c>
      <c r="S96" s="95" t="s">
        <v>99</v>
      </c>
      <c r="T96" s="95" t="s">
        <v>148</v>
      </c>
    </row>
    <row r="97" spans="1:20" x14ac:dyDescent="0.2">
      <c r="A97" s="95" t="s">
        <v>73</v>
      </c>
      <c r="B97" s="95" t="s">
        <v>66</v>
      </c>
      <c r="C97" s="95" t="s">
        <v>67</v>
      </c>
      <c r="D97" s="95" t="s">
        <v>81</v>
      </c>
      <c r="G97" s="95">
        <v>13</v>
      </c>
      <c r="I97" s="95">
        <v>0.78</v>
      </c>
      <c r="P97" s="95">
        <v>2023</v>
      </c>
      <c r="S97" s="95" t="s">
        <v>99</v>
      </c>
      <c r="T97" s="95" t="s">
        <v>149</v>
      </c>
    </row>
    <row r="98" spans="1:20" x14ac:dyDescent="0.2">
      <c r="A98" s="95" t="s">
        <v>73</v>
      </c>
      <c r="B98" s="95" t="s">
        <v>66</v>
      </c>
      <c r="C98" s="95" t="s">
        <v>67</v>
      </c>
      <c r="D98" s="95" t="s">
        <v>68</v>
      </c>
      <c r="G98" s="95">
        <v>30</v>
      </c>
      <c r="I98" s="95">
        <v>1.74</v>
      </c>
      <c r="P98" s="95">
        <v>2023</v>
      </c>
      <c r="S98" s="95" t="s">
        <v>99</v>
      </c>
      <c r="T98" s="95" t="s">
        <v>150</v>
      </c>
    </row>
    <row r="99" spans="1:20" x14ac:dyDescent="0.2">
      <c r="A99" s="95" t="s">
        <v>73</v>
      </c>
      <c r="B99" s="95" t="s">
        <v>66</v>
      </c>
      <c r="G99" s="95">
        <v>19</v>
      </c>
      <c r="I99" s="95">
        <v>15.29</v>
      </c>
      <c r="P99" s="95">
        <v>2023</v>
      </c>
      <c r="S99" s="95" t="s">
        <v>99</v>
      </c>
      <c r="T99" s="95" t="s">
        <v>151</v>
      </c>
    </row>
    <row r="100" spans="1:20" x14ac:dyDescent="0.2">
      <c r="A100" s="95" t="s">
        <v>73</v>
      </c>
      <c r="B100" s="95" t="s">
        <v>66</v>
      </c>
      <c r="C100" s="95" t="s">
        <v>67</v>
      </c>
      <c r="D100" s="95" t="s">
        <v>81</v>
      </c>
      <c r="G100" s="95">
        <v>13</v>
      </c>
      <c r="I100" s="95">
        <v>0.42</v>
      </c>
      <c r="P100" s="95">
        <v>2023</v>
      </c>
      <c r="S100" s="95" t="s">
        <v>99</v>
      </c>
      <c r="T100" s="95" t="s">
        <v>152</v>
      </c>
    </row>
    <row r="101" spans="1:20" x14ac:dyDescent="0.2">
      <c r="A101" s="95" t="s">
        <v>73</v>
      </c>
      <c r="B101" s="95" t="s">
        <v>66</v>
      </c>
      <c r="C101" s="95" t="s">
        <v>67</v>
      </c>
      <c r="D101" s="95" t="s">
        <v>81</v>
      </c>
      <c r="G101" s="95">
        <v>19</v>
      </c>
      <c r="I101" s="95">
        <v>0.76</v>
      </c>
      <c r="P101" s="95">
        <v>2023</v>
      </c>
      <c r="S101" s="95" t="s">
        <v>99</v>
      </c>
      <c r="T101" s="95" t="s">
        <v>153</v>
      </c>
    </row>
    <row r="102" spans="1:20" x14ac:dyDescent="0.2">
      <c r="A102" s="95" t="s">
        <v>73</v>
      </c>
      <c r="B102" s="95" t="s">
        <v>66</v>
      </c>
      <c r="C102" s="95" t="s">
        <v>67</v>
      </c>
      <c r="D102" s="95" t="s">
        <v>68</v>
      </c>
      <c r="G102" s="95">
        <v>30</v>
      </c>
      <c r="I102" s="95">
        <v>1.1599999999999999</v>
      </c>
      <c r="P102" s="95">
        <v>2023</v>
      </c>
      <c r="S102" s="95" t="s">
        <v>99</v>
      </c>
      <c r="T102" s="95" t="s">
        <v>154</v>
      </c>
    </row>
    <row r="103" spans="1:20" x14ac:dyDescent="0.2">
      <c r="A103" s="95" t="s">
        <v>73</v>
      </c>
      <c r="B103" s="95" t="s">
        <v>66</v>
      </c>
      <c r="C103" s="95" t="s">
        <v>67</v>
      </c>
      <c r="D103" s="95" t="s">
        <v>81</v>
      </c>
      <c r="G103" s="95">
        <v>15</v>
      </c>
      <c r="I103" s="95">
        <v>1.1200000000000001</v>
      </c>
      <c r="P103" s="95">
        <v>2023</v>
      </c>
      <c r="S103" s="95" t="s">
        <v>99</v>
      </c>
      <c r="T103" s="95" t="s">
        <v>155</v>
      </c>
    </row>
    <row r="104" spans="1:20" x14ac:dyDescent="0.2">
      <c r="A104" s="95" t="s">
        <v>73</v>
      </c>
      <c r="B104" s="95" t="s">
        <v>66</v>
      </c>
      <c r="C104" s="95" t="s">
        <v>67</v>
      </c>
      <c r="D104" s="95" t="s">
        <v>68</v>
      </c>
      <c r="G104" s="95">
        <v>30</v>
      </c>
      <c r="I104" s="95">
        <v>1.47</v>
      </c>
      <c r="P104" s="95">
        <v>2023</v>
      </c>
      <c r="S104" s="95" t="s">
        <v>99</v>
      </c>
      <c r="T104" s="95" t="s">
        <v>156</v>
      </c>
    </row>
    <row r="105" spans="1:20" x14ac:dyDescent="0.2">
      <c r="A105" s="95" t="s">
        <v>73</v>
      </c>
      <c r="B105" s="95" t="s">
        <v>66</v>
      </c>
      <c r="C105" s="95" t="s">
        <v>67</v>
      </c>
      <c r="D105" s="95" t="s">
        <v>81</v>
      </c>
      <c r="G105" s="95">
        <v>19</v>
      </c>
      <c r="I105" s="95">
        <v>0.87</v>
      </c>
      <c r="P105" s="95">
        <v>2023</v>
      </c>
      <c r="S105" s="95" t="s">
        <v>99</v>
      </c>
      <c r="T105" s="95" t="s">
        <v>157</v>
      </c>
    </row>
    <row r="106" spans="1:20" x14ac:dyDescent="0.2">
      <c r="A106" s="95" t="s">
        <v>73</v>
      </c>
      <c r="B106" s="95" t="s">
        <v>66</v>
      </c>
      <c r="C106" s="95" t="s">
        <v>67</v>
      </c>
      <c r="D106" s="95" t="s">
        <v>81</v>
      </c>
      <c r="G106" s="95">
        <v>19</v>
      </c>
      <c r="I106" s="95">
        <v>0.97</v>
      </c>
      <c r="P106" s="95">
        <v>2023</v>
      </c>
      <c r="S106" s="95" t="s">
        <v>99</v>
      </c>
      <c r="T106" s="95" t="s">
        <v>158</v>
      </c>
    </row>
    <row r="107" spans="1:20" x14ac:dyDescent="0.2">
      <c r="A107" s="95" t="s">
        <v>73</v>
      </c>
      <c r="B107" s="95" t="s">
        <v>66</v>
      </c>
      <c r="C107" s="95" t="s">
        <v>67</v>
      </c>
      <c r="D107" s="95" t="s">
        <v>81</v>
      </c>
      <c r="G107" s="95">
        <v>13</v>
      </c>
      <c r="I107" s="95">
        <v>0.63</v>
      </c>
      <c r="P107" s="95">
        <v>2023</v>
      </c>
      <c r="S107" s="95" t="s">
        <v>99</v>
      </c>
      <c r="T107" s="95" t="s">
        <v>159</v>
      </c>
    </row>
    <row r="108" spans="1:20" x14ac:dyDescent="0.2">
      <c r="A108" s="95" t="s">
        <v>73</v>
      </c>
      <c r="B108" s="95" t="s">
        <v>66</v>
      </c>
      <c r="C108" s="95" t="s">
        <v>67</v>
      </c>
      <c r="D108" s="95" t="s">
        <v>68</v>
      </c>
      <c r="G108" s="95">
        <v>6</v>
      </c>
      <c r="I108" s="95">
        <v>1.87</v>
      </c>
      <c r="P108" s="95">
        <v>2023</v>
      </c>
      <c r="S108" s="95" t="s">
        <v>99</v>
      </c>
      <c r="T108" s="95" t="s">
        <v>160</v>
      </c>
    </row>
    <row r="109" spans="1:20" x14ac:dyDescent="0.2">
      <c r="A109" s="95" t="s">
        <v>73</v>
      </c>
      <c r="B109" s="95" t="s">
        <v>66</v>
      </c>
      <c r="C109" s="95" t="s">
        <v>67</v>
      </c>
      <c r="D109" s="95" t="s">
        <v>68</v>
      </c>
      <c r="G109" s="95">
        <v>30</v>
      </c>
      <c r="I109" s="95">
        <v>1.24</v>
      </c>
      <c r="P109" s="95">
        <v>2023</v>
      </c>
      <c r="S109" s="95" t="s">
        <v>99</v>
      </c>
      <c r="T109" s="95" t="s">
        <v>161</v>
      </c>
    </row>
    <row r="110" spans="1:20" x14ac:dyDescent="0.2">
      <c r="A110" s="95" t="s">
        <v>73</v>
      </c>
      <c r="B110" s="95" t="s">
        <v>66</v>
      </c>
      <c r="C110" s="95" t="s">
        <v>67</v>
      </c>
      <c r="D110" s="95" t="s">
        <v>68</v>
      </c>
      <c r="G110" s="95">
        <v>30</v>
      </c>
      <c r="I110" s="95">
        <v>19.57</v>
      </c>
      <c r="P110" s="95">
        <v>2023</v>
      </c>
      <c r="S110" s="95" t="s">
        <v>99</v>
      </c>
      <c r="T110" s="95" t="s">
        <v>162</v>
      </c>
    </row>
    <row r="111" spans="1:20" x14ac:dyDescent="0.2">
      <c r="A111" s="95" t="s">
        <v>73</v>
      </c>
      <c r="B111" s="95" t="s">
        <v>66</v>
      </c>
      <c r="C111" s="95" t="s">
        <v>67</v>
      </c>
      <c r="D111" s="95" t="s">
        <v>81</v>
      </c>
      <c r="G111" s="95">
        <v>13</v>
      </c>
      <c r="I111" s="95">
        <v>0.82</v>
      </c>
      <c r="P111" s="95">
        <v>2023</v>
      </c>
      <c r="S111" s="95" t="s">
        <v>99</v>
      </c>
      <c r="T111" s="95" t="s">
        <v>163</v>
      </c>
    </row>
    <row r="112" spans="1:20" x14ac:dyDescent="0.2">
      <c r="A112" s="95" t="s">
        <v>73</v>
      </c>
      <c r="B112" s="95" t="s">
        <v>66</v>
      </c>
      <c r="C112" s="95" t="s">
        <v>67</v>
      </c>
      <c r="D112" s="95" t="s">
        <v>81</v>
      </c>
      <c r="G112" s="95">
        <v>30</v>
      </c>
      <c r="I112" s="95">
        <v>1.43</v>
      </c>
      <c r="P112" s="95">
        <v>2023</v>
      </c>
      <c r="S112" s="95" t="s">
        <v>99</v>
      </c>
      <c r="T112" s="95" t="s">
        <v>164</v>
      </c>
    </row>
    <row r="113" spans="1:20" x14ac:dyDescent="0.2">
      <c r="A113" s="95" t="s">
        <v>73</v>
      </c>
      <c r="B113" s="95" t="s">
        <v>66</v>
      </c>
      <c r="C113" s="95" t="s">
        <v>67</v>
      </c>
      <c r="D113" s="95" t="s">
        <v>81</v>
      </c>
      <c r="G113" s="95">
        <v>13</v>
      </c>
      <c r="I113" s="95">
        <v>0.84</v>
      </c>
      <c r="P113" s="95">
        <v>2023</v>
      </c>
      <c r="S113" s="95" t="s">
        <v>99</v>
      </c>
      <c r="T113" s="95" t="s">
        <v>165</v>
      </c>
    </row>
    <row r="114" spans="1:20" x14ac:dyDescent="0.2">
      <c r="A114" s="95" t="s">
        <v>73</v>
      </c>
      <c r="B114" s="95" t="s">
        <v>66</v>
      </c>
      <c r="C114" s="95" t="s">
        <v>67</v>
      </c>
      <c r="D114" s="95" t="s">
        <v>81</v>
      </c>
      <c r="G114" s="95">
        <v>19</v>
      </c>
      <c r="I114" s="95">
        <v>0.85</v>
      </c>
      <c r="P114" s="95">
        <v>2023</v>
      </c>
      <c r="S114" s="95" t="s">
        <v>99</v>
      </c>
      <c r="T114" s="95" t="s">
        <v>166</v>
      </c>
    </row>
    <row r="115" spans="1:20" x14ac:dyDescent="0.2">
      <c r="A115" s="95" t="s">
        <v>73</v>
      </c>
      <c r="B115" s="95" t="s">
        <v>66</v>
      </c>
      <c r="C115" s="95" t="s">
        <v>67</v>
      </c>
      <c r="D115" s="95" t="s">
        <v>81</v>
      </c>
      <c r="G115" s="95">
        <v>19</v>
      </c>
      <c r="I115" s="95">
        <v>1.26</v>
      </c>
      <c r="P115" s="95">
        <v>2023</v>
      </c>
      <c r="S115" s="95" t="s">
        <v>99</v>
      </c>
      <c r="T115" s="95" t="s">
        <v>167</v>
      </c>
    </row>
    <row r="116" spans="1:20" x14ac:dyDescent="0.2">
      <c r="A116" s="95" t="s">
        <v>73</v>
      </c>
      <c r="B116" s="95" t="s">
        <v>66</v>
      </c>
      <c r="C116" s="95" t="s">
        <v>67</v>
      </c>
      <c r="D116" s="95" t="s">
        <v>68</v>
      </c>
      <c r="G116" s="95">
        <v>30</v>
      </c>
      <c r="I116" s="95">
        <v>1.48</v>
      </c>
      <c r="P116" s="95">
        <v>2023</v>
      </c>
      <c r="S116" s="95" t="s">
        <v>99</v>
      </c>
      <c r="T116" s="95" t="s">
        <v>168</v>
      </c>
    </row>
    <row r="117" spans="1:20" x14ac:dyDescent="0.2">
      <c r="A117" s="95" t="s">
        <v>73</v>
      </c>
      <c r="B117" s="95" t="s">
        <v>66</v>
      </c>
      <c r="C117" s="95" t="s">
        <v>67</v>
      </c>
      <c r="D117" s="95" t="s">
        <v>81</v>
      </c>
      <c r="G117" s="95">
        <v>19</v>
      </c>
      <c r="I117" s="95">
        <v>1.1499999999999999</v>
      </c>
      <c r="P117" s="95">
        <v>2023</v>
      </c>
      <c r="S117" s="95" t="s">
        <v>99</v>
      </c>
      <c r="T117" s="95" t="s">
        <v>169</v>
      </c>
    </row>
    <row r="118" spans="1:20" x14ac:dyDescent="0.2">
      <c r="A118" s="95" t="s">
        <v>73</v>
      </c>
      <c r="B118" s="95" t="s">
        <v>66</v>
      </c>
      <c r="C118" s="95" t="s">
        <v>67</v>
      </c>
      <c r="D118" s="95" t="s">
        <v>81</v>
      </c>
      <c r="G118" s="95">
        <v>13</v>
      </c>
      <c r="I118" s="95">
        <v>0.96</v>
      </c>
      <c r="P118" s="95">
        <v>2023</v>
      </c>
      <c r="S118" s="95" t="s">
        <v>99</v>
      </c>
      <c r="T118" s="95" t="s">
        <v>170</v>
      </c>
    </row>
    <row r="119" spans="1:20" x14ac:dyDescent="0.2">
      <c r="A119" s="95" t="s">
        <v>73</v>
      </c>
      <c r="B119" s="95" t="s">
        <v>66</v>
      </c>
      <c r="C119" s="95" t="s">
        <v>67</v>
      </c>
      <c r="D119" s="95" t="s">
        <v>81</v>
      </c>
      <c r="G119" s="95">
        <v>19</v>
      </c>
      <c r="I119" s="95">
        <v>1.08</v>
      </c>
      <c r="P119" s="95">
        <v>2023</v>
      </c>
      <c r="S119" s="95" t="s">
        <v>99</v>
      </c>
      <c r="T119" s="95" t="s">
        <v>171</v>
      </c>
    </row>
    <row r="120" spans="1:20" x14ac:dyDescent="0.2">
      <c r="A120" s="95" t="s">
        <v>73</v>
      </c>
      <c r="B120" s="95" t="s">
        <v>66</v>
      </c>
      <c r="C120" s="95" t="s">
        <v>67</v>
      </c>
      <c r="D120" s="95" t="s">
        <v>68</v>
      </c>
      <c r="G120" s="95">
        <v>13</v>
      </c>
      <c r="I120" s="95">
        <v>0.93</v>
      </c>
      <c r="P120" s="95">
        <v>2023</v>
      </c>
      <c r="S120" s="95" t="s">
        <v>99</v>
      </c>
      <c r="T120" s="95" t="s">
        <v>172</v>
      </c>
    </row>
    <row r="121" spans="1:20" x14ac:dyDescent="0.2">
      <c r="A121" s="95" t="s">
        <v>73</v>
      </c>
      <c r="B121" s="95" t="s">
        <v>66</v>
      </c>
      <c r="C121" s="95" t="s">
        <v>67</v>
      </c>
      <c r="D121" s="95" t="s">
        <v>68</v>
      </c>
      <c r="G121" s="95">
        <v>7</v>
      </c>
      <c r="I121" s="95">
        <v>1.99</v>
      </c>
      <c r="P121" s="95">
        <v>2023</v>
      </c>
      <c r="S121" s="95" t="s">
        <v>99</v>
      </c>
      <c r="T121" s="95" t="s">
        <v>173</v>
      </c>
    </row>
    <row r="122" spans="1:20" x14ac:dyDescent="0.2">
      <c r="A122" s="95" t="s">
        <v>73</v>
      </c>
      <c r="B122" s="95" t="s">
        <v>66</v>
      </c>
      <c r="C122" s="95" t="s">
        <v>67</v>
      </c>
      <c r="D122" s="95" t="s">
        <v>68</v>
      </c>
      <c r="G122" s="95">
        <v>6</v>
      </c>
      <c r="I122" s="95">
        <v>95.58</v>
      </c>
      <c r="P122" s="95">
        <v>2023</v>
      </c>
      <c r="S122" s="95" t="s">
        <v>99</v>
      </c>
      <c r="T122" s="95" t="s">
        <v>174</v>
      </c>
    </row>
    <row r="123" spans="1:20" x14ac:dyDescent="0.2">
      <c r="A123" s="95" t="s">
        <v>73</v>
      </c>
      <c r="B123" s="95" t="s">
        <v>66</v>
      </c>
      <c r="C123" s="95" t="s">
        <v>67</v>
      </c>
      <c r="D123" s="95" t="s">
        <v>81</v>
      </c>
      <c r="G123" s="95">
        <v>13</v>
      </c>
      <c r="I123" s="95">
        <v>0.75</v>
      </c>
      <c r="P123" s="95">
        <v>2023</v>
      </c>
      <c r="S123" s="95" t="s">
        <v>99</v>
      </c>
      <c r="T123" s="95" t="s">
        <v>175</v>
      </c>
    </row>
    <row r="124" spans="1:20" x14ac:dyDescent="0.2">
      <c r="A124" s="95" t="s">
        <v>97</v>
      </c>
      <c r="B124" s="95" t="s">
        <v>66</v>
      </c>
      <c r="C124" s="95" t="s">
        <v>239</v>
      </c>
      <c r="G124" s="95">
        <v>2</v>
      </c>
      <c r="H124" s="95">
        <v>3.7</v>
      </c>
      <c r="I124" s="95">
        <v>0.876</v>
      </c>
      <c r="P124" s="95">
        <v>2023</v>
      </c>
      <c r="R124" s="95" t="s">
        <v>240</v>
      </c>
      <c r="S124" s="95" t="s">
        <v>99</v>
      </c>
      <c r="T124" s="95" t="s">
        <v>241</v>
      </c>
    </row>
    <row r="125" spans="1:20" x14ac:dyDescent="0.2">
      <c r="A125" s="95" t="s">
        <v>97</v>
      </c>
      <c r="B125" s="95" t="s">
        <v>66</v>
      </c>
      <c r="C125" s="95" t="s">
        <v>252</v>
      </c>
      <c r="G125" s="95">
        <v>6.44</v>
      </c>
      <c r="I125" s="95">
        <v>1.9450000000000001</v>
      </c>
      <c r="P125" s="95">
        <v>2023</v>
      </c>
      <c r="R125" s="95" t="s">
        <v>242</v>
      </c>
      <c r="S125" s="95" t="s">
        <v>99</v>
      </c>
      <c r="T125" s="95" t="s">
        <v>243</v>
      </c>
    </row>
    <row r="126" spans="1:20" x14ac:dyDescent="0.2">
      <c r="A126" s="95" t="s">
        <v>97</v>
      </c>
      <c r="B126" s="95" t="s">
        <v>66</v>
      </c>
      <c r="C126" s="95" t="s">
        <v>239</v>
      </c>
      <c r="G126" s="95">
        <v>3.7</v>
      </c>
      <c r="I126" s="95">
        <v>1.0760000000000001</v>
      </c>
      <c r="P126" s="95">
        <v>2023</v>
      </c>
      <c r="R126" s="95" t="s">
        <v>244</v>
      </c>
      <c r="S126" s="95" t="s">
        <v>99</v>
      </c>
      <c r="T126" s="95" t="s">
        <v>245</v>
      </c>
    </row>
    <row r="127" spans="1:20" x14ac:dyDescent="0.2">
      <c r="A127" s="95" t="s">
        <v>97</v>
      </c>
      <c r="B127" s="95" t="s">
        <v>66</v>
      </c>
      <c r="C127" s="95" t="s">
        <v>239</v>
      </c>
      <c r="G127" s="95">
        <v>4.49</v>
      </c>
      <c r="H127" s="95">
        <v>4</v>
      </c>
      <c r="I127" s="95">
        <v>1.3759999999999999</v>
      </c>
      <c r="P127" s="95">
        <v>2023</v>
      </c>
      <c r="R127" s="95" t="s">
        <v>246</v>
      </c>
      <c r="S127" s="95" t="s">
        <v>99</v>
      </c>
      <c r="T127" s="95" t="s">
        <v>247</v>
      </c>
    </row>
    <row r="128" spans="1:20" x14ac:dyDescent="0.2">
      <c r="A128" s="95" t="s">
        <v>97</v>
      </c>
      <c r="B128" s="95" t="s">
        <v>66</v>
      </c>
      <c r="C128" s="95" t="s">
        <v>252</v>
      </c>
      <c r="G128" s="95">
        <v>6</v>
      </c>
      <c r="I128" s="95">
        <v>1.9450000000000001</v>
      </c>
      <c r="P128" s="95">
        <v>2023</v>
      </c>
      <c r="R128" s="95" t="s">
        <v>248</v>
      </c>
      <c r="S128" s="95" t="s">
        <v>99</v>
      </c>
      <c r="T128" s="95" t="s">
        <v>249</v>
      </c>
    </row>
    <row r="129" spans="1:20" x14ac:dyDescent="0.2">
      <c r="A129" s="95" t="s">
        <v>97</v>
      </c>
      <c r="B129" s="95" t="s">
        <v>66</v>
      </c>
      <c r="C129" s="95" t="s">
        <v>239</v>
      </c>
      <c r="G129" s="95">
        <v>4.5</v>
      </c>
      <c r="H129" s="95">
        <v>4</v>
      </c>
      <c r="I129" s="95">
        <v>1.536</v>
      </c>
      <c r="P129" s="95">
        <v>2023</v>
      </c>
      <c r="R129" s="95" t="s">
        <v>250</v>
      </c>
      <c r="S129" s="95" t="s">
        <v>99</v>
      </c>
      <c r="T129" s="95" t="s">
        <v>251</v>
      </c>
    </row>
    <row r="130" spans="1:20" x14ac:dyDescent="0.2">
      <c r="A130" s="95" t="s">
        <v>97</v>
      </c>
      <c r="B130" s="95" t="s">
        <v>66</v>
      </c>
      <c r="C130" s="95" t="s">
        <v>252</v>
      </c>
      <c r="G130" s="95">
        <v>6.5</v>
      </c>
      <c r="I130" s="95">
        <v>1.665</v>
      </c>
      <c r="P130" s="95">
        <v>2023</v>
      </c>
      <c r="R130" s="95" t="s">
        <v>253</v>
      </c>
      <c r="S130" s="95" t="s">
        <v>99</v>
      </c>
      <c r="T130" s="95" t="s">
        <v>254</v>
      </c>
    </row>
    <row r="131" spans="1:20" x14ac:dyDescent="0.2">
      <c r="A131" s="95" t="s">
        <v>97</v>
      </c>
      <c r="B131" s="95" t="s">
        <v>66</v>
      </c>
      <c r="C131" s="95" t="s">
        <v>239</v>
      </c>
      <c r="G131" s="95">
        <v>4.5</v>
      </c>
      <c r="H131" s="95">
        <v>4</v>
      </c>
      <c r="I131" s="95">
        <v>0.74750000000000005</v>
      </c>
      <c r="P131" s="95">
        <v>2023</v>
      </c>
      <c r="R131" s="95" t="s">
        <v>255</v>
      </c>
      <c r="S131" s="95" t="s">
        <v>99</v>
      </c>
      <c r="T131" s="95" t="s">
        <v>256</v>
      </c>
    </row>
    <row r="132" spans="1:20" x14ac:dyDescent="0.2">
      <c r="A132" s="95" t="s">
        <v>97</v>
      </c>
      <c r="B132" s="95" t="s">
        <v>66</v>
      </c>
      <c r="C132" s="95" t="s">
        <v>239</v>
      </c>
      <c r="G132" s="95">
        <v>2</v>
      </c>
      <c r="H132" s="95">
        <v>3.7</v>
      </c>
      <c r="I132" s="95">
        <v>0.92642857142857149</v>
      </c>
      <c r="P132" s="95">
        <v>2023</v>
      </c>
      <c r="R132" s="95" t="s">
        <v>257</v>
      </c>
      <c r="S132" s="95" t="s">
        <v>99</v>
      </c>
      <c r="T132" s="95" t="s">
        <v>258</v>
      </c>
    </row>
    <row r="133" spans="1:20" x14ac:dyDescent="0.2">
      <c r="A133" s="95" t="s">
        <v>97</v>
      </c>
      <c r="B133" s="95" t="s">
        <v>66</v>
      </c>
      <c r="C133" s="95" t="s">
        <v>239</v>
      </c>
      <c r="G133" s="95">
        <v>3.8</v>
      </c>
      <c r="I133" s="95">
        <v>1.4950000000000001</v>
      </c>
      <c r="P133" s="95">
        <v>2023</v>
      </c>
      <c r="R133" s="95" t="s">
        <v>259</v>
      </c>
      <c r="S133" s="95" t="s">
        <v>99</v>
      </c>
      <c r="T133" s="95" t="s">
        <v>260</v>
      </c>
    </row>
    <row r="134" spans="1:20" x14ac:dyDescent="0.2">
      <c r="A134" s="95" t="s">
        <v>97</v>
      </c>
      <c r="B134" s="95" t="s">
        <v>66</v>
      </c>
      <c r="C134" s="95" t="s">
        <v>239</v>
      </c>
      <c r="G134" s="95">
        <v>2</v>
      </c>
      <c r="H134" s="95">
        <v>3.7</v>
      </c>
      <c r="I134" s="95">
        <v>1.4970000000000001</v>
      </c>
      <c r="P134" s="95">
        <v>2023</v>
      </c>
      <c r="R134" s="95" t="s">
        <v>261</v>
      </c>
      <c r="S134" s="95" t="s">
        <v>99</v>
      </c>
      <c r="T134" s="95" t="s">
        <v>262</v>
      </c>
    </row>
    <row r="135" spans="1:20" x14ac:dyDescent="0.2">
      <c r="A135" s="95" t="s">
        <v>97</v>
      </c>
      <c r="B135" s="95" t="s">
        <v>66</v>
      </c>
      <c r="C135" s="95" t="s">
        <v>239</v>
      </c>
      <c r="G135" s="95">
        <v>4</v>
      </c>
      <c r="I135" s="95">
        <v>1.3283333333333334</v>
      </c>
      <c r="P135" s="95">
        <v>2023</v>
      </c>
      <c r="R135" s="95" t="s">
        <v>263</v>
      </c>
      <c r="S135" s="95" t="s">
        <v>99</v>
      </c>
      <c r="T135" s="95" t="s">
        <v>264</v>
      </c>
    </row>
    <row r="136" spans="1:20" x14ac:dyDescent="0.2">
      <c r="A136" s="95" t="s">
        <v>97</v>
      </c>
      <c r="B136" s="95" t="s">
        <v>66</v>
      </c>
      <c r="C136" s="95" t="s">
        <v>239</v>
      </c>
      <c r="G136" s="95">
        <v>3.7</v>
      </c>
      <c r="I136" s="95">
        <v>1.1960000000000002</v>
      </c>
      <c r="P136" s="95">
        <v>2023</v>
      </c>
      <c r="R136" s="95" t="s">
        <v>265</v>
      </c>
      <c r="S136" s="95" t="s">
        <v>99</v>
      </c>
      <c r="T136" s="95" t="s">
        <v>266</v>
      </c>
    </row>
    <row r="137" spans="1:20" x14ac:dyDescent="0.2">
      <c r="A137" s="95" t="s">
        <v>97</v>
      </c>
      <c r="B137" s="95" t="s">
        <v>66</v>
      </c>
      <c r="C137" s="95" t="s">
        <v>252</v>
      </c>
      <c r="G137" s="95">
        <v>14</v>
      </c>
      <c r="H137" s="95">
        <v>6.8</v>
      </c>
      <c r="I137" s="95">
        <v>1.6658153846153845</v>
      </c>
      <c r="P137" s="95">
        <v>2023</v>
      </c>
      <c r="R137" s="95" t="s">
        <v>267</v>
      </c>
      <c r="S137" s="95" t="s">
        <v>99</v>
      </c>
      <c r="T137" s="95" t="s">
        <v>268</v>
      </c>
    </row>
    <row r="138" spans="1:20" x14ac:dyDescent="0.2">
      <c r="A138" s="95" t="s">
        <v>97</v>
      </c>
      <c r="B138" s="95" t="s">
        <v>66</v>
      </c>
      <c r="C138" s="95" t="s">
        <v>239</v>
      </c>
      <c r="G138" s="95">
        <v>4</v>
      </c>
      <c r="I138" s="95">
        <v>1.9957142857142858</v>
      </c>
      <c r="P138" s="95">
        <v>2023</v>
      </c>
      <c r="R138" s="95" t="s">
        <v>269</v>
      </c>
      <c r="S138" s="95" t="s">
        <v>99</v>
      </c>
      <c r="T138" s="95" t="s">
        <v>270</v>
      </c>
    </row>
    <row r="139" spans="1:20" x14ac:dyDescent="0.2">
      <c r="A139" s="95" t="s">
        <v>97</v>
      </c>
      <c r="B139" s="95" t="s">
        <v>66</v>
      </c>
      <c r="C139" s="95" t="s">
        <v>239</v>
      </c>
      <c r="G139" s="95">
        <v>4</v>
      </c>
      <c r="I139" s="95">
        <v>1.7100000000000002</v>
      </c>
      <c r="P139" s="95">
        <v>2023</v>
      </c>
      <c r="R139" s="95" t="s">
        <v>271</v>
      </c>
      <c r="S139" s="95" t="s">
        <v>99</v>
      </c>
      <c r="T139" s="95" t="s">
        <v>272</v>
      </c>
    </row>
    <row r="140" spans="1:20" x14ac:dyDescent="0.2">
      <c r="A140" s="95" t="s">
        <v>97</v>
      </c>
      <c r="B140" s="95" t="s">
        <v>66</v>
      </c>
      <c r="C140" s="95" t="s">
        <v>252</v>
      </c>
      <c r="G140" s="95">
        <v>14</v>
      </c>
      <c r="H140" s="95">
        <v>6.8</v>
      </c>
      <c r="I140" s="95">
        <v>1.621032258064516</v>
      </c>
      <c r="P140" s="95">
        <v>2023</v>
      </c>
      <c r="R140" s="95" t="s">
        <v>273</v>
      </c>
      <c r="S140" s="95" t="s">
        <v>99</v>
      </c>
      <c r="T140" s="95" t="s">
        <v>274</v>
      </c>
    </row>
    <row r="141" spans="1:20" x14ac:dyDescent="0.2">
      <c r="A141" s="95" t="s">
        <v>97</v>
      </c>
      <c r="B141" s="95" t="s">
        <v>66</v>
      </c>
      <c r="C141" s="95" t="s">
        <v>252</v>
      </c>
      <c r="G141" s="95">
        <v>5.5</v>
      </c>
      <c r="I141" s="95">
        <v>2.2069047619047617</v>
      </c>
      <c r="P141" s="95">
        <v>2023</v>
      </c>
      <c r="R141" s="95" t="s">
        <v>275</v>
      </c>
      <c r="S141" s="95" t="s">
        <v>99</v>
      </c>
      <c r="T141" s="95" t="s">
        <v>276</v>
      </c>
    </row>
    <row r="142" spans="1:20" x14ac:dyDescent="0.2">
      <c r="A142" s="95" t="s">
        <v>97</v>
      </c>
      <c r="B142" s="95" t="s">
        <v>66</v>
      </c>
      <c r="C142" s="95" t="s">
        <v>252</v>
      </c>
      <c r="G142" s="95">
        <v>3.7</v>
      </c>
      <c r="I142" s="95">
        <v>6.427142857142857</v>
      </c>
      <c r="P142" s="95">
        <v>2023</v>
      </c>
      <c r="R142" s="95" t="s">
        <v>277</v>
      </c>
      <c r="S142" s="95" t="s">
        <v>99</v>
      </c>
      <c r="T142" s="95" t="s">
        <v>278</v>
      </c>
    </row>
    <row r="143" spans="1:20" x14ac:dyDescent="0.2">
      <c r="A143" s="95" t="s">
        <v>97</v>
      </c>
      <c r="B143" s="95" t="s">
        <v>66</v>
      </c>
      <c r="C143" s="95" t="s">
        <v>239</v>
      </c>
      <c r="G143" s="95">
        <v>3.8</v>
      </c>
      <c r="I143" s="95">
        <v>1.1475</v>
      </c>
      <c r="P143" s="95">
        <v>2023</v>
      </c>
      <c r="R143" s="95" t="s">
        <v>279</v>
      </c>
      <c r="S143" s="95" t="s">
        <v>99</v>
      </c>
      <c r="T143" s="95" t="s">
        <v>280</v>
      </c>
    </row>
    <row r="144" spans="1:20" x14ac:dyDescent="0.2">
      <c r="A144" s="95" t="s">
        <v>97</v>
      </c>
      <c r="B144" s="95" t="s">
        <v>66</v>
      </c>
      <c r="C144" s="95" t="s">
        <v>252</v>
      </c>
      <c r="G144" s="95">
        <v>3.7</v>
      </c>
      <c r="I144" s="95">
        <v>9.2707142857142859</v>
      </c>
      <c r="P144" s="95">
        <v>2023</v>
      </c>
      <c r="R144" s="95" t="s">
        <v>281</v>
      </c>
      <c r="S144" s="95" t="s">
        <v>99</v>
      </c>
      <c r="T144" s="95" t="s">
        <v>282</v>
      </c>
    </row>
    <row r="145" spans="1:20" x14ac:dyDescent="0.2">
      <c r="A145" s="95" t="s">
        <v>97</v>
      </c>
      <c r="B145" s="95" t="s">
        <v>66</v>
      </c>
      <c r="C145" s="95" t="s">
        <v>252</v>
      </c>
      <c r="G145" s="95">
        <v>3.7</v>
      </c>
      <c r="I145" s="95">
        <v>7.2735714285714286</v>
      </c>
      <c r="P145" s="95">
        <v>2023</v>
      </c>
      <c r="R145" s="95" t="s">
        <v>283</v>
      </c>
      <c r="S145" s="95" t="s">
        <v>99</v>
      </c>
      <c r="T145" s="95" t="s">
        <v>284</v>
      </c>
    </row>
    <row r="146" spans="1:20" x14ac:dyDescent="0.2">
      <c r="A146" s="95" t="s">
        <v>73</v>
      </c>
      <c r="B146" s="95" t="s">
        <v>66</v>
      </c>
      <c r="C146" s="95" t="s">
        <v>91</v>
      </c>
      <c r="D146" s="95" t="s">
        <v>68</v>
      </c>
      <c r="F146" s="95">
        <v>2</v>
      </c>
      <c r="G146" s="95">
        <v>8.4</v>
      </c>
      <c r="I146" s="95">
        <v>3.6652473958333331</v>
      </c>
      <c r="P146" s="95">
        <v>2023</v>
      </c>
      <c r="Q146" s="95" t="s">
        <v>176</v>
      </c>
      <c r="R146" s="95" t="s">
        <v>285</v>
      </c>
      <c r="S146" s="95" t="s">
        <v>99</v>
      </c>
      <c r="T146" s="95" t="s">
        <v>286</v>
      </c>
    </row>
    <row r="147" spans="1:20" x14ac:dyDescent="0.2">
      <c r="A147" s="95" t="s">
        <v>73</v>
      </c>
      <c r="B147" s="95" t="s">
        <v>66</v>
      </c>
      <c r="C147" s="95" t="s">
        <v>287</v>
      </c>
      <c r="D147" s="95" t="s">
        <v>68</v>
      </c>
      <c r="I147" s="95">
        <v>1.1765886287625418</v>
      </c>
      <c r="P147" s="95">
        <v>2023</v>
      </c>
      <c r="Q147" s="95" t="s">
        <v>288</v>
      </c>
      <c r="R147" s="95" t="s">
        <v>289</v>
      </c>
      <c r="S147" s="95" t="s">
        <v>99</v>
      </c>
      <c r="T147" s="95" t="s">
        <v>290</v>
      </c>
    </row>
    <row r="148" spans="1:20" x14ac:dyDescent="0.2">
      <c r="A148" s="95" t="s">
        <v>73</v>
      </c>
      <c r="B148" s="95" t="s">
        <v>66</v>
      </c>
      <c r="C148" s="95" t="s">
        <v>291</v>
      </c>
      <c r="D148" s="95" t="s">
        <v>68</v>
      </c>
      <c r="F148" s="95">
        <v>3.5</v>
      </c>
      <c r="G148" s="95">
        <v>13</v>
      </c>
      <c r="I148" s="95">
        <v>1.3846938775510202</v>
      </c>
      <c r="P148" s="95">
        <v>2023</v>
      </c>
      <c r="Q148" s="95" t="s">
        <v>292</v>
      </c>
      <c r="R148" s="95" t="s">
        <v>293</v>
      </c>
      <c r="S148" s="95" t="s">
        <v>99</v>
      </c>
      <c r="T148" s="95" t="s">
        <v>102</v>
      </c>
    </row>
    <row r="149" spans="1:20" x14ac:dyDescent="0.2">
      <c r="A149" s="95" t="s">
        <v>73</v>
      </c>
      <c r="B149" s="95" t="s">
        <v>66</v>
      </c>
      <c r="C149" s="95" t="s">
        <v>291</v>
      </c>
      <c r="D149" s="95" t="s">
        <v>68</v>
      </c>
      <c r="F149" s="95">
        <v>3.5</v>
      </c>
      <c r="G149" s="95">
        <v>15</v>
      </c>
      <c r="I149" s="95">
        <v>1.5803571428571428</v>
      </c>
      <c r="P149" s="95">
        <v>2023</v>
      </c>
      <c r="Q149" s="95" t="s">
        <v>292</v>
      </c>
      <c r="R149" s="95" t="s">
        <v>294</v>
      </c>
      <c r="S149" s="95" t="s">
        <v>99</v>
      </c>
      <c r="T149" s="95" t="s">
        <v>106</v>
      </c>
    </row>
    <row r="150" spans="1:20" x14ac:dyDescent="0.2">
      <c r="A150" s="95" t="s">
        <v>73</v>
      </c>
      <c r="B150" s="95" t="s">
        <v>66</v>
      </c>
      <c r="C150" s="95" t="s">
        <v>295</v>
      </c>
      <c r="D150" s="95" t="s">
        <v>68</v>
      </c>
      <c r="F150" s="95">
        <v>3.5</v>
      </c>
      <c r="G150" s="95">
        <v>15</v>
      </c>
      <c r="I150" s="95">
        <v>1.3144053601340033</v>
      </c>
      <c r="P150" s="95">
        <v>2023</v>
      </c>
      <c r="Q150" s="95" t="s">
        <v>296</v>
      </c>
      <c r="R150" s="95" t="s">
        <v>297</v>
      </c>
      <c r="S150" s="95" t="s">
        <v>99</v>
      </c>
      <c r="T150" s="95" t="s">
        <v>110</v>
      </c>
    </row>
    <row r="151" spans="1:20" x14ac:dyDescent="0.2">
      <c r="A151" s="95" t="s">
        <v>73</v>
      </c>
      <c r="B151" s="95" t="s">
        <v>66</v>
      </c>
      <c r="C151" s="95" t="s">
        <v>291</v>
      </c>
      <c r="D151" s="95" t="s">
        <v>68</v>
      </c>
      <c r="F151" s="95">
        <v>7.125</v>
      </c>
      <c r="G151" s="95">
        <v>30</v>
      </c>
      <c r="I151" s="95">
        <v>3.7503401360544215</v>
      </c>
      <c r="P151" s="95">
        <v>2023</v>
      </c>
      <c r="Q151" s="95" t="s">
        <v>298</v>
      </c>
      <c r="R151" s="95" t="s">
        <v>299</v>
      </c>
      <c r="S151" s="95" t="s">
        <v>99</v>
      </c>
      <c r="T151" s="95" t="s">
        <v>117</v>
      </c>
    </row>
    <row r="152" spans="1:20" x14ac:dyDescent="0.2">
      <c r="A152" s="95" t="s">
        <v>73</v>
      </c>
      <c r="B152" s="95" t="s">
        <v>66</v>
      </c>
      <c r="C152" s="95" t="s">
        <v>291</v>
      </c>
      <c r="D152" s="95" t="s">
        <v>68</v>
      </c>
      <c r="F152" s="95">
        <v>5.5</v>
      </c>
      <c r="G152" s="95">
        <v>23</v>
      </c>
      <c r="I152" s="95">
        <v>2.0020483613109512</v>
      </c>
      <c r="P152" s="95">
        <v>2023</v>
      </c>
      <c r="Q152" s="95" t="s">
        <v>300</v>
      </c>
      <c r="R152" s="95" t="s">
        <v>301</v>
      </c>
      <c r="S152" s="95" t="s">
        <v>99</v>
      </c>
      <c r="T152" s="95" t="s">
        <v>302</v>
      </c>
    </row>
    <row r="153" spans="1:20" x14ac:dyDescent="0.2">
      <c r="A153" s="95" t="s">
        <v>73</v>
      </c>
      <c r="B153" s="95" t="s">
        <v>66</v>
      </c>
      <c r="C153" s="95" t="s">
        <v>291</v>
      </c>
      <c r="D153" s="95" t="s">
        <v>68</v>
      </c>
      <c r="F153" s="95">
        <v>7.125</v>
      </c>
      <c r="G153" s="95">
        <v>30</v>
      </c>
      <c r="I153" s="95">
        <v>3.3362777777777777</v>
      </c>
      <c r="P153" s="95">
        <v>2023</v>
      </c>
      <c r="Q153" s="95" t="s">
        <v>298</v>
      </c>
      <c r="R153" s="95" t="s">
        <v>303</v>
      </c>
      <c r="S153" s="95" t="s">
        <v>99</v>
      </c>
      <c r="T153" s="95" t="s">
        <v>123</v>
      </c>
    </row>
    <row r="154" spans="1:20" x14ac:dyDescent="0.2">
      <c r="A154" s="95" t="s">
        <v>73</v>
      </c>
      <c r="B154" s="95" t="s">
        <v>66</v>
      </c>
      <c r="C154" s="95" t="s">
        <v>291</v>
      </c>
      <c r="D154" s="95" t="s">
        <v>68</v>
      </c>
      <c r="F154" s="95">
        <v>5.5</v>
      </c>
      <c r="G154" s="95">
        <v>21</v>
      </c>
      <c r="I154" s="95">
        <v>2.6538701622971286</v>
      </c>
      <c r="P154" s="95">
        <v>2023</v>
      </c>
      <c r="Q154" s="95" t="s">
        <v>304</v>
      </c>
      <c r="R154" s="95" t="s">
        <v>305</v>
      </c>
      <c r="S154" s="95" t="s">
        <v>99</v>
      </c>
      <c r="T154" s="95" t="s">
        <v>119</v>
      </c>
    </row>
    <row r="155" spans="1:20" x14ac:dyDescent="0.2">
      <c r="A155" s="95" t="s">
        <v>73</v>
      </c>
      <c r="B155" s="95" t="s">
        <v>66</v>
      </c>
      <c r="C155" s="95" t="s">
        <v>291</v>
      </c>
      <c r="D155" s="95" t="s">
        <v>68</v>
      </c>
      <c r="F155" s="95">
        <v>5.5</v>
      </c>
      <c r="G155" s="95">
        <v>21</v>
      </c>
      <c r="I155" s="95">
        <v>2.6630356349911191</v>
      </c>
      <c r="P155" s="95">
        <v>2023</v>
      </c>
      <c r="Q155" s="95" t="s">
        <v>300</v>
      </c>
      <c r="R155" s="95" t="s">
        <v>306</v>
      </c>
      <c r="S155" s="95" t="s">
        <v>99</v>
      </c>
      <c r="T155" s="95" t="s">
        <v>139</v>
      </c>
    </row>
    <row r="156" spans="1:20" x14ac:dyDescent="0.2">
      <c r="A156" s="95" t="s">
        <v>73</v>
      </c>
      <c r="B156" s="95" t="s">
        <v>66</v>
      </c>
      <c r="C156" s="95" t="s">
        <v>291</v>
      </c>
      <c r="D156" s="95" t="s">
        <v>68</v>
      </c>
      <c r="F156" s="95">
        <v>3.5</v>
      </c>
      <c r="G156" s="95">
        <v>13</v>
      </c>
      <c r="I156" s="95">
        <v>1.4539939227439227</v>
      </c>
      <c r="P156" s="95">
        <v>2023</v>
      </c>
      <c r="Q156" s="95" t="s">
        <v>300</v>
      </c>
      <c r="R156" s="95" t="s">
        <v>307</v>
      </c>
      <c r="S156" s="95" t="s">
        <v>99</v>
      </c>
      <c r="T156" s="95" t="s">
        <v>146</v>
      </c>
    </row>
    <row r="157" spans="1:20" x14ac:dyDescent="0.2">
      <c r="A157" s="95" t="s">
        <v>76</v>
      </c>
      <c r="B157" s="95" t="s">
        <v>66</v>
      </c>
      <c r="C157" s="95" t="s">
        <v>93</v>
      </c>
      <c r="F157" s="95">
        <v>3.3</v>
      </c>
      <c r="G157" s="95">
        <v>19</v>
      </c>
      <c r="H157" s="95">
        <v>3.7</v>
      </c>
      <c r="I157" s="95">
        <v>0.22500000000000003</v>
      </c>
      <c r="P157" s="95">
        <v>2023</v>
      </c>
      <c r="Q157" s="95" t="s">
        <v>308</v>
      </c>
      <c r="R157" s="95" t="s">
        <v>309</v>
      </c>
      <c r="S157" s="95" t="s">
        <v>99</v>
      </c>
      <c r="T157" s="95" t="s">
        <v>310</v>
      </c>
    </row>
    <row r="158" spans="1:20" x14ac:dyDescent="0.2">
      <c r="A158" s="95" t="s">
        <v>76</v>
      </c>
      <c r="B158" s="95" t="s">
        <v>66</v>
      </c>
      <c r="C158" s="95" t="s">
        <v>67</v>
      </c>
      <c r="F158" s="95">
        <v>20.5</v>
      </c>
      <c r="G158" s="95">
        <v>19</v>
      </c>
      <c r="H158" s="95">
        <v>2.7</v>
      </c>
      <c r="I158" s="95">
        <v>0.37022831050228311</v>
      </c>
      <c r="P158" s="95">
        <v>2023</v>
      </c>
      <c r="Q158" s="95" t="s">
        <v>311</v>
      </c>
      <c r="R158" s="95" t="s">
        <v>312</v>
      </c>
      <c r="S158" s="95" t="s">
        <v>99</v>
      </c>
      <c r="T158" s="95" t="s">
        <v>313</v>
      </c>
    </row>
    <row r="159" spans="1:20" x14ac:dyDescent="0.2">
      <c r="A159" s="95" t="s">
        <v>76</v>
      </c>
      <c r="B159" s="95" t="s">
        <v>66</v>
      </c>
      <c r="C159" s="95" t="s">
        <v>93</v>
      </c>
      <c r="F159" s="95">
        <v>50</v>
      </c>
      <c r="G159" s="95">
        <v>19</v>
      </c>
      <c r="H159" s="95">
        <v>3.7</v>
      </c>
      <c r="I159" s="95">
        <v>0.4126492194674013</v>
      </c>
      <c r="P159" s="95">
        <v>2023</v>
      </c>
      <c r="Q159" s="95" t="s">
        <v>314</v>
      </c>
      <c r="R159" s="95" t="s">
        <v>315</v>
      </c>
      <c r="S159" s="95" t="s">
        <v>99</v>
      </c>
      <c r="T159" s="95" t="s">
        <v>316</v>
      </c>
    </row>
    <row r="160" spans="1:20" x14ac:dyDescent="0.2">
      <c r="A160" s="95" t="s">
        <v>76</v>
      </c>
      <c r="B160" s="95" t="s">
        <v>66</v>
      </c>
      <c r="C160" s="95" t="s">
        <v>93</v>
      </c>
      <c r="F160" s="95">
        <v>3.3</v>
      </c>
      <c r="G160" s="95">
        <v>19</v>
      </c>
      <c r="H160" s="95">
        <v>3.7</v>
      </c>
      <c r="I160" s="95">
        <v>0.54340359094457458</v>
      </c>
      <c r="P160" s="95">
        <v>2023</v>
      </c>
      <c r="Q160" s="95" t="s">
        <v>308</v>
      </c>
      <c r="R160" s="95" t="s">
        <v>317</v>
      </c>
      <c r="S160" s="95" t="s">
        <v>99</v>
      </c>
      <c r="T160" s="95" t="s">
        <v>318</v>
      </c>
    </row>
    <row r="161" spans="1:20" x14ac:dyDescent="0.2">
      <c r="A161" s="95" t="s">
        <v>76</v>
      </c>
      <c r="B161" s="95" t="s">
        <v>66</v>
      </c>
      <c r="C161" s="95" t="s">
        <v>93</v>
      </c>
      <c r="G161" s="95">
        <v>19</v>
      </c>
      <c r="H161" s="95">
        <v>3.7</v>
      </c>
      <c r="I161" s="95">
        <v>0.34180327868852461</v>
      </c>
      <c r="P161" s="95">
        <v>2023</v>
      </c>
      <c r="Q161" s="95" t="s">
        <v>319</v>
      </c>
      <c r="R161" s="95" t="s">
        <v>320</v>
      </c>
      <c r="S161" s="95" t="s">
        <v>321</v>
      </c>
      <c r="T161" s="95" t="s">
        <v>322</v>
      </c>
    </row>
    <row r="162" spans="1:20" x14ac:dyDescent="0.2">
      <c r="A162" s="95" t="s">
        <v>76</v>
      </c>
      <c r="B162" s="95" t="s">
        <v>66</v>
      </c>
      <c r="C162" s="95" t="s">
        <v>67</v>
      </c>
      <c r="G162" s="95">
        <v>19</v>
      </c>
      <c r="H162" s="95">
        <v>3</v>
      </c>
      <c r="I162" s="95">
        <v>0.52357723577235771</v>
      </c>
      <c r="P162" s="95">
        <v>2023</v>
      </c>
      <c r="Q162" s="95" t="s">
        <v>311</v>
      </c>
      <c r="R162" s="95" t="s">
        <v>323</v>
      </c>
      <c r="S162" s="95" t="s">
        <v>321</v>
      </c>
      <c r="T162" s="95" t="s">
        <v>324</v>
      </c>
    </row>
    <row r="163" spans="1:20" x14ac:dyDescent="0.2">
      <c r="A163" s="95" t="s">
        <v>76</v>
      </c>
      <c r="B163" s="95" t="s">
        <v>66</v>
      </c>
      <c r="C163" s="95" t="s">
        <v>67</v>
      </c>
      <c r="G163" s="95">
        <v>19</v>
      </c>
      <c r="H163" s="95">
        <v>3</v>
      </c>
      <c r="I163" s="95">
        <v>1.0835591689250226</v>
      </c>
      <c r="P163" s="95">
        <v>2023</v>
      </c>
      <c r="Q163" s="95" t="s">
        <v>311</v>
      </c>
      <c r="R163" s="95" t="s">
        <v>325</v>
      </c>
      <c r="S163" s="95" t="s">
        <v>321</v>
      </c>
      <c r="T163" s="95" t="s">
        <v>326</v>
      </c>
    </row>
    <row r="164" spans="1:20" x14ac:dyDescent="0.2">
      <c r="A164" s="95" t="s">
        <v>73</v>
      </c>
      <c r="B164" s="95" t="s">
        <v>69</v>
      </c>
      <c r="C164" s="95" t="s">
        <v>67</v>
      </c>
      <c r="D164" s="95" t="s">
        <v>81</v>
      </c>
      <c r="E164" s="95" t="s">
        <v>89</v>
      </c>
      <c r="F164" s="95">
        <v>3.5</v>
      </c>
      <c r="G164" s="95">
        <v>11</v>
      </c>
      <c r="I164" s="95">
        <v>0.53</v>
      </c>
      <c r="J164" s="95">
        <v>6.0000000000000001E-3</v>
      </c>
      <c r="K164" s="95">
        <v>0.23</v>
      </c>
      <c r="L164" s="95">
        <v>0.95</v>
      </c>
      <c r="O164" s="95">
        <v>999</v>
      </c>
      <c r="P164" s="95">
        <v>2023</v>
      </c>
      <c r="R164" s="95" t="s">
        <v>69</v>
      </c>
      <c r="S164" s="95" t="s">
        <v>70</v>
      </c>
    </row>
    <row r="165" spans="1:20" x14ac:dyDescent="0.2">
      <c r="A165" s="95" t="s">
        <v>73</v>
      </c>
      <c r="B165" s="95" t="s">
        <v>69</v>
      </c>
      <c r="C165" s="95" t="s">
        <v>67</v>
      </c>
      <c r="D165" s="95" t="s">
        <v>81</v>
      </c>
      <c r="E165" s="95" t="s">
        <v>89</v>
      </c>
      <c r="F165" s="95">
        <v>3.5</v>
      </c>
      <c r="G165" s="95">
        <v>13</v>
      </c>
      <c r="I165" s="95">
        <v>0.85</v>
      </c>
      <c r="J165" s="95">
        <v>7.0000000000000001E-3</v>
      </c>
      <c r="K165" s="95">
        <v>0.27</v>
      </c>
      <c r="L165" s="95">
        <v>1.38</v>
      </c>
      <c r="O165" s="95">
        <v>999</v>
      </c>
      <c r="P165" s="95">
        <v>2023</v>
      </c>
      <c r="R165" s="95" t="s">
        <v>69</v>
      </c>
      <c r="S165" s="95" t="s">
        <v>70</v>
      </c>
    </row>
    <row r="166" spans="1:20" x14ac:dyDescent="0.2">
      <c r="A166" s="95" t="s">
        <v>73</v>
      </c>
      <c r="B166" s="95" t="s">
        <v>69</v>
      </c>
      <c r="C166" s="95" t="s">
        <v>67</v>
      </c>
      <c r="D166" s="95" t="s">
        <v>81</v>
      </c>
      <c r="E166" s="95" t="s">
        <v>89</v>
      </c>
      <c r="F166" s="95">
        <v>3.5</v>
      </c>
      <c r="G166" s="95">
        <v>15</v>
      </c>
      <c r="I166" s="95">
        <v>0.87</v>
      </c>
      <c r="J166" s="95">
        <v>7.0000000000000001E-3</v>
      </c>
      <c r="K166" s="95">
        <v>0.27</v>
      </c>
      <c r="L166" s="95">
        <v>1.4</v>
      </c>
      <c r="O166" s="95">
        <v>999</v>
      </c>
      <c r="P166" s="95">
        <v>2023</v>
      </c>
      <c r="R166" s="95" t="s">
        <v>69</v>
      </c>
      <c r="S166" s="95" t="s">
        <v>70</v>
      </c>
    </row>
    <row r="167" spans="1:20" x14ac:dyDescent="0.2">
      <c r="A167" s="95" t="s">
        <v>73</v>
      </c>
      <c r="B167" s="95" t="s">
        <v>69</v>
      </c>
      <c r="C167" s="95" t="s">
        <v>67</v>
      </c>
      <c r="D167" s="95" t="s">
        <v>81</v>
      </c>
      <c r="E167" s="95" t="s">
        <v>89</v>
      </c>
      <c r="F167" s="95">
        <v>6</v>
      </c>
      <c r="G167" s="95">
        <v>19</v>
      </c>
      <c r="I167" s="95">
        <v>0.95</v>
      </c>
      <c r="J167" s="95">
        <v>7.0000000000000001E-3</v>
      </c>
      <c r="K167" s="95">
        <v>0.27</v>
      </c>
      <c r="L167" s="95">
        <v>1.49</v>
      </c>
      <c r="O167" s="95">
        <v>999</v>
      </c>
      <c r="P167" s="95">
        <v>2023</v>
      </c>
      <c r="R167" s="95" t="s">
        <v>69</v>
      </c>
      <c r="S167" s="95" t="s">
        <v>70</v>
      </c>
    </row>
    <row r="168" spans="1:20" x14ac:dyDescent="0.2">
      <c r="A168" s="95" t="s">
        <v>73</v>
      </c>
      <c r="B168" s="95" t="s">
        <v>69</v>
      </c>
      <c r="C168" s="95" t="s">
        <v>67</v>
      </c>
      <c r="D168" s="95" t="s">
        <v>81</v>
      </c>
      <c r="E168" s="95" t="s">
        <v>89</v>
      </c>
      <c r="F168" s="95">
        <v>9</v>
      </c>
      <c r="G168" s="95">
        <v>30</v>
      </c>
      <c r="I168" s="95">
        <v>1</v>
      </c>
      <c r="J168" s="95">
        <v>6.0000000000000001E-3</v>
      </c>
      <c r="K168" s="95">
        <v>0.23</v>
      </c>
      <c r="L168" s="95">
        <v>1.47</v>
      </c>
      <c r="O168" s="95">
        <v>999</v>
      </c>
      <c r="P168" s="95">
        <v>2023</v>
      </c>
      <c r="R168" s="95" t="s">
        <v>69</v>
      </c>
      <c r="S168" s="95" t="s">
        <v>70</v>
      </c>
    </row>
    <row r="169" spans="1:20" x14ac:dyDescent="0.2">
      <c r="A169" s="95" t="s">
        <v>73</v>
      </c>
      <c r="B169" s="95" t="s">
        <v>69</v>
      </c>
      <c r="C169" s="95" t="s">
        <v>67</v>
      </c>
      <c r="D169" s="95" t="s">
        <v>81</v>
      </c>
      <c r="E169" s="95" t="s">
        <v>89</v>
      </c>
      <c r="F169" s="95">
        <v>12</v>
      </c>
      <c r="G169" s="95">
        <v>38</v>
      </c>
      <c r="I169" s="95">
        <v>1.58</v>
      </c>
      <c r="J169" s="95">
        <v>6.0000000000000001E-3</v>
      </c>
      <c r="K169" s="95">
        <v>0.23</v>
      </c>
      <c r="L169" s="95">
        <v>2.11</v>
      </c>
      <c r="O169" s="95">
        <v>999</v>
      </c>
      <c r="P169" s="95">
        <v>2023</v>
      </c>
      <c r="R169" s="95" t="s">
        <v>69</v>
      </c>
      <c r="S169" s="95" t="s">
        <v>70</v>
      </c>
    </row>
    <row r="170" spans="1:20" x14ac:dyDescent="0.2">
      <c r="A170" s="95" t="s">
        <v>73</v>
      </c>
      <c r="B170" s="95" t="s">
        <v>69</v>
      </c>
      <c r="C170" s="95" t="s">
        <v>67</v>
      </c>
      <c r="D170" s="95" t="s">
        <v>81</v>
      </c>
      <c r="E170" s="95" t="s">
        <v>90</v>
      </c>
      <c r="F170" s="95">
        <v>3.5</v>
      </c>
      <c r="G170" s="95">
        <v>13</v>
      </c>
      <c r="I170" s="95">
        <v>0.71</v>
      </c>
      <c r="J170" s="95">
        <v>7.0000000000000001E-3</v>
      </c>
      <c r="K170" s="95">
        <v>0.27</v>
      </c>
      <c r="L170" s="95">
        <v>1.22</v>
      </c>
      <c r="O170" s="95">
        <v>999</v>
      </c>
      <c r="P170" s="95">
        <v>2023</v>
      </c>
      <c r="R170" s="95" t="s">
        <v>69</v>
      </c>
      <c r="S170" s="95" t="s">
        <v>70</v>
      </c>
    </row>
    <row r="171" spans="1:20" x14ac:dyDescent="0.2">
      <c r="A171" s="95" t="s">
        <v>73</v>
      </c>
      <c r="B171" s="95" t="s">
        <v>69</v>
      </c>
      <c r="C171" s="95" t="s">
        <v>67</v>
      </c>
      <c r="D171" s="95" t="s">
        <v>81</v>
      </c>
      <c r="E171" s="95" t="s">
        <v>90</v>
      </c>
      <c r="F171" s="95">
        <v>3.5</v>
      </c>
      <c r="G171" s="95">
        <v>15</v>
      </c>
      <c r="I171" s="95">
        <v>0.53</v>
      </c>
      <c r="J171" s="95">
        <v>7.0000000000000001E-3</v>
      </c>
      <c r="K171" s="95">
        <v>0.27</v>
      </c>
      <c r="L171" s="95">
        <v>1.02</v>
      </c>
      <c r="O171" s="95">
        <v>999</v>
      </c>
      <c r="P171" s="95">
        <v>2023</v>
      </c>
      <c r="R171" s="95" t="s">
        <v>69</v>
      </c>
      <c r="S171" s="95" t="s">
        <v>70</v>
      </c>
    </row>
    <row r="172" spans="1:20" x14ac:dyDescent="0.2">
      <c r="A172" s="95" t="s">
        <v>73</v>
      </c>
      <c r="B172" s="95" t="s">
        <v>69</v>
      </c>
      <c r="C172" s="95" t="s">
        <v>67</v>
      </c>
      <c r="D172" s="95" t="s">
        <v>81</v>
      </c>
      <c r="E172" s="95" t="s">
        <v>90</v>
      </c>
      <c r="F172" s="95">
        <v>6</v>
      </c>
      <c r="G172" s="95">
        <v>19</v>
      </c>
      <c r="I172" s="95">
        <v>0.89</v>
      </c>
      <c r="J172" s="95">
        <v>5.0000000000000001E-3</v>
      </c>
      <c r="K172" s="95">
        <v>0.19</v>
      </c>
      <c r="L172" s="95">
        <v>1.29</v>
      </c>
      <c r="O172" s="95">
        <v>999</v>
      </c>
      <c r="P172" s="95">
        <v>2023</v>
      </c>
      <c r="R172" s="95" t="s">
        <v>69</v>
      </c>
      <c r="S172" s="95" t="s">
        <v>70</v>
      </c>
    </row>
    <row r="173" spans="1:20" x14ac:dyDescent="0.2">
      <c r="A173" s="95" t="s">
        <v>73</v>
      </c>
      <c r="B173" s="95" t="s">
        <v>69</v>
      </c>
      <c r="C173" s="95" t="s">
        <v>67</v>
      </c>
      <c r="D173" s="95" t="s">
        <v>81</v>
      </c>
      <c r="E173" s="95" t="s">
        <v>90</v>
      </c>
      <c r="F173" s="95">
        <v>6</v>
      </c>
      <c r="G173" s="95">
        <v>21</v>
      </c>
      <c r="I173" s="95">
        <v>1.26</v>
      </c>
      <c r="J173" s="95">
        <v>7.0000000000000001E-3</v>
      </c>
      <c r="K173" s="95">
        <v>0.27</v>
      </c>
      <c r="L173" s="95">
        <v>1.83</v>
      </c>
      <c r="O173" s="95">
        <v>999</v>
      </c>
      <c r="P173" s="95">
        <v>2023</v>
      </c>
      <c r="R173" s="95" t="s">
        <v>69</v>
      </c>
      <c r="S173" s="95" t="s">
        <v>70</v>
      </c>
    </row>
    <row r="174" spans="1:20" x14ac:dyDescent="0.2">
      <c r="A174" s="95" t="s">
        <v>73</v>
      </c>
      <c r="B174" s="95" t="s">
        <v>69</v>
      </c>
      <c r="C174" s="95" t="s">
        <v>67</v>
      </c>
      <c r="D174" s="95" t="s">
        <v>81</v>
      </c>
      <c r="E174" s="95" t="s">
        <v>90</v>
      </c>
      <c r="F174" s="95">
        <v>9</v>
      </c>
      <c r="G174" s="95">
        <v>30</v>
      </c>
      <c r="I174" s="95">
        <v>1.19</v>
      </c>
      <c r="J174" s="95">
        <v>6.0000000000000001E-3</v>
      </c>
      <c r="K174" s="95">
        <v>0.23</v>
      </c>
      <c r="L174" s="95">
        <v>1.68</v>
      </c>
      <c r="O174" s="95">
        <v>999</v>
      </c>
      <c r="P174" s="95">
        <v>2023</v>
      </c>
      <c r="R174" s="95" t="s">
        <v>69</v>
      </c>
      <c r="S174" s="95" t="s">
        <v>70</v>
      </c>
    </row>
    <row r="175" spans="1:20" x14ac:dyDescent="0.2">
      <c r="A175" s="95" t="s">
        <v>73</v>
      </c>
      <c r="B175" s="95" t="s">
        <v>69</v>
      </c>
      <c r="C175" s="95" t="s">
        <v>67</v>
      </c>
      <c r="D175" s="95" t="s">
        <v>68</v>
      </c>
      <c r="E175" s="95" t="s">
        <v>68</v>
      </c>
      <c r="F175" s="95">
        <v>3.5</v>
      </c>
      <c r="G175" s="95">
        <v>13</v>
      </c>
      <c r="I175" s="95">
        <v>0.59</v>
      </c>
      <c r="J175" s="95">
        <v>7.0000000000000001E-3</v>
      </c>
      <c r="K175" s="95">
        <v>0.27</v>
      </c>
      <c r="L175" s="95">
        <v>1.0900000000000001</v>
      </c>
      <c r="O175" s="95">
        <v>999</v>
      </c>
      <c r="P175" s="95">
        <v>2023</v>
      </c>
      <c r="R175" s="95" t="s">
        <v>69</v>
      </c>
      <c r="S175" s="95" t="s">
        <v>70</v>
      </c>
    </row>
    <row r="176" spans="1:20" x14ac:dyDescent="0.2">
      <c r="A176" s="95" t="s">
        <v>73</v>
      </c>
      <c r="B176" s="95" t="s">
        <v>69</v>
      </c>
      <c r="C176" s="95" t="s">
        <v>67</v>
      </c>
      <c r="D176" s="95" t="s">
        <v>68</v>
      </c>
      <c r="E176" s="95" t="s">
        <v>68</v>
      </c>
      <c r="F176" s="95">
        <v>3.5</v>
      </c>
      <c r="G176" s="95">
        <v>15</v>
      </c>
      <c r="I176" s="95">
        <v>0.92</v>
      </c>
      <c r="J176" s="95">
        <v>7.0000000000000001E-3</v>
      </c>
      <c r="K176" s="95">
        <v>0.27</v>
      </c>
      <c r="L176" s="95">
        <v>1.45</v>
      </c>
      <c r="O176" s="95">
        <v>999</v>
      </c>
      <c r="P176" s="95">
        <v>2023</v>
      </c>
      <c r="R176" s="95" t="s">
        <v>69</v>
      </c>
      <c r="S176" s="95" t="s">
        <v>70</v>
      </c>
    </row>
    <row r="177" spans="1:19" x14ac:dyDescent="0.2">
      <c r="A177" s="95" t="s">
        <v>73</v>
      </c>
      <c r="B177" s="95" t="s">
        <v>69</v>
      </c>
      <c r="C177" s="95" t="s">
        <v>67</v>
      </c>
      <c r="D177" s="95" t="s">
        <v>68</v>
      </c>
      <c r="E177" s="95" t="s">
        <v>68</v>
      </c>
      <c r="F177" s="95">
        <v>6</v>
      </c>
      <c r="G177" s="95">
        <v>19</v>
      </c>
      <c r="I177" s="95">
        <v>0.93</v>
      </c>
      <c r="J177" s="95">
        <v>6.0000000000000001E-3</v>
      </c>
      <c r="K177" s="95">
        <v>0.23</v>
      </c>
      <c r="L177" s="95">
        <v>1.39</v>
      </c>
      <c r="O177" s="95">
        <v>999</v>
      </c>
      <c r="P177" s="95">
        <v>2023</v>
      </c>
      <c r="R177" s="95" t="s">
        <v>69</v>
      </c>
      <c r="S177" s="95" t="s">
        <v>70</v>
      </c>
    </row>
    <row r="178" spans="1:19" x14ac:dyDescent="0.2">
      <c r="A178" s="95" t="s">
        <v>73</v>
      </c>
      <c r="B178" s="95" t="s">
        <v>69</v>
      </c>
      <c r="C178" s="95" t="s">
        <v>67</v>
      </c>
      <c r="D178" s="95" t="s">
        <v>68</v>
      </c>
      <c r="E178" s="95" t="s">
        <v>68</v>
      </c>
      <c r="F178" s="95">
        <v>9</v>
      </c>
      <c r="G178" s="95">
        <v>30</v>
      </c>
      <c r="I178" s="95">
        <v>1.5660000000000001</v>
      </c>
      <c r="J178" s="95">
        <v>7.0000000000000001E-3</v>
      </c>
      <c r="K178" s="95">
        <v>0.27</v>
      </c>
      <c r="L178" s="95">
        <v>2.16</v>
      </c>
      <c r="O178" s="95">
        <v>999</v>
      </c>
      <c r="P178" s="95">
        <v>2023</v>
      </c>
      <c r="R178" s="95" t="s">
        <v>69</v>
      </c>
      <c r="S178" s="95" t="s">
        <v>70</v>
      </c>
    </row>
    <row r="179" spans="1:19" x14ac:dyDescent="0.2">
      <c r="A179" s="95" t="s">
        <v>73</v>
      </c>
      <c r="B179" s="95" t="s">
        <v>69</v>
      </c>
      <c r="C179" s="95" t="s">
        <v>67</v>
      </c>
      <c r="D179" s="95" t="s">
        <v>68</v>
      </c>
      <c r="E179" s="95" t="s">
        <v>68</v>
      </c>
      <c r="F179" s="95">
        <v>12</v>
      </c>
      <c r="G179" s="95">
        <v>38</v>
      </c>
      <c r="I179" s="95">
        <v>1.82</v>
      </c>
      <c r="J179" s="95">
        <v>7.0000000000000001E-3</v>
      </c>
      <c r="K179" s="95">
        <v>0.27</v>
      </c>
      <c r="L179" s="95">
        <v>2.44</v>
      </c>
      <c r="O179" s="95">
        <v>999</v>
      </c>
      <c r="P179" s="95">
        <v>2023</v>
      </c>
      <c r="R179" s="95" t="s">
        <v>69</v>
      </c>
      <c r="S179" s="95" t="s">
        <v>70</v>
      </c>
    </row>
  </sheetData>
  <hyperlinks>
    <hyperlink ref="A1" location="'Table of Contents'!A1" display="Table of Contents" xr:uid="{6D7800C4-15BF-46ED-BBBB-DBCE34506F9E}"/>
  </hyperlink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0A866-1CB5-4776-B265-047278CF35CA}">
  <dimension ref="A1:T63"/>
  <sheetViews>
    <sheetView workbookViewId="0">
      <selection activeCell="A3" sqref="A3"/>
    </sheetView>
  </sheetViews>
  <sheetFormatPr baseColWidth="10" defaultColWidth="8.5" defaultRowHeight="15" x14ac:dyDescent="0.2"/>
  <cols>
    <col min="1" max="1" width="14.5" style="95" customWidth="1"/>
    <col min="2" max="2" width="13" style="95" customWidth="1"/>
    <col min="3" max="3" width="10.5" style="95" customWidth="1"/>
    <col min="4" max="4" width="8.5" style="95"/>
    <col min="5" max="5" width="12.5" style="95" customWidth="1"/>
    <col min="6" max="6" width="15.5" style="95" customWidth="1"/>
    <col min="7" max="7" width="9.5" style="95" customWidth="1"/>
    <col min="8" max="9" width="17.5" style="95" customWidth="1"/>
    <col min="10" max="10" width="19.5" style="95" customWidth="1"/>
    <col min="11" max="11" width="13.5" style="95" customWidth="1"/>
    <col min="12" max="12" width="25.5" style="95" customWidth="1"/>
    <col min="13" max="14" width="21.5" style="95" customWidth="1"/>
    <col min="15" max="15" width="10.5" style="95" customWidth="1"/>
    <col min="16" max="17" width="8.5" style="95"/>
    <col min="18" max="18" width="14.5" style="95" customWidth="1"/>
    <col min="19" max="19" width="8.5" style="95"/>
    <col min="20" max="20" width="13.5" style="95" customWidth="1"/>
    <col min="21" max="16384" width="8.5" style="95"/>
  </cols>
  <sheetData>
    <row r="1" spans="1:20" customFormat="1" x14ac:dyDescent="0.2">
      <c r="A1" s="4" t="s">
        <v>21</v>
      </c>
      <c r="K1" s="39"/>
      <c r="L1" s="39"/>
    </row>
    <row r="2" spans="1:20" customFormat="1" ht="19" x14ac:dyDescent="0.25">
      <c r="A2" s="24" t="s">
        <v>22</v>
      </c>
      <c r="K2" s="39"/>
      <c r="L2" s="39"/>
    </row>
    <row r="3" spans="1:20" s="96" customFormat="1" x14ac:dyDescent="0.2">
      <c r="A3" s="96" t="s">
        <v>25</v>
      </c>
      <c r="B3" s="96" t="s">
        <v>26</v>
      </c>
      <c r="C3" s="96" t="s">
        <v>27</v>
      </c>
      <c r="D3" s="96" t="s">
        <v>28</v>
      </c>
      <c r="E3" s="96" t="s">
        <v>29</v>
      </c>
      <c r="F3" s="96" t="s">
        <v>30</v>
      </c>
      <c r="G3" s="96" t="s">
        <v>31</v>
      </c>
      <c r="H3" s="96" t="s">
        <v>32</v>
      </c>
      <c r="I3" s="96" t="s">
        <v>33</v>
      </c>
      <c r="J3" s="96" t="s">
        <v>34</v>
      </c>
      <c r="K3" s="96" t="s">
        <v>35</v>
      </c>
      <c r="L3" s="96" t="s">
        <v>36</v>
      </c>
      <c r="M3" s="96" t="s">
        <v>37</v>
      </c>
      <c r="N3" s="96" t="s">
        <v>38</v>
      </c>
      <c r="O3" s="96" t="s">
        <v>39</v>
      </c>
      <c r="P3" s="96" t="s">
        <v>40</v>
      </c>
      <c r="Q3" s="96" t="s">
        <v>41</v>
      </c>
      <c r="R3" s="96" t="s">
        <v>42</v>
      </c>
      <c r="S3" s="96" t="s">
        <v>43</v>
      </c>
      <c r="T3" s="96" t="s">
        <v>44</v>
      </c>
    </row>
    <row r="4" spans="1:20" x14ac:dyDescent="0.2">
      <c r="A4" s="95" t="s">
        <v>76</v>
      </c>
      <c r="B4" s="95" t="s">
        <v>87</v>
      </c>
      <c r="C4" s="95" t="s">
        <v>93</v>
      </c>
      <c r="D4" s="95" t="s">
        <v>68</v>
      </c>
      <c r="E4" s="95" t="s">
        <v>94</v>
      </c>
      <c r="F4" s="95">
        <v>3.5</v>
      </c>
      <c r="G4" s="95">
        <v>13</v>
      </c>
      <c r="I4" s="95">
        <v>0.25</v>
      </c>
      <c r="J4" s="95">
        <v>5.0000000000000001E-3</v>
      </c>
      <c r="K4" s="95">
        <v>0.15</v>
      </c>
      <c r="L4" s="95">
        <v>0.65</v>
      </c>
      <c r="O4" s="95">
        <v>999</v>
      </c>
      <c r="P4" s="95">
        <v>2023</v>
      </c>
      <c r="R4" s="95" t="s">
        <v>87</v>
      </c>
      <c r="S4" s="95" t="s">
        <v>70</v>
      </c>
    </row>
    <row r="5" spans="1:20" x14ac:dyDescent="0.2">
      <c r="A5" s="95" t="s">
        <v>76</v>
      </c>
      <c r="B5" s="95" t="s">
        <v>87</v>
      </c>
      <c r="C5" s="95" t="s">
        <v>93</v>
      </c>
      <c r="D5" s="95" t="s">
        <v>68</v>
      </c>
      <c r="E5" s="95" t="s">
        <v>94</v>
      </c>
      <c r="F5" s="95">
        <v>5.1875</v>
      </c>
      <c r="G5" s="95">
        <v>19</v>
      </c>
      <c r="I5" s="95">
        <v>0.37</v>
      </c>
      <c r="J5" s="95">
        <v>6.0000000000000001E-3</v>
      </c>
      <c r="K5" s="95">
        <v>0.19</v>
      </c>
      <c r="L5" s="95">
        <v>0.9</v>
      </c>
      <c r="O5" s="95">
        <v>999</v>
      </c>
      <c r="P5" s="95">
        <v>2023</v>
      </c>
      <c r="R5" s="95" t="s">
        <v>87</v>
      </c>
      <c r="S5" s="95" t="s">
        <v>70</v>
      </c>
    </row>
    <row r="6" spans="1:20" x14ac:dyDescent="0.2">
      <c r="A6" s="95" t="s">
        <v>76</v>
      </c>
      <c r="B6" s="95" t="s">
        <v>87</v>
      </c>
      <c r="C6" s="95" t="s">
        <v>93</v>
      </c>
      <c r="D6" s="95" t="s">
        <v>68</v>
      </c>
      <c r="E6" s="95" t="s">
        <v>94</v>
      </c>
      <c r="F6" s="95">
        <v>6.5</v>
      </c>
      <c r="G6" s="95">
        <v>22</v>
      </c>
      <c r="I6" s="95">
        <v>0.48</v>
      </c>
      <c r="J6" s="95">
        <v>8.0000000000000002E-3</v>
      </c>
      <c r="K6" s="95">
        <v>0.24</v>
      </c>
      <c r="L6" s="95">
        <v>1.1399999999999999</v>
      </c>
      <c r="O6" s="95">
        <v>999</v>
      </c>
      <c r="P6" s="95">
        <v>2023</v>
      </c>
      <c r="R6" s="95" t="s">
        <v>87</v>
      </c>
      <c r="S6" s="95" t="s">
        <v>70</v>
      </c>
    </row>
    <row r="7" spans="1:20" x14ac:dyDescent="0.2">
      <c r="A7" s="95" t="s">
        <v>76</v>
      </c>
      <c r="B7" s="95" t="s">
        <v>87</v>
      </c>
      <c r="C7" s="95" t="s">
        <v>93</v>
      </c>
      <c r="D7" s="95" t="s">
        <v>68</v>
      </c>
      <c r="E7" s="95" t="s">
        <v>94</v>
      </c>
      <c r="F7" s="95">
        <v>8.6875</v>
      </c>
      <c r="G7" s="95">
        <v>30</v>
      </c>
      <c r="I7" s="95">
        <v>0.64</v>
      </c>
      <c r="J7" s="95">
        <v>8.9999999999999993E-3</v>
      </c>
      <c r="K7" s="95">
        <v>0.28000000000000003</v>
      </c>
      <c r="L7" s="95">
        <v>1.42</v>
      </c>
      <c r="O7" s="95">
        <v>999</v>
      </c>
      <c r="P7" s="95">
        <v>2023</v>
      </c>
      <c r="R7" s="95" t="s">
        <v>87</v>
      </c>
      <c r="S7" s="95" t="s">
        <v>70</v>
      </c>
    </row>
    <row r="8" spans="1:20" x14ac:dyDescent="0.2">
      <c r="A8" s="95" t="s">
        <v>76</v>
      </c>
      <c r="B8" s="95" t="s">
        <v>87</v>
      </c>
      <c r="C8" s="95" t="s">
        <v>93</v>
      </c>
      <c r="D8" s="95" t="s">
        <v>68</v>
      </c>
      <c r="E8" s="95" t="s">
        <v>94</v>
      </c>
      <c r="F8" s="95">
        <v>10.875</v>
      </c>
      <c r="G8" s="95">
        <v>38</v>
      </c>
      <c r="I8" s="95">
        <v>0.82</v>
      </c>
      <c r="J8" s="95">
        <v>1.2999999999999999E-2</v>
      </c>
      <c r="K8" s="95">
        <v>0.41</v>
      </c>
      <c r="L8" s="95">
        <v>1.93</v>
      </c>
      <c r="O8" s="95">
        <v>999</v>
      </c>
      <c r="P8" s="95">
        <v>2023</v>
      </c>
      <c r="R8" s="95" t="s">
        <v>87</v>
      </c>
      <c r="S8" s="95" t="s">
        <v>70</v>
      </c>
    </row>
    <row r="9" spans="1:20" x14ac:dyDescent="0.2">
      <c r="A9" s="95" t="s">
        <v>76</v>
      </c>
      <c r="B9" s="95" t="s">
        <v>87</v>
      </c>
      <c r="C9" s="95" t="s">
        <v>67</v>
      </c>
      <c r="D9" s="95" t="s">
        <v>68</v>
      </c>
      <c r="E9" s="95" t="s">
        <v>94</v>
      </c>
      <c r="F9" s="95">
        <v>5.5</v>
      </c>
      <c r="G9" s="95">
        <v>11</v>
      </c>
      <c r="I9" s="95">
        <v>0.25</v>
      </c>
      <c r="J9" s="95">
        <v>6.0000000000000001E-3</v>
      </c>
      <c r="K9" s="95">
        <v>0.19</v>
      </c>
      <c r="L9" s="95">
        <v>0.76</v>
      </c>
      <c r="O9" s="95">
        <v>999</v>
      </c>
      <c r="P9" s="95">
        <v>2023</v>
      </c>
      <c r="R9" s="95" t="s">
        <v>87</v>
      </c>
      <c r="S9" s="95" t="s">
        <v>70</v>
      </c>
    </row>
    <row r="10" spans="1:20" x14ac:dyDescent="0.2">
      <c r="A10" s="95" t="s">
        <v>76</v>
      </c>
      <c r="B10" s="95" t="s">
        <v>87</v>
      </c>
      <c r="C10" s="95" t="s">
        <v>67</v>
      </c>
      <c r="D10" s="95" t="s">
        <v>68</v>
      </c>
      <c r="E10" s="95" t="s">
        <v>94</v>
      </c>
      <c r="F10" s="95">
        <v>6</v>
      </c>
      <c r="G10" s="95">
        <v>12</v>
      </c>
      <c r="I10" s="95">
        <v>0.35</v>
      </c>
      <c r="J10" s="95">
        <v>8.0000000000000002E-3</v>
      </c>
      <c r="K10" s="95">
        <v>0.24</v>
      </c>
      <c r="L10" s="95">
        <v>1</v>
      </c>
      <c r="O10" s="95">
        <v>999</v>
      </c>
      <c r="P10" s="95">
        <v>2023</v>
      </c>
      <c r="R10" s="95" t="s">
        <v>87</v>
      </c>
      <c r="S10" s="95" t="s">
        <v>70</v>
      </c>
    </row>
    <row r="11" spans="1:20" x14ac:dyDescent="0.2">
      <c r="A11" s="95" t="s">
        <v>76</v>
      </c>
      <c r="B11" s="95" t="s">
        <v>87</v>
      </c>
      <c r="C11" s="95" t="s">
        <v>67</v>
      </c>
      <c r="D11" s="95" t="s">
        <v>68</v>
      </c>
      <c r="E11" s="95" t="s">
        <v>94</v>
      </c>
      <c r="F11" s="95">
        <v>8.8000000000000007</v>
      </c>
      <c r="G11" s="95">
        <v>19</v>
      </c>
      <c r="I11" s="95">
        <v>0.44</v>
      </c>
      <c r="J11" s="95">
        <v>1.0999999999999999E-2</v>
      </c>
      <c r="K11" s="95">
        <v>0.33</v>
      </c>
      <c r="L11" s="95">
        <v>1.32</v>
      </c>
      <c r="O11" s="95">
        <v>999</v>
      </c>
      <c r="P11" s="95">
        <v>2023</v>
      </c>
      <c r="R11" s="95" t="s">
        <v>87</v>
      </c>
      <c r="S11" s="95" t="s">
        <v>70</v>
      </c>
    </row>
    <row r="12" spans="1:20" x14ac:dyDescent="0.2">
      <c r="A12" s="95" t="s">
        <v>76</v>
      </c>
      <c r="B12" s="95" t="s">
        <v>87</v>
      </c>
      <c r="C12" s="95" t="s">
        <v>67</v>
      </c>
      <c r="D12" s="95" t="s">
        <v>68</v>
      </c>
      <c r="E12" s="95" t="s">
        <v>94</v>
      </c>
      <c r="F12" s="95">
        <v>10</v>
      </c>
      <c r="G12" s="95">
        <v>22</v>
      </c>
      <c r="I12" s="95">
        <v>0.51</v>
      </c>
      <c r="J12" s="95">
        <v>1.2999999999999999E-2</v>
      </c>
      <c r="K12" s="95">
        <v>0.41</v>
      </c>
      <c r="L12" s="95">
        <v>1.59</v>
      </c>
      <c r="O12" s="95">
        <v>999</v>
      </c>
      <c r="P12" s="95">
        <v>2023</v>
      </c>
      <c r="R12" s="95" t="s">
        <v>87</v>
      </c>
      <c r="S12" s="95" t="s">
        <v>70</v>
      </c>
    </row>
    <row r="13" spans="1:20" x14ac:dyDescent="0.2">
      <c r="A13" s="95" t="s">
        <v>76</v>
      </c>
      <c r="B13" s="95" t="s">
        <v>87</v>
      </c>
      <c r="C13" s="95" t="s">
        <v>67</v>
      </c>
      <c r="D13" s="95" t="s">
        <v>68</v>
      </c>
      <c r="E13" s="95" t="s">
        <v>94</v>
      </c>
      <c r="F13" s="95">
        <v>11.5</v>
      </c>
      <c r="G13" s="95">
        <v>26</v>
      </c>
      <c r="I13" s="95">
        <v>0.6</v>
      </c>
      <c r="J13" s="95">
        <v>1.6E-2</v>
      </c>
      <c r="K13" s="95">
        <v>0.49</v>
      </c>
      <c r="L13" s="95">
        <v>1.89</v>
      </c>
      <c r="O13" s="95">
        <v>999</v>
      </c>
      <c r="P13" s="95">
        <v>2023</v>
      </c>
      <c r="R13" s="95" t="s">
        <v>87</v>
      </c>
      <c r="S13" s="95" t="s">
        <v>70</v>
      </c>
    </row>
    <row r="14" spans="1:20" x14ac:dyDescent="0.2">
      <c r="A14" s="95" t="s">
        <v>76</v>
      </c>
      <c r="B14" s="95" t="s">
        <v>87</v>
      </c>
      <c r="C14" s="95" t="s">
        <v>67</v>
      </c>
      <c r="D14" s="95" t="s">
        <v>68</v>
      </c>
      <c r="E14" s="95" t="s">
        <v>94</v>
      </c>
      <c r="F14" s="95">
        <v>13</v>
      </c>
      <c r="G14" s="95">
        <v>30</v>
      </c>
      <c r="I14" s="95">
        <v>0.7</v>
      </c>
      <c r="J14" s="95">
        <v>1.7000000000000001E-2</v>
      </c>
      <c r="K14" s="95">
        <v>0.52</v>
      </c>
      <c r="L14" s="95">
        <v>2.1</v>
      </c>
      <c r="O14" s="95">
        <v>999</v>
      </c>
      <c r="P14" s="95">
        <v>2023</v>
      </c>
      <c r="R14" s="95" t="s">
        <v>87</v>
      </c>
      <c r="S14" s="95" t="s">
        <v>70</v>
      </c>
    </row>
    <row r="15" spans="1:20" x14ac:dyDescent="0.2">
      <c r="A15" s="95" t="s">
        <v>76</v>
      </c>
      <c r="B15" s="95" t="s">
        <v>87</v>
      </c>
      <c r="C15" s="95" t="s">
        <v>67</v>
      </c>
      <c r="D15" s="95" t="s">
        <v>68</v>
      </c>
      <c r="E15" s="95" t="s">
        <v>94</v>
      </c>
      <c r="F15" s="95">
        <v>16</v>
      </c>
      <c r="G15" s="95">
        <v>38</v>
      </c>
      <c r="I15" s="95">
        <v>0.9</v>
      </c>
      <c r="J15" s="95">
        <v>2.1000000000000001E-2</v>
      </c>
      <c r="K15" s="95">
        <v>0.64</v>
      </c>
      <c r="L15" s="95">
        <v>2.6</v>
      </c>
      <c r="O15" s="95">
        <v>999</v>
      </c>
      <c r="P15" s="95">
        <v>2023</v>
      </c>
      <c r="R15" s="95" t="s">
        <v>87</v>
      </c>
      <c r="S15" s="95" t="s">
        <v>70</v>
      </c>
    </row>
    <row r="16" spans="1:20" x14ac:dyDescent="0.2">
      <c r="A16" s="95" t="s">
        <v>76</v>
      </c>
      <c r="B16" s="95" t="s">
        <v>87</v>
      </c>
      <c r="C16" s="95" t="s">
        <v>67</v>
      </c>
      <c r="D16" s="95" t="s">
        <v>68</v>
      </c>
      <c r="E16" s="95" t="s">
        <v>94</v>
      </c>
      <c r="F16" s="95">
        <v>20</v>
      </c>
      <c r="G16" s="95">
        <v>49</v>
      </c>
      <c r="I16" s="95">
        <v>1.18</v>
      </c>
      <c r="J16" s="95">
        <v>2.5999999999999999E-2</v>
      </c>
      <c r="K16" s="95">
        <v>0.79</v>
      </c>
      <c r="L16" s="95">
        <v>3.31</v>
      </c>
      <c r="O16" s="95">
        <v>999</v>
      </c>
      <c r="P16" s="95">
        <v>2023</v>
      </c>
      <c r="R16" s="95" t="s">
        <v>87</v>
      </c>
      <c r="S16" s="95" t="s">
        <v>70</v>
      </c>
    </row>
    <row r="17" spans="1:19" x14ac:dyDescent="0.2">
      <c r="A17" s="95" t="s">
        <v>76</v>
      </c>
      <c r="B17" s="95" t="s">
        <v>66</v>
      </c>
      <c r="C17" s="95" t="s">
        <v>93</v>
      </c>
      <c r="D17" s="95" t="s">
        <v>68</v>
      </c>
      <c r="E17" s="95" t="s">
        <v>94</v>
      </c>
      <c r="F17" s="95">
        <v>4</v>
      </c>
      <c r="G17" s="95">
        <v>3.8</v>
      </c>
      <c r="I17" s="95">
        <v>0.17</v>
      </c>
      <c r="J17" s="95">
        <v>8.0000000000000002E-3</v>
      </c>
      <c r="K17" s="95">
        <v>0.31</v>
      </c>
      <c r="L17" s="95">
        <v>0.69</v>
      </c>
      <c r="O17" s="95">
        <v>999</v>
      </c>
      <c r="P17" s="95">
        <v>2023</v>
      </c>
      <c r="R17" s="95" t="s">
        <v>92</v>
      </c>
      <c r="S17" s="95" t="s">
        <v>70</v>
      </c>
    </row>
    <row r="18" spans="1:19" x14ac:dyDescent="0.2">
      <c r="A18" s="95" t="s">
        <v>76</v>
      </c>
      <c r="B18" s="95" t="s">
        <v>66</v>
      </c>
      <c r="C18" s="95" t="s">
        <v>93</v>
      </c>
      <c r="D18" s="95" t="s">
        <v>68</v>
      </c>
      <c r="E18" s="95" t="s">
        <v>94</v>
      </c>
      <c r="F18" s="95">
        <v>6</v>
      </c>
      <c r="G18" s="95">
        <v>3.8</v>
      </c>
      <c r="I18" s="95">
        <v>0.28999999999999998</v>
      </c>
      <c r="J18" s="95">
        <v>0.01</v>
      </c>
      <c r="K18" s="95">
        <v>0.39</v>
      </c>
      <c r="L18" s="95">
        <v>0.95</v>
      </c>
      <c r="O18" s="95">
        <v>999</v>
      </c>
      <c r="P18" s="95">
        <v>2023</v>
      </c>
      <c r="R18" s="95" t="s">
        <v>92</v>
      </c>
      <c r="S18" s="95" t="s">
        <v>70</v>
      </c>
    </row>
    <row r="19" spans="1:19" x14ac:dyDescent="0.2">
      <c r="A19" s="95" t="s">
        <v>76</v>
      </c>
      <c r="B19" s="95" t="s">
        <v>66</v>
      </c>
      <c r="C19" s="95" t="s">
        <v>67</v>
      </c>
      <c r="D19" s="95" t="s">
        <v>68</v>
      </c>
      <c r="E19" s="95" t="s">
        <v>94</v>
      </c>
      <c r="F19" s="95">
        <v>4</v>
      </c>
      <c r="G19" s="95">
        <v>4</v>
      </c>
      <c r="I19" s="95">
        <v>0.25</v>
      </c>
      <c r="J19" s="95">
        <v>1.2999999999999999E-2</v>
      </c>
      <c r="K19" s="95">
        <v>0.52</v>
      </c>
      <c r="L19" s="95">
        <v>1.1100000000000001</v>
      </c>
      <c r="O19" s="95">
        <v>999</v>
      </c>
      <c r="P19" s="95">
        <v>2023</v>
      </c>
      <c r="R19" s="95" t="s">
        <v>92</v>
      </c>
      <c r="S19" s="95" t="s">
        <v>70</v>
      </c>
    </row>
    <row r="20" spans="1:19" x14ac:dyDescent="0.2">
      <c r="A20" s="95" t="s">
        <v>76</v>
      </c>
      <c r="B20" s="95" t="s">
        <v>66</v>
      </c>
      <c r="C20" s="95" t="s">
        <v>67</v>
      </c>
      <c r="D20" s="95" t="s">
        <v>68</v>
      </c>
      <c r="E20" s="95" t="s">
        <v>94</v>
      </c>
      <c r="F20" s="95">
        <v>6</v>
      </c>
      <c r="G20" s="95">
        <v>4</v>
      </c>
      <c r="I20" s="95">
        <v>0.35</v>
      </c>
      <c r="J20" s="95">
        <v>0.02</v>
      </c>
      <c r="K20" s="95">
        <v>0.77</v>
      </c>
      <c r="L20" s="95">
        <v>1.64</v>
      </c>
      <c r="O20" s="95">
        <v>999</v>
      </c>
      <c r="P20" s="95">
        <v>2023</v>
      </c>
      <c r="R20" s="95" t="s">
        <v>92</v>
      </c>
      <c r="S20" s="95" t="s">
        <v>70</v>
      </c>
    </row>
    <row r="21" spans="1:19" x14ac:dyDescent="0.2">
      <c r="A21" s="95" t="s">
        <v>76</v>
      </c>
      <c r="B21" s="95" t="s">
        <v>66</v>
      </c>
      <c r="C21" s="95" t="s">
        <v>91</v>
      </c>
      <c r="D21" s="95" t="s">
        <v>68</v>
      </c>
      <c r="E21" s="95" t="s">
        <v>94</v>
      </c>
      <c r="F21" s="95">
        <v>4</v>
      </c>
      <c r="G21" s="95">
        <v>3</v>
      </c>
      <c r="I21" s="95">
        <v>0.3</v>
      </c>
      <c r="J21" s="95">
        <v>1.2999999999999999E-2</v>
      </c>
      <c r="K21" s="95">
        <v>0.52</v>
      </c>
      <c r="L21" s="95">
        <v>1.17</v>
      </c>
      <c r="O21" s="95">
        <v>999</v>
      </c>
      <c r="P21" s="95">
        <v>2023</v>
      </c>
      <c r="R21" s="95" t="s">
        <v>92</v>
      </c>
      <c r="S21" s="95" t="s">
        <v>70</v>
      </c>
    </row>
    <row r="22" spans="1:19" x14ac:dyDescent="0.2">
      <c r="A22" s="95" t="s">
        <v>76</v>
      </c>
      <c r="B22" s="95" t="s">
        <v>66</v>
      </c>
      <c r="C22" s="95" t="s">
        <v>91</v>
      </c>
      <c r="D22" s="95" t="s">
        <v>68</v>
      </c>
      <c r="E22" s="95" t="s">
        <v>94</v>
      </c>
      <c r="F22" s="95">
        <v>6</v>
      </c>
      <c r="G22" s="95">
        <v>3</v>
      </c>
      <c r="I22" s="95">
        <v>0.45</v>
      </c>
      <c r="J22" s="95">
        <v>0.02</v>
      </c>
      <c r="K22" s="95">
        <v>0.77</v>
      </c>
      <c r="L22" s="95">
        <v>1.76</v>
      </c>
      <c r="O22" s="95">
        <v>999</v>
      </c>
      <c r="P22" s="95">
        <v>2023</v>
      </c>
      <c r="R22" s="95" t="s">
        <v>92</v>
      </c>
      <c r="S22" s="95" t="s">
        <v>70</v>
      </c>
    </row>
    <row r="23" spans="1:19" x14ac:dyDescent="0.2">
      <c r="A23" s="95" t="s">
        <v>76</v>
      </c>
      <c r="B23" s="95" t="s">
        <v>66</v>
      </c>
      <c r="C23" s="95" t="s">
        <v>95</v>
      </c>
      <c r="D23" s="95" t="s">
        <v>68</v>
      </c>
      <c r="E23" s="95" t="s">
        <v>94</v>
      </c>
      <c r="F23" s="95">
        <v>4</v>
      </c>
      <c r="G23" s="95">
        <v>4</v>
      </c>
      <c r="I23" s="95">
        <v>0.63</v>
      </c>
      <c r="J23" s="95">
        <v>1.2999999999999999E-2</v>
      </c>
      <c r="K23" s="95">
        <v>0.52</v>
      </c>
      <c r="L23" s="95">
        <v>1.54</v>
      </c>
      <c r="O23" s="95">
        <v>999</v>
      </c>
      <c r="P23" s="95">
        <v>2023</v>
      </c>
      <c r="R23" s="95" t="s">
        <v>92</v>
      </c>
      <c r="S23" s="95" t="s">
        <v>70</v>
      </c>
    </row>
    <row r="24" spans="1:19" x14ac:dyDescent="0.2">
      <c r="A24" s="95" t="s">
        <v>76</v>
      </c>
      <c r="B24" s="95" t="s">
        <v>66</v>
      </c>
      <c r="C24" s="95" t="s">
        <v>95</v>
      </c>
      <c r="D24" s="95" t="s">
        <v>68</v>
      </c>
      <c r="E24" s="95" t="s">
        <v>94</v>
      </c>
      <c r="F24" s="95">
        <v>6</v>
      </c>
      <c r="G24" s="95">
        <v>4</v>
      </c>
      <c r="I24" s="95">
        <v>0.96</v>
      </c>
      <c r="J24" s="95">
        <v>0.02</v>
      </c>
      <c r="K24" s="95">
        <v>0.77</v>
      </c>
      <c r="L24" s="95">
        <v>1.54</v>
      </c>
      <c r="O24" s="95">
        <v>999</v>
      </c>
      <c r="P24" s="95">
        <v>2023</v>
      </c>
      <c r="R24" s="95" t="s">
        <v>92</v>
      </c>
      <c r="S24" s="95" t="s">
        <v>70</v>
      </c>
    </row>
    <row r="25" spans="1:19" x14ac:dyDescent="0.2">
      <c r="A25" s="95" t="s">
        <v>76</v>
      </c>
      <c r="B25" s="95" t="s">
        <v>66</v>
      </c>
      <c r="C25" s="95" t="s">
        <v>96</v>
      </c>
      <c r="D25" s="95" t="s">
        <v>68</v>
      </c>
      <c r="E25" s="95" t="s">
        <v>94</v>
      </c>
      <c r="F25" s="95">
        <v>4</v>
      </c>
      <c r="G25" s="95">
        <v>2.78</v>
      </c>
      <c r="I25" s="95">
        <v>1.05</v>
      </c>
      <c r="J25" s="95">
        <v>8.0000000000000002E-3</v>
      </c>
      <c r="K25" s="95">
        <v>0.31</v>
      </c>
      <c r="L25" s="95">
        <v>1.65</v>
      </c>
      <c r="O25" s="95">
        <v>999</v>
      </c>
      <c r="P25" s="95">
        <v>2023</v>
      </c>
      <c r="R25" s="95" t="s">
        <v>92</v>
      </c>
      <c r="S25" s="95" t="s">
        <v>70</v>
      </c>
    </row>
    <row r="26" spans="1:19" x14ac:dyDescent="0.2">
      <c r="A26" s="95" t="s">
        <v>76</v>
      </c>
      <c r="B26" s="95" t="s">
        <v>66</v>
      </c>
      <c r="C26" s="95" t="s">
        <v>96</v>
      </c>
      <c r="D26" s="95" t="s">
        <v>68</v>
      </c>
      <c r="E26" s="95" t="s">
        <v>94</v>
      </c>
      <c r="F26" s="95">
        <v>6</v>
      </c>
      <c r="G26" s="95">
        <v>2.78</v>
      </c>
      <c r="I26" s="95">
        <v>1.58</v>
      </c>
      <c r="J26" s="95">
        <v>0.01</v>
      </c>
      <c r="K26" s="95">
        <v>0.39</v>
      </c>
      <c r="L26" s="95">
        <v>2.36</v>
      </c>
      <c r="O26" s="95">
        <v>999</v>
      </c>
      <c r="P26" s="95">
        <v>2023</v>
      </c>
      <c r="R26" s="95" t="s">
        <v>92</v>
      </c>
      <c r="S26" s="95" t="s">
        <v>70</v>
      </c>
    </row>
    <row r="27" spans="1:19" x14ac:dyDescent="0.2">
      <c r="A27" s="95" t="s">
        <v>97</v>
      </c>
      <c r="B27" s="95" t="s">
        <v>66</v>
      </c>
      <c r="C27" s="95" t="s">
        <v>98</v>
      </c>
      <c r="D27" s="95" t="s">
        <v>68</v>
      </c>
      <c r="E27" s="95" t="s">
        <v>94</v>
      </c>
      <c r="F27" s="95">
        <v>1</v>
      </c>
      <c r="G27" s="95">
        <v>6.5</v>
      </c>
      <c r="I27" s="95">
        <v>0.86</v>
      </c>
      <c r="J27" s="95">
        <v>4.0000000000000001E-3</v>
      </c>
      <c r="K27" s="95">
        <v>0.12</v>
      </c>
      <c r="L27" s="95">
        <v>1.28</v>
      </c>
      <c r="O27" s="95">
        <v>999</v>
      </c>
      <c r="P27" s="95">
        <v>2023</v>
      </c>
      <c r="R27" s="95" t="s">
        <v>92</v>
      </c>
      <c r="S27" s="95" t="s">
        <v>70</v>
      </c>
    </row>
    <row r="28" spans="1:19" x14ac:dyDescent="0.2">
      <c r="A28" s="95" t="s">
        <v>97</v>
      </c>
      <c r="B28" s="95" t="s">
        <v>66</v>
      </c>
      <c r="C28" s="95" t="s">
        <v>98</v>
      </c>
      <c r="D28" s="95" t="s">
        <v>68</v>
      </c>
      <c r="E28" s="95" t="s">
        <v>94</v>
      </c>
      <c r="F28" s="95">
        <v>2</v>
      </c>
      <c r="G28" s="95">
        <v>13</v>
      </c>
      <c r="I28" s="95">
        <v>1.73</v>
      </c>
      <c r="J28" s="95">
        <v>8.0000000000000002E-3</v>
      </c>
      <c r="K28" s="95">
        <v>0.24</v>
      </c>
      <c r="L28" s="95">
        <v>2.57</v>
      </c>
      <c r="O28" s="95">
        <v>999</v>
      </c>
      <c r="P28" s="95">
        <v>2023</v>
      </c>
      <c r="R28" s="95" t="s">
        <v>92</v>
      </c>
      <c r="S28" s="95" t="s">
        <v>70</v>
      </c>
    </row>
    <row r="29" spans="1:19" x14ac:dyDescent="0.2">
      <c r="A29" s="95" t="s">
        <v>97</v>
      </c>
      <c r="B29" s="95" t="s">
        <v>66</v>
      </c>
      <c r="C29" s="95" t="s">
        <v>98</v>
      </c>
      <c r="D29" s="95" t="s">
        <v>68</v>
      </c>
      <c r="E29" s="95" t="s">
        <v>94</v>
      </c>
      <c r="F29" s="95">
        <v>3</v>
      </c>
      <c r="G29" s="95">
        <v>19.5</v>
      </c>
      <c r="I29" s="95">
        <v>2.59</v>
      </c>
      <c r="J29" s="95">
        <v>1.2E-2</v>
      </c>
      <c r="K29" s="95">
        <v>0.35</v>
      </c>
      <c r="L29" s="95">
        <v>3.85</v>
      </c>
      <c r="O29" s="95">
        <v>999</v>
      </c>
      <c r="P29" s="95">
        <v>2023</v>
      </c>
      <c r="R29" s="95" t="s">
        <v>92</v>
      </c>
      <c r="S29" s="95" t="s">
        <v>70</v>
      </c>
    </row>
    <row r="30" spans="1:19" x14ac:dyDescent="0.2">
      <c r="A30" s="95" t="s">
        <v>97</v>
      </c>
      <c r="B30" s="95" t="s">
        <v>66</v>
      </c>
      <c r="C30" s="95" t="s">
        <v>98</v>
      </c>
      <c r="D30" s="95" t="s">
        <v>68</v>
      </c>
      <c r="E30" s="95" t="s">
        <v>94</v>
      </c>
      <c r="F30" s="95">
        <v>3.5</v>
      </c>
      <c r="G30" s="95">
        <v>22.75</v>
      </c>
      <c r="I30" s="95">
        <v>3.02</v>
      </c>
      <c r="J30" s="95">
        <v>1.4E-2</v>
      </c>
      <c r="K30" s="95">
        <v>0.41</v>
      </c>
      <c r="L30" s="95">
        <v>4.4800000000000004</v>
      </c>
      <c r="O30" s="95">
        <v>999</v>
      </c>
      <c r="P30" s="95">
        <v>2023</v>
      </c>
      <c r="R30" s="95" t="s">
        <v>92</v>
      </c>
      <c r="S30" s="95" t="s">
        <v>70</v>
      </c>
    </row>
    <row r="31" spans="1:19" x14ac:dyDescent="0.2">
      <c r="A31" s="95" t="s">
        <v>97</v>
      </c>
      <c r="B31" s="95" t="s">
        <v>66</v>
      </c>
      <c r="C31" s="95" t="s">
        <v>98</v>
      </c>
      <c r="D31" s="95" t="s">
        <v>68</v>
      </c>
      <c r="E31" s="95" t="s">
        <v>94</v>
      </c>
      <c r="F31" s="95">
        <v>4</v>
      </c>
      <c r="G31" s="95">
        <v>26</v>
      </c>
      <c r="I31" s="95">
        <v>3.45</v>
      </c>
      <c r="J31" s="95">
        <v>1.6E-2</v>
      </c>
      <c r="K31" s="95">
        <v>0.47</v>
      </c>
      <c r="L31" s="95">
        <v>5.13</v>
      </c>
      <c r="O31" s="95">
        <v>999</v>
      </c>
      <c r="P31" s="95">
        <v>2023</v>
      </c>
      <c r="R31" s="95" t="s">
        <v>92</v>
      </c>
      <c r="S31" s="95" t="s">
        <v>70</v>
      </c>
    </row>
    <row r="32" spans="1:19" x14ac:dyDescent="0.2">
      <c r="A32" s="95" t="s">
        <v>97</v>
      </c>
      <c r="B32" s="95" t="s">
        <v>66</v>
      </c>
      <c r="C32" s="95" t="s">
        <v>98</v>
      </c>
      <c r="D32" s="95" t="s">
        <v>68</v>
      </c>
      <c r="E32" s="95" t="s">
        <v>94</v>
      </c>
      <c r="F32" s="95">
        <v>5</v>
      </c>
      <c r="G32" s="95">
        <v>32.5</v>
      </c>
      <c r="I32" s="95">
        <v>4.3099999999999996</v>
      </c>
      <c r="J32" s="95">
        <v>0.02</v>
      </c>
      <c r="K32" s="95">
        <v>0.59</v>
      </c>
      <c r="L32" s="95">
        <v>6.4</v>
      </c>
      <c r="O32" s="95">
        <v>999</v>
      </c>
      <c r="P32" s="95">
        <v>2023</v>
      </c>
      <c r="R32" s="95" t="s">
        <v>92</v>
      </c>
      <c r="S32" s="95" t="s">
        <v>70</v>
      </c>
    </row>
    <row r="33" spans="1:20" x14ac:dyDescent="0.2">
      <c r="A33" s="95" t="s">
        <v>97</v>
      </c>
      <c r="B33" s="95" t="s">
        <v>66</v>
      </c>
      <c r="C33" s="95" t="s">
        <v>98</v>
      </c>
      <c r="D33" s="95" t="s">
        <v>68</v>
      </c>
      <c r="E33" s="95" t="s">
        <v>94</v>
      </c>
      <c r="F33" s="95">
        <v>5.5</v>
      </c>
      <c r="G33" s="95">
        <v>35.75</v>
      </c>
      <c r="I33" s="95">
        <v>4.74</v>
      </c>
      <c r="J33" s="95">
        <v>2.1999999999999999E-2</v>
      </c>
      <c r="K33" s="95">
        <v>0.65</v>
      </c>
      <c r="L33" s="95">
        <v>7.03</v>
      </c>
      <c r="O33" s="95">
        <v>999</v>
      </c>
      <c r="P33" s="95">
        <v>2023</v>
      </c>
      <c r="R33" s="95" t="s">
        <v>92</v>
      </c>
      <c r="S33" s="95" t="s">
        <v>70</v>
      </c>
    </row>
    <row r="34" spans="1:20" x14ac:dyDescent="0.2">
      <c r="A34" s="95" t="s">
        <v>97</v>
      </c>
      <c r="B34" s="95" t="s">
        <v>66</v>
      </c>
      <c r="C34" s="95" t="s">
        <v>98</v>
      </c>
      <c r="D34" s="95" t="s">
        <v>68</v>
      </c>
      <c r="E34" s="95" t="s">
        <v>94</v>
      </c>
      <c r="F34" s="95">
        <v>6</v>
      </c>
      <c r="G34" s="95">
        <v>39</v>
      </c>
      <c r="I34" s="95">
        <v>5.2</v>
      </c>
      <c r="J34" s="95">
        <v>2.4E-2</v>
      </c>
      <c r="K34" s="95">
        <v>0.71</v>
      </c>
      <c r="L34" s="95">
        <v>7.69</v>
      </c>
      <c r="O34" s="95">
        <v>999</v>
      </c>
      <c r="P34" s="95">
        <v>2023</v>
      </c>
      <c r="R34" s="95" t="s">
        <v>92</v>
      </c>
      <c r="S34" s="95" t="s">
        <v>70</v>
      </c>
    </row>
    <row r="35" spans="1:20" x14ac:dyDescent="0.2">
      <c r="A35" s="95" t="s">
        <v>97</v>
      </c>
      <c r="B35" s="95" t="s">
        <v>66</v>
      </c>
      <c r="C35" s="95" t="s">
        <v>239</v>
      </c>
      <c r="G35" s="95">
        <v>2</v>
      </c>
      <c r="H35" s="95">
        <v>3.7</v>
      </c>
      <c r="I35" s="95">
        <v>0.876</v>
      </c>
      <c r="P35" s="95">
        <v>2023</v>
      </c>
      <c r="R35" s="95" t="s">
        <v>240</v>
      </c>
      <c r="S35" s="95" t="s">
        <v>99</v>
      </c>
      <c r="T35" s="95" t="s">
        <v>241</v>
      </c>
    </row>
    <row r="36" spans="1:20" x14ac:dyDescent="0.2">
      <c r="A36" s="95" t="s">
        <v>97</v>
      </c>
      <c r="B36" s="95" t="s">
        <v>66</v>
      </c>
      <c r="C36" s="95" t="s">
        <v>252</v>
      </c>
      <c r="G36" s="95">
        <v>6.44</v>
      </c>
      <c r="I36" s="95">
        <v>1.9450000000000001</v>
      </c>
      <c r="P36" s="95">
        <v>2023</v>
      </c>
      <c r="R36" s="95" t="s">
        <v>242</v>
      </c>
      <c r="S36" s="95" t="s">
        <v>99</v>
      </c>
      <c r="T36" s="95" t="s">
        <v>243</v>
      </c>
    </row>
    <row r="37" spans="1:20" x14ac:dyDescent="0.2">
      <c r="A37" s="95" t="s">
        <v>97</v>
      </c>
      <c r="B37" s="95" t="s">
        <v>66</v>
      </c>
      <c r="C37" s="95" t="s">
        <v>239</v>
      </c>
      <c r="G37" s="95">
        <v>3.7</v>
      </c>
      <c r="I37" s="95">
        <v>1.0760000000000001</v>
      </c>
      <c r="P37" s="95">
        <v>2023</v>
      </c>
      <c r="R37" s="95" t="s">
        <v>244</v>
      </c>
      <c r="S37" s="95" t="s">
        <v>99</v>
      </c>
      <c r="T37" s="95" t="s">
        <v>245</v>
      </c>
    </row>
    <row r="38" spans="1:20" x14ac:dyDescent="0.2">
      <c r="A38" s="95" t="s">
        <v>97</v>
      </c>
      <c r="B38" s="95" t="s">
        <v>66</v>
      </c>
      <c r="C38" s="95" t="s">
        <v>239</v>
      </c>
      <c r="G38" s="95">
        <v>4.49</v>
      </c>
      <c r="H38" s="95">
        <v>4</v>
      </c>
      <c r="I38" s="95">
        <v>1.3759999999999999</v>
      </c>
      <c r="P38" s="95">
        <v>2023</v>
      </c>
      <c r="R38" s="95" t="s">
        <v>246</v>
      </c>
      <c r="S38" s="95" t="s">
        <v>99</v>
      </c>
      <c r="T38" s="95" t="s">
        <v>247</v>
      </c>
    </row>
    <row r="39" spans="1:20" x14ac:dyDescent="0.2">
      <c r="A39" s="95" t="s">
        <v>97</v>
      </c>
      <c r="B39" s="95" t="s">
        <v>66</v>
      </c>
      <c r="C39" s="95" t="s">
        <v>252</v>
      </c>
      <c r="G39" s="95">
        <v>6</v>
      </c>
      <c r="I39" s="95">
        <v>1.9450000000000001</v>
      </c>
      <c r="P39" s="95">
        <v>2023</v>
      </c>
      <c r="R39" s="95" t="s">
        <v>248</v>
      </c>
      <c r="S39" s="95" t="s">
        <v>99</v>
      </c>
      <c r="T39" s="95" t="s">
        <v>249</v>
      </c>
    </row>
    <row r="40" spans="1:20" x14ac:dyDescent="0.2">
      <c r="A40" s="95" t="s">
        <v>97</v>
      </c>
      <c r="B40" s="95" t="s">
        <v>66</v>
      </c>
      <c r="C40" s="95" t="s">
        <v>239</v>
      </c>
      <c r="G40" s="95">
        <v>4.5</v>
      </c>
      <c r="H40" s="95">
        <v>4</v>
      </c>
      <c r="I40" s="95">
        <v>1.536</v>
      </c>
      <c r="P40" s="95">
        <v>2023</v>
      </c>
      <c r="R40" s="95" t="s">
        <v>250</v>
      </c>
      <c r="S40" s="95" t="s">
        <v>99</v>
      </c>
      <c r="T40" s="95" t="s">
        <v>251</v>
      </c>
    </row>
    <row r="41" spans="1:20" x14ac:dyDescent="0.2">
      <c r="A41" s="95" t="s">
        <v>97</v>
      </c>
      <c r="B41" s="95" t="s">
        <v>66</v>
      </c>
      <c r="C41" s="95" t="s">
        <v>252</v>
      </c>
      <c r="G41" s="95">
        <v>6.5</v>
      </c>
      <c r="I41" s="95">
        <v>1.665</v>
      </c>
      <c r="P41" s="95">
        <v>2023</v>
      </c>
      <c r="R41" s="95" t="s">
        <v>253</v>
      </c>
      <c r="S41" s="95" t="s">
        <v>99</v>
      </c>
      <c r="T41" s="95" t="s">
        <v>254</v>
      </c>
    </row>
    <row r="42" spans="1:20" x14ac:dyDescent="0.2">
      <c r="A42" s="95" t="s">
        <v>97</v>
      </c>
      <c r="B42" s="95" t="s">
        <v>66</v>
      </c>
      <c r="C42" s="95" t="s">
        <v>239</v>
      </c>
      <c r="G42" s="95">
        <v>4.5</v>
      </c>
      <c r="H42" s="95">
        <v>4</v>
      </c>
      <c r="I42" s="95">
        <v>0.74750000000000005</v>
      </c>
      <c r="P42" s="95">
        <v>2023</v>
      </c>
      <c r="R42" s="95" t="s">
        <v>255</v>
      </c>
      <c r="S42" s="95" t="s">
        <v>99</v>
      </c>
      <c r="T42" s="95" t="s">
        <v>256</v>
      </c>
    </row>
    <row r="43" spans="1:20" x14ac:dyDescent="0.2">
      <c r="A43" s="95" t="s">
        <v>97</v>
      </c>
      <c r="B43" s="95" t="s">
        <v>66</v>
      </c>
      <c r="C43" s="95" t="s">
        <v>239</v>
      </c>
      <c r="G43" s="95">
        <v>2</v>
      </c>
      <c r="H43" s="95">
        <v>3.7</v>
      </c>
      <c r="I43" s="95">
        <v>0.92642857142857149</v>
      </c>
      <c r="P43" s="95">
        <v>2023</v>
      </c>
      <c r="R43" s="95" t="s">
        <v>257</v>
      </c>
      <c r="S43" s="95" t="s">
        <v>99</v>
      </c>
      <c r="T43" s="95" t="s">
        <v>258</v>
      </c>
    </row>
    <row r="44" spans="1:20" x14ac:dyDescent="0.2">
      <c r="A44" s="95" t="s">
        <v>97</v>
      </c>
      <c r="B44" s="95" t="s">
        <v>66</v>
      </c>
      <c r="C44" s="95" t="s">
        <v>239</v>
      </c>
      <c r="G44" s="95">
        <v>3.8</v>
      </c>
      <c r="I44" s="95">
        <v>1.4950000000000001</v>
      </c>
      <c r="P44" s="95">
        <v>2023</v>
      </c>
      <c r="R44" s="95" t="s">
        <v>259</v>
      </c>
      <c r="S44" s="95" t="s">
        <v>99</v>
      </c>
      <c r="T44" s="95" t="s">
        <v>260</v>
      </c>
    </row>
    <row r="45" spans="1:20" x14ac:dyDescent="0.2">
      <c r="A45" s="95" t="s">
        <v>97</v>
      </c>
      <c r="B45" s="95" t="s">
        <v>66</v>
      </c>
      <c r="C45" s="95" t="s">
        <v>239</v>
      </c>
      <c r="G45" s="95">
        <v>2</v>
      </c>
      <c r="H45" s="95">
        <v>3.7</v>
      </c>
      <c r="I45" s="95">
        <v>1.4970000000000001</v>
      </c>
      <c r="P45" s="95">
        <v>2023</v>
      </c>
      <c r="R45" s="95" t="s">
        <v>261</v>
      </c>
      <c r="S45" s="95" t="s">
        <v>99</v>
      </c>
      <c r="T45" s="95" t="s">
        <v>262</v>
      </c>
    </row>
    <row r="46" spans="1:20" x14ac:dyDescent="0.2">
      <c r="A46" s="95" t="s">
        <v>97</v>
      </c>
      <c r="B46" s="95" t="s">
        <v>66</v>
      </c>
      <c r="C46" s="95" t="s">
        <v>239</v>
      </c>
      <c r="G46" s="95">
        <v>4</v>
      </c>
      <c r="I46" s="95">
        <v>1.3283333333333334</v>
      </c>
      <c r="P46" s="95">
        <v>2023</v>
      </c>
      <c r="R46" s="95" t="s">
        <v>263</v>
      </c>
      <c r="S46" s="95" t="s">
        <v>99</v>
      </c>
      <c r="T46" s="95" t="s">
        <v>264</v>
      </c>
    </row>
    <row r="47" spans="1:20" x14ac:dyDescent="0.2">
      <c r="A47" s="95" t="s">
        <v>97</v>
      </c>
      <c r="B47" s="95" t="s">
        <v>66</v>
      </c>
      <c r="C47" s="95" t="s">
        <v>239</v>
      </c>
      <c r="G47" s="95">
        <v>3.7</v>
      </c>
      <c r="I47" s="95">
        <v>1.1960000000000002</v>
      </c>
      <c r="P47" s="95">
        <v>2023</v>
      </c>
      <c r="R47" s="95" t="s">
        <v>265</v>
      </c>
      <c r="S47" s="95" t="s">
        <v>99</v>
      </c>
      <c r="T47" s="95" t="s">
        <v>266</v>
      </c>
    </row>
    <row r="48" spans="1:20" x14ac:dyDescent="0.2">
      <c r="A48" s="95" t="s">
        <v>97</v>
      </c>
      <c r="B48" s="95" t="s">
        <v>66</v>
      </c>
      <c r="C48" s="95" t="s">
        <v>252</v>
      </c>
      <c r="G48" s="95">
        <v>14</v>
      </c>
      <c r="H48" s="95">
        <v>6.8</v>
      </c>
      <c r="I48" s="95">
        <v>1.6658153846153845</v>
      </c>
      <c r="P48" s="95">
        <v>2023</v>
      </c>
      <c r="R48" s="95" t="s">
        <v>267</v>
      </c>
      <c r="S48" s="95" t="s">
        <v>99</v>
      </c>
      <c r="T48" s="95" t="s">
        <v>268</v>
      </c>
    </row>
    <row r="49" spans="1:20" x14ac:dyDescent="0.2">
      <c r="A49" s="95" t="s">
        <v>97</v>
      </c>
      <c r="B49" s="95" t="s">
        <v>66</v>
      </c>
      <c r="C49" s="95" t="s">
        <v>239</v>
      </c>
      <c r="G49" s="95">
        <v>4</v>
      </c>
      <c r="I49" s="95">
        <v>1.9957142857142858</v>
      </c>
      <c r="P49" s="95">
        <v>2023</v>
      </c>
      <c r="R49" s="95" t="s">
        <v>269</v>
      </c>
      <c r="S49" s="95" t="s">
        <v>99</v>
      </c>
      <c r="T49" s="95" t="s">
        <v>270</v>
      </c>
    </row>
    <row r="50" spans="1:20" x14ac:dyDescent="0.2">
      <c r="A50" s="95" t="s">
        <v>97</v>
      </c>
      <c r="B50" s="95" t="s">
        <v>66</v>
      </c>
      <c r="C50" s="95" t="s">
        <v>239</v>
      </c>
      <c r="G50" s="95">
        <v>4</v>
      </c>
      <c r="I50" s="95">
        <v>1.7100000000000002</v>
      </c>
      <c r="P50" s="95">
        <v>2023</v>
      </c>
      <c r="R50" s="95" t="s">
        <v>271</v>
      </c>
      <c r="S50" s="95" t="s">
        <v>99</v>
      </c>
      <c r="T50" s="95" t="s">
        <v>272</v>
      </c>
    </row>
    <row r="51" spans="1:20" x14ac:dyDescent="0.2">
      <c r="A51" s="95" t="s">
        <v>97</v>
      </c>
      <c r="B51" s="95" t="s">
        <v>66</v>
      </c>
      <c r="C51" s="95" t="s">
        <v>252</v>
      </c>
      <c r="G51" s="95">
        <v>14</v>
      </c>
      <c r="H51" s="95">
        <v>6.8</v>
      </c>
      <c r="I51" s="95">
        <v>1.621032258064516</v>
      </c>
      <c r="P51" s="95">
        <v>2023</v>
      </c>
      <c r="R51" s="95" t="s">
        <v>273</v>
      </c>
      <c r="S51" s="95" t="s">
        <v>99</v>
      </c>
      <c r="T51" s="95" t="s">
        <v>274</v>
      </c>
    </row>
    <row r="52" spans="1:20" x14ac:dyDescent="0.2">
      <c r="A52" s="95" t="s">
        <v>97</v>
      </c>
      <c r="B52" s="95" t="s">
        <v>66</v>
      </c>
      <c r="C52" s="95" t="s">
        <v>252</v>
      </c>
      <c r="G52" s="95">
        <v>5.5</v>
      </c>
      <c r="I52" s="95">
        <v>2.2069047619047617</v>
      </c>
      <c r="P52" s="95">
        <v>2023</v>
      </c>
      <c r="R52" s="95" t="s">
        <v>275</v>
      </c>
      <c r="S52" s="95" t="s">
        <v>99</v>
      </c>
      <c r="T52" s="95" t="s">
        <v>276</v>
      </c>
    </row>
    <row r="53" spans="1:20" x14ac:dyDescent="0.2">
      <c r="A53" s="95" t="s">
        <v>97</v>
      </c>
      <c r="B53" s="95" t="s">
        <v>66</v>
      </c>
      <c r="C53" s="95" t="s">
        <v>252</v>
      </c>
      <c r="G53" s="95">
        <v>3.7</v>
      </c>
      <c r="I53" s="95">
        <v>6.427142857142857</v>
      </c>
      <c r="P53" s="95">
        <v>2023</v>
      </c>
      <c r="R53" s="95" t="s">
        <v>277</v>
      </c>
      <c r="S53" s="95" t="s">
        <v>99</v>
      </c>
      <c r="T53" s="95" t="s">
        <v>278</v>
      </c>
    </row>
    <row r="54" spans="1:20" x14ac:dyDescent="0.2">
      <c r="A54" s="95" t="s">
        <v>97</v>
      </c>
      <c r="B54" s="95" t="s">
        <v>66</v>
      </c>
      <c r="C54" s="95" t="s">
        <v>239</v>
      </c>
      <c r="G54" s="95">
        <v>3.8</v>
      </c>
      <c r="I54" s="95">
        <v>1.1475</v>
      </c>
      <c r="P54" s="95">
        <v>2023</v>
      </c>
      <c r="R54" s="95" t="s">
        <v>279</v>
      </c>
      <c r="S54" s="95" t="s">
        <v>99</v>
      </c>
      <c r="T54" s="95" t="s">
        <v>280</v>
      </c>
    </row>
    <row r="55" spans="1:20" x14ac:dyDescent="0.2">
      <c r="A55" s="95" t="s">
        <v>97</v>
      </c>
      <c r="B55" s="95" t="s">
        <v>66</v>
      </c>
      <c r="C55" s="95" t="s">
        <v>252</v>
      </c>
      <c r="G55" s="95">
        <v>3.7</v>
      </c>
      <c r="I55" s="95">
        <v>9.2707142857142859</v>
      </c>
      <c r="P55" s="95">
        <v>2023</v>
      </c>
      <c r="R55" s="95" t="s">
        <v>281</v>
      </c>
      <c r="S55" s="95" t="s">
        <v>99</v>
      </c>
      <c r="T55" s="95" t="s">
        <v>282</v>
      </c>
    </row>
    <row r="56" spans="1:20" x14ac:dyDescent="0.2">
      <c r="A56" s="95" t="s">
        <v>97</v>
      </c>
      <c r="B56" s="95" t="s">
        <v>66</v>
      </c>
      <c r="C56" s="95" t="s">
        <v>252</v>
      </c>
      <c r="G56" s="95">
        <v>3.7</v>
      </c>
      <c r="I56" s="95">
        <v>7.2735714285714286</v>
      </c>
      <c r="P56" s="95">
        <v>2023</v>
      </c>
      <c r="R56" s="95" t="s">
        <v>283</v>
      </c>
      <c r="S56" s="95" t="s">
        <v>99</v>
      </c>
      <c r="T56" s="95" t="s">
        <v>284</v>
      </c>
    </row>
    <row r="57" spans="1:20" x14ac:dyDescent="0.2">
      <c r="A57" s="95" t="s">
        <v>76</v>
      </c>
      <c r="B57" s="95" t="s">
        <v>66</v>
      </c>
      <c r="C57" s="95" t="s">
        <v>93</v>
      </c>
      <c r="F57" s="95">
        <v>3.3</v>
      </c>
      <c r="G57" s="95">
        <v>19</v>
      </c>
      <c r="H57" s="95">
        <v>3.7</v>
      </c>
      <c r="I57" s="95">
        <v>0.22500000000000003</v>
      </c>
      <c r="P57" s="95">
        <v>2023</v>
      </c>
      <c r="Q57" s="95" t="s">
        <v>308</v>
      </c>
      <c r="R57" s="95" t="s">
        <v>309</v>
      </c>
      <c r="S57" s="95" t="s">
        <v>99</v>
      </c>
      <c r="T57" s="95" t="s">
        <v>310</v>
      </c>
    </row>
    <row r="58" spans="1:20" x14ac:dyDescent="0.2">
      <c r="A58" s="95" t="s">
        <v>76</v>
      </c>
      <c r="B58" s="95" t="s">
        <v>66</v>
      </c>
      <c r="C58" s="95" t="s">
        <v>67</v>
      </c>
      <c r="F58" s="95">
        <v>20.5</v>
      </c>
      <c r="G58" s="95">
        <v>19</v>
      </c>
      <c r="H58" s="95">
        <v>2.7</v>
      </c>
      <c r="I58" s="95">
        <v>0.37022831050228311</v>
      </c>
      <c r="P58" s="95">
        <v>2023</v>
      </c>
      <c r="Q58" s="95" t="s">
        <v>311</v>
      </c>
      <c r="R58" s="95" t="s">
        <v>312</v>
      </c>
      <c r="S58" s="95" t="s">
        <v>99</v>
      </c>
      <c r="T58" s="95" t="s">
        <v>313</v>
      </c>
    </row>
    <row r="59" spans="1:20" x14ac:dyDescent="0.2">
      <c r="A59" s="95" t="s">
        <v>76</v>
      </c>
      <c r="B59" s="95" t="s">
        <v>66</v>
      </c>
      <c r="C59" s="95" t="s">
        <v>93</v>
      </c>
      <c r="F59" s="95">
        <v>50</v>
      </c>
      <c r="G59" s="95">
        <v>19</v>
      </c>
      <c r="H59" s="95">
        <v>3.7</v>
      </c>
      <c r="I59" s="95">
        <v>0.4126492194674013</v>
      </c>
      <c r="P59" s="95">
        <v>2023</v>
      </c>
      <c r="Q59" s="95" t="s">
        <v>314</v>
      </c>
      <c r="R59" s="95" t="s">
        <v>315</v>
      </c>
      <c r="S59" s="95" t="s">
        <v>99</v>
      </c>
      <c r="T59" s="95" t="s">
        <v>316</v>
      </c>
    </row>
    <row r="60" spans="1:20" x14ac:dyDescent="0.2">
      <c r="A60" s="95" t="s">
        <v>76</v>
      </c>
      <c r="B60" s="95" t="s">
        <v>66</v>
      </c>
      <c r="C60" s="95" t="s">
        <v>93</v>
      </c>
      <c r="F60" s="95">
        <v>3.3</v>
      </c>
      <c r="G60" s="95">
        <v>19</v>
      </c>
      <c r="H60" s="95">
        <v>3.7</v>
      </c>
      <c r="I60" s="95">
        <v>0.54340359094457458</v>
      </c>
      <c r="P60" s="95">
        <v>2023</v>
      </c>
      <c r="Q60" s="95" t="s">
        <v>308</v>
      </c>
      <c r="R60" s="95" t="s">
        <v>317</v>
      </c>
      <c r="S60" s="95" t="s">
        <v>99</v>
      </c>
      <c r="T60" s="95" t="s">
        <v>318</v>
      </c>
    </row>
    <row r="61" spans="1:20" x14ac:dyDescent="0.2">
      <c r="A61" s="95" t="s">
        <v>76</v>
      </c>
      <c r="B61" s="95" t="s">
        <v>66</v>
      </c>
      <c r="C61" s="95" t="s">
        <v>93</v>
      </c>
      <c r="G61" s="95">
        <v>19</v>
      </c>
      <c r="H61" s="95">
        <v>3.7</v>
      </c>
      <c r="I61" s="95">
        <v>0.34180327868852461</v>
      </c>
      <c r="P61" s="95">
        <v>2023</v>
      </c>
      <c r="Q61" s="95" t="s">
        <v>319</v>
      </c>
      <c r="R61" s="95" t="s">
        <v>320</v>
      </c>
      <c r="S61" s="95" t="s">
        <v>321</v>
      </c>
      <c r="T61" s="95" t="s">
        <v>322</v>
      </c>
    </row>
    <row r="62" spans="1:20" x14ac:dyDescent="0.2">
      <c r="A62" s="95" t="s">
        <v>76</v>
      </c>
      <c r="B62" s="95" t="s">
        <v>66</v>
      </c>
      <c r="C62" s="95" t="s">
        <v>67</v>
      </c>
      <c r="G62" s="95">
        <v>19</v>
      </c>
      <c r="H62" s="95">
        <v>3</v>
      </c>
      <c r="I62" s="95">
        <v>0.52357723577235771</v>
      </c>
      <c r="P62" s="95">
        <v>2023</v>
      </c>
      <c r="Q62" s="95" t="s">
        <v>311</v>
      </c>
      <c r="R62" s="95" t="s">
        <v>323</v>
      </c>
      <c r="S62" s="95" t="s">
        <v>321</v>
      </c>
      <c r="T62" s="95" t="s">
        <v>324</v>
      </c>
    </row>
    <row r="63" spans="1:20" x14ac:dyDescent="0.2">
      <c r="A63" s="95" t="s">
        <v>76</v>
      </c>
      <c r="B63" s="95" t="s">
        <v>66</v>
      </c>
      <c r="C63" s="95" t="s">
        <v>67</v>
      </c>
      <c r="G63" s="95">
        <v>19</v>
      </c>
      <c r="H63" s="95">
        <v>3</v>
      </c>
      <c r="I63" s="95">
        <v>1.0835591689250226</v>
      </c>
      <c r="P63" s="95">
        <v>2023</v>
      </c>
      <c r="Q63" s="95" t="s">
        <v>311</v>
      </c>
      <c r="R63" s="95" t="s">
        <v>325</v>
      </c>
      <c r="S63" s="95" t="s">
        <v>321</v>
      </c>
      <c r="T63" s="95" t="s">
        <v>326</v>
      </c>
    </row>
  </sheetData>
  <hyperlinks>
    <hyperlink ref="A1" location="'Table of Contents'!A1" display="Table of Contents" xr:uid="{D8E394E0-6673-4004-8F64-7D0678DB9A51}"/>
  </hyperlink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E1E10-27A3-4B24-833E-AFAE0042E4AF}">
  <dimension ref="A1:T196"/>
  <sheetViews>
    <sheetView workbookViewId="0">
      <selection activeCell="A3" sqref="A3"/>
    </sheetView>
  </sheetViews>
  <sheetFormatPr baseColWidth="10" defaultColWidth="8.5" defaultRowHeight="15" x14ac:dyDescent="0.2"/>
  <cols>
    <col min="1" max="2" width="8.5" style="95"/>
    <col min="3" max="3" width="10.5" style="95" customWidth="1"/>
    <col min="4" max="4" width="8.5" style="95"/>
    <col min="5" max="5" width="12.5" style="95" customWidth="1"/>
    <col min="6" max="6" width="15.5" style="95" customWidth="1"/>
    <col min="7" max="7" width="9.5" style="95" customWidth="1"/>
    <col min="8" max="9" width="17.5" style="95" customWidth="1"/>
    <col min="10" max="10" width="19.5" style="95" customWidth="1"/>
    <col min="11" max="11" width="13.5" style="95" customWidth="1"/>
    <col min="12" max="12" width="25.5" style="95" customWidth="1"/>
    <col min="13" max="14" width="21.5" style="95" customWidth="1"/>
    <col min="15" max="15" width="10.5" style="95" customWidth="1"/>
    <col min="16" max="17" width="8.5" style="95"/>
    <col min="18" max="18" width="14.5" style="95" customWidth="1"/>
    <col min="19" max="19" width="8.5" style="95"/>
    <col min="20" max="20" width="13.5" style="95" customWidth="1"/>
    <col min="21" max="16384" width="8.5" style="95"/>
  </cols>
  <sheetData>
    <row r="1" spans="1:20" customFormat="1" x14ac:dyDescent="0.2">
      <c r="A1" s="4" t="s">
        <v>21</v>
      </c>
      <c r="C1" s="4" t="s">
        <v>21</v>
      </c>
      <c r="K1" s="39"/>
      <c r="L1" s="39"/>
    </row>
    <row r="2" spans="1:20" customFormat="1" ht="19" x14ac:dyDescent="0.25">
      <c r="A2" s="24" t="s">
        <v>22</v>
      </c>
      <c r="C2" s="24" t="s">
        <v>22</v>
      </c>
      <c r="K2" s="39"/>
      <c r="L2" s="39"/>
    </row>
    <row r="3" spans="1:20" s="96" customFormat="1" x14ac:dyDescent="0.2">
      <c r="A3" s="96" t="s">
        <v>25</v>
      </c>
      <c r="B3" s="96" t="s">
        <v>26</v>
      </c>
      <c r="C3" s="96" t="s">
        <v>27</v>
      </c>
      <c r="D3" s="96" t="s">
        <v>28</v>
      </c>
      <c r="E3" s="96" t="s">
        <v>29</v>
      </c>
      <c r="F3" s="96" t="s">
        <v>30</v>
      </c>
      <c r="G3" s="96" t="s">
        <v>31</v>
      </c>
      <c r="H3" s="96" t="s">
        <v>32</v>
      </c>
      <c r="I3" s="96" t="s">
        <v>33</v>
      </c>
      <c r="J3" s="96" t="s">
        <v>34</v>
      </c>
      <c r="K3" s="96" t="s">
        <v>35</v>
      </c>
      <c r="L3" s="96" t="s">
        <v>36</v>
      </c>
      <c r="M3" s="96" t="s">
        <v>37</v>
      </c>
      <c r="N3" s="96" t="s">
        <v>38</v>
      </c>
      <c r="O3" s="96" t="s">
        <v>39</v>
      </c>
      <c r="P3" s="96" t="s">
        <v>40</v>
      </c>
      <c r="Q3" s="96" t="s">
        <v>41</v>
      </c>
      <c r="R3" s="96" t="s">
        <v>42</v>
      </c>
      <c r="S3" s="96" t="s">
        <v>43</v>
      </c>
      <c r="T3" s="96" t="s">
        <v>44</v>
      </c>
    </row>
    <row r="4" spans="1:20" x14ac:dyDescent="0.2">
      <c r="A4" s="95" t="s">
        <v>65</v>
      </c>
      <c r="B4" s="95" t="s">
        <v>66</v>
      </c>
      <c r="C4" s="95" t="s">
        <v>67</v>
      </c>
      <c r="D4" s="95" t="s">
        <v>68</v>
      </c>
      <c r="E4" s="95" t="s">
        <v>68</v>
      </c>
      <c r="F4" s="95">
        <v>1</v>
      </c>
      <c r="G4" s="95">
        <v>4.0999999999999996</v>
      </c>
      <c r="I4" s="95">
        <v>0.42</v>
      </c>
      <c r="J4" s="95">
        <v>8.0000000000000002E-3</v>
      </c>
      <c r="K4" s="95">
        <v>0.31</v>
      </c>
      <c r="L4" s="95">
        <v>0.96</v>
      </c>
      <c r="O4" s="95">
        <v>999</v>
      </c>
      <c r="P4" s="95">
        <v>2023</v>
      </c>
      <c r="R4" s="95" t="s">
        <v>69</v>
      </c>
      <c r="S4" s="95" t="s">
        <v>70</v>
      </c>
    </row>
    <row r="5" spans="1:20" x14ac:dyDescent="0.2">
      <c r="A5" s="95" t="s">
        <v>65</v>
      </c>
      <c r="B5" s="95" t="s">
        <v>66</v>
      </c>
      <c r="C5" s="95" t="s">
        <v>67</v>
      </c>
      <c r="D5" s="95" t="s">
        <v>68</v>
      </c>
      <c r="E5" s="95" t="s">
        <v>68</v>
      </c>
      <c r="F5" s="95">
        <v>1.5</v>
      </c>
      <c r="G5" s="95">
        <v>6.2</v>
      </c>
      <c r="I5" s="95">
        <v>1.32</v>
      </c>
      <c r="J5" s="95">
        <v>8.0000000000000002E-3</v>
      </c>
      <c r="K5" s="95">
        <v>0.31</v>
      </c>
      <c r="L5" s="95">
        <v>1.95</v>
      </c>
      <c r="O5" s="95">
        <v>999</v>
      </c>
      <c r="P5" s="95">
        <v>2023</v>
      </c>
      <c r="R5" s="95" t="s">
        <v>69</v>
      </c>
      <c r="S5" s="95" t="s">
        <v>70</v>
      </c>
    </row>
    <row r="6" spans="1:20" x14ac:dyDescent="0.2">
      <c r="A6" s="95" t="s">
        <v>65</v>
      </c>
      <c r="B6" s="95" t="s">
        <v>66</v>
      </c>
      <c r="C6" s="95" t="s">
        <v>67</v>
      </c>
      <c r="D6" s="95" t="s">
        <v>68</v>
      </c>
      <c r="E6" s="95" t="s">
        <v>68</v>
      </c>
      <c r="F6" s="95">
        <v>2</v>
      </c>
      <c r="G6" s="95">
        <v>8.3000000000000007</v>
      </c>
      <c r="I6" s="95">
        <v>0.67</v>
      </c>
      <c r="J6" s="95">
        <v>8.0000000000000002E-3</v>
      </c>
      <c r="K6" s="95">
        <v>0.31</v>
      </c>
      <c r="L6" s="95">
        <v>1.24</v>
      </c>
      <c r="O6" s="95">
        <v>999</v>
      </c>
      <c r="P6" s="95">
        <v>2023</v>
      </c>
      <c r="R6" s="95" t="s">
        <v>69</v>
      </c>
      <c r="S6" s="95" t="s">
        <v>70</v>
      </c>
    </row>
    <row r="7" spans="1:20" x14ac:dyDescent="0.2">
      <c r="A7" s="95" t="s">
        <v>65</v>
      </c>
      <c r="B7" s="95" t="s">
        <v>66</v>
      </c>
      <c r="C7" s="95" t="s">
        <v>67</v>
      </c>
      <c r="D7" s="95" t="s">
        <v>68</v>
      </c>
      <c r="E7" s="95" t="s">
        <v>68</v>
      </c>
      <c r="F7" s="95">
        <v>3</v>
      </c>
      <c r="G7" s="95">
        <v>12.4</v>
      </c>
      <c r="I7" s="95">
        <v>0.89</v>
      </c>
      <c r="J7" s="95">
        <v>0.01</v>
      </c>
      <c r="K7" s="95">
        <v>0.39</v>
      </c>
      <c r="L7" s="95">
        <v>1.61</v>
      </c>
      <c r="O7" s="95">
        <v>999</v>
      </c>
      <c r="P7" s="95">
        <v>2023</v>
      </c>
      <c r="R7" s="95" t="s">
        <v>69</v>
      </c>
      <c r="S7" s="95" t="s">
        <v>70</v>
      </c>
    </row>
    <row r="8" spans="1:20" x14ac:dyDescent="0.2">
      <c r="A8" s="95" t="s">
        <v>65</v>
      </c>
      <c r="B8" s="95" t="s">
        <v>66</v>
      </c>
      <c r="C8" s="95" t="s">
        <v>67</v>
      </c>
      <c r="D8" s="95" t="s">
        <v>68</v>
      </c>
      <c r="E8" s="95" t="s">
        <v>68</v>
      </c>
      <c r="F8" s="95">
        <v>1</v>
      </c>
      <c r="G8" s="95">
        <v>4.3</v>
      </c>
      <c r="I8" s="95">
        <v>0.87</v>
      </c>
      <c r="J8" s="95">
        <v>8.0000000000000002E-3</v>
      </c>
      <c r="K8" s="95">
        <v>0.31</v>
      </c>
      <c r="L8" s="95">
        <v>1.46</v>
      </c>
      <c r="O8" s="95">
        <v>999</v>
      </c>
      <c r="P8" s="95">
        <v>2023</v>
      </c>
      <c r="R8" s="95" t="s">
        <v>69</v>
      </c>
      <c r="S8" s="95" t="s">
        <v>70</v>
      </c>
    </row>
    <row r="9" spans="1:20" x14ac:dyDescent="0.2">
      <c r="A9" s="95" t="s">
        <v>65</v>
      </c>
      <c r="B9" s="95" t="s">
        <v>66</v>
      </c>
      <c r="C9" s="95" t="s">
        <v>67</v>
      </c>
      <c r="D9" s="95" t="s">
        <v>68</v>
      </c>
      <c r="E9" s="95" t="s">
        <v>68</v>
      </c>
      <c r="F9" s="95">
        <v>2</v>
      </c>
      <c r="G9" s="95">
        <v>8.6999999999999993</v>
      </c>
      <c r="I9" s="95">
        <v>1.78</v>
      </c>
      <c r="J9" s="95">
        <v>8.9999999999999993E-3</v>
      </c>
      <c r="K9" s="95">
        <v>0.35</v>
      </c>
      <c r="L9" s="95">
        <v>2.5299999999999998</v>
      </c>
      <c r="O9" s="95">
        <v>999</v>
      </c>
      <c r="P9" s="95">
        <v>2023</v>
      </c>
      <c r="R9" s="95" t="s">
        <v>69</v>
      </c>
      <c r="S9" s="95" t="s">
        <v>70</v>
      </c>
    </row>
    <row r="10" spans="1:20" x14ac:dyDescent="0.2">
      <c r="A10" s="95" t="s">
        <v>65</v>
      </c>
      <c r="B10" s="95" t="s">
        <v>66</v>
      </c>
      <c r="C10" s="95" t="s">
        <v>67</v>
      </c>
      <c r="D10" s="95" t="s">
        <v>68</v>
      </c>
      <c r="E10" s="95" t="s">
        <v>68</v>
      </c>
      <c r="F10" s="95">
        <v>2.5</v>
      </c>
      <c r="G10" s="95">
        <v>10.9</v>
      </c>
      <c r="I10" s="95">
        <v>1.57</v>
      </c>
      <c r="J10" s="95">
        <v>0.01</v>
      </c>
      <c r="K10" s="95">
        <v>0.39</v>
      </c>
      <c r="L10" s="95">
        <v>2.36</v>
      </c>
      <c r="O10" s="95">
        <v>999</v>
      </c>
      <c r="P10" s="95">
        <v>2023</v>
      </c>
      <c r="R10" s="95" t="s">
        <v>69</v>
      </c>
      <c r="S10" s="95" t="s">
        <v>70</v>
      </c>
    </row>
    <row r="11" spans="1:20" x14ac:dyDescent="0.2">
      <c r="A11" s="95" t="s">
        <v>65</v>
      </c>
      <c r="B11" s="95" t="s">
        <v>66</v>
      </c>
      <c r="C11" s="95" t="s">
        <v>67</v>
      </c>
      <c r="D11" s="95" t="s">
        <v>68</v>
      </c>
      <c r="E11" s="95" t="s">
        <v>68</v>
      </c>
      <c r="F11" s="95">
        <v>3</v>
      </c>
      <c r="G11" s="95">
        <v>13</v>
      </c>
      <c r="I11" s="95">
        <v>0.59</v>
      </c>
      <c r="J11" s="95">
        <v>0.01</v>
      </c>
      <c r="K11" s="95">
        <v>0.39</v>
      </c>
      <c r="L11" s="95">
        <v>1.28</v>
      </c>
      <c r="O11" s="95">
        <v>999</v>
      </c>
      <c r="P11" s="95">
        <v>2023</v>
      </c>
      <c r="R11" s="95" t="s">
        <v>69</v>
      </c>
      <c r="S11" s="95" t="s">
        <v>70</v>
      </c>
    </row>
    <row r="12" spans="1:20" x14ac:dyDescent="0.2">
      <c r="A12" s="95" t="s">
        <v>65</v>
      </c>
      <c r="B12" s="95" t="s">
        <v>66</v>
      </c>
      <c r="C12" s="95" t="s">
        <v>67</v>
      </c>
      <c r="D12" s="95" t="s">
        <v>81</v>
      </c>
      <c r="E12" s="95" t="s">
        <v>82</v>
      </c>
      <c r="F12" s="95">
        <v>0.5</v>
      </c>
      <c r="G12" s="95">
        <v>4.3</v>
      </c>
      <c r="I12" s="95">
        <v>1.21</v>
      </c>
      <c r="J12" s="95">
        <v>8.0000000000000002E-3</v>
      </c>
      <c r="K12" s="95">
        <v>0.31</v>
      </c>
      <c r="L12" s="95">
        <v>1.83</v>
      </c>
      <c r="O12" s="95">
        <v>999</v>
      </c>
      <c r="P12" s="95">
        <v>2023</v>
      </c>
      <c r="R12" s="95" t="s">
        <v>69</v>
      </c>
      <c r="S12" s="95" t="s">
        <v>70</v>
      </c>
    </row>
    <row r="13" spans="1:20" x14ac:dyDescent="0.2">
      <c r="A13" s="95" t="s">
        <v>65</v>
      </c>
      <c r="B13" s="95" t="s">
        <v>66</v>
      </c>
      <c r="C13" s="95" t="s">
        <v>67</v>
      </c>
      <c r="D13" s="95" t="s">
        <v>81</v>
      </c>
      <c r="E13" s="95" t="s">
        <v>82</v>
      </c>
      <c r="F13" s="95">
        <v>0.625</v>
      </c>
      <c r="G13" s="95">
        <v>6.5</v>
      </c>
      <c r="I13" s="95">
        <v>1.68</v>
      </c>
      <c r="J13" s="95">
        <v>8.0000000000000002E-3</v>
      </c>
      <c r="K13" s="95">
        <v>0.31</v>
      </c>
      <c r="L13" s="95">
        <v>2.35</v>
      </c>
      <c r="O13" s="95">
        <v>999</v>
      </c>
      <c r="P13" s="95">
        <v>2023</v>
      </c>
      <c r="R13" s="95" t="s">
        <v>69</v>
      </c>
      <c r="S13" s="95" t="s">
        <v>70</v>
      </c>
    </row>
    <row r="14" spans="1:20" x14ac:dyDescent="0.2">
      <c r="A14" s="95" t="s">
        <v>65</v>
      </c>
      <c r="B14" s="95" t="s">
        <v>66</v>
      </c>
      <c r="C14" s="95" t="s">
        <v>67</v>
      </c>
      <c r="D14" s="95" t="s">
        <v>81</v>
      </c>
      <c r="E14" s="95" t="s">
        <v>82</v>
      </c>
      <c r="F14" s="95">
        <v>0.75</v>
      </c>
      <c r="G14" s="95">
        <v>8.6999999999999993</v>
      </c>
      <c r="I14" s="95">
        <v>2.27</v>
      </c>
      <c r="J14" s="95">
        <v>8.9999999999999993E-3</v>
      </c>
      <c r="K14" s="95">
        <v>0.35</v>
      </c>
      <c r="L14" s="95">
        <v>3.07</v>
      </c>
      <c r="O14" s="95">
        <v>999</v>
      </c>
      <c r="P14" s="95">
        <v>2023</v>
      </c>
      <c r="R14" s="95" t="s">
        <v>69</v>
      </c>
      <c r="S14" s="95" t="s">
        <v>70</v>
      </c>
    </row>
    <row r="15" spans="1:20" x14ac:dyDescent="0.2">
      <c r="A15" s="95" t="s">
        <v>65</v>
      </c>
      <c r="B15" s="95" t="s">
        <v>66</v>
      </c>
      <c r="C15" s="95" t="s">
        <v>67</v>
      </c>
      <c r="D15" s="95" t="s">
        <v>81</v>
      </c>
      <c r="E15" s="95" t="s">
        <v>82</v>
      </c>
      <c r="F15" s="95">
        <v>1</v>
      </c>
      <c r="G15" s="95">
        <v>10.9</v>
      </c>
      <c r="I15" s="95">
        <v>2.64</v>
      </c>
      <c r="J15" s="95">
        <v>0.01</v>
      </c>
      <c r="K15" s="95">
        <v>0.39</v>
      </c>
      <c r="L15" s="95">
        <v>3.53</v>
      </c>
      <c r="O15" s="95">
        <v>999</v>
      </c>
      <c r="P15" s="95">
        <v>2023</v>
      </c>
      <c r="R15" s="95" t="s">
        <v>69</v>
      </c>
      <c r="S15" s="95" t="s">
        <v>70</v>
      </c>
    </row>
    <row r="16" spans="1:20" x14ac:dyDescent="0.2">
      <c r="A16" s="95" t="s">
        <v>65</v>
      </c>
      <c r="B16" s="95" t="s">
        <v>66</v>
      </c>
      <c r="C16" s="95" t="s">
        <v>67</v>
      </c>
      <c r="D16" s="95" t="s">
        <v>81</v>
      </c>
      <c r="E16" s="95" t="s">
        <v>82</v>
      </c>
      <c r="F16" s="95">
        <v>1.5</v>
      </c>
      <c r="G16" s="95">
        <v>13</v>
      </c>
      <c r="I16" s="95">
        <v>0.56999999999999995</v>
      </c>
      <c r="J16" s="95">
        <v>0.01</v>
      </c>
      <c r="K16" s="95">
        <v>0.39</v>
      </c>
      <c r="L16" s="95">
        <v>1.26</v>
      </c>
      <c r="O16" s="95">
        <v>999</v>
      </c>
      <c r="P16" s="95">
        <v>2023</v>
      </c>
      <c r="R16" s="95" t="s">
        <v>69</v>
      </c>
      <c r="S16" s="95" t="s">
        <v>70</v>
      </c>
    </row>
    <row r="17" spans="1:19" x14ac:dyDescent="0.2">
      <c r="A17" s="95" t="s">
        <v>65</v>
      </c>
      <c r="B17" s="95" t="s">
        <v>66</v>
      </c>
      <c r="C17" s="95" t="s">
        <v>84</v>
      </c>
      <c r="D17" s="95" t="s">
        <v>81</v>
      </c>
      <c r="E17" s="95" t="s">
        <v>82</v>
      </c>
      <c r="F17" s="95">
        <v>1</v>
      </c>
      <c r="G17" s="95">
        <v>2.77</v>
      </c>
      <c r="I17" s="95">
        <v>0.71</v>
      </c>
      <c r="J17" s="95">
        <v>0.01</v>
      </c>
      <c r="K17" s="95">
        <v>0.39</v>
      </c>
      <c r="L17" s="95">
        <v>1.41</v>
      </c>
      <c r="O17" s="95">
        <v>999</v>
      </c>
      <c r="P17" s="95">
        <v>2023</v>
      </c>
      <c r="R17" s="95" t="s">
        <v>69</v>
      </c>
      <c r="S17" s="95" t="s">
        <v>70</v>
      </c>
    </row>
    <row r="18" spans="1:19" x14ac:dyDescent="0.2">
      <c r="A18" s="95" t="s">
        <v>65</v>
      </c>
      <c r="B18" s="95" t="s">
        <v>66</v>
      </c>
      <c r="C18" s="95" t="s">
        <v>84</v>
      </c>
      <c r="D18" s="95" t="s">
        <v>81</v>
      </c>
      <c r="E18" s="95" t="s">
        <v>82</v>
      </c>
      <c r="F18" s="95">
        <v>2</v>
      </c>
      <c r="G18" s="95">
        <v>5.55</v>
      </c>
      <c r="I18" s="95">
        <v>1.26</v>
      </c>
      <c r="J18" s="95">
        <v>1.0999999999999999E-2</v>
      </c>
      <c r="K18" s="95">
        <v>0.42</v>
      </c>
      <c r="L18" s="95">
        <v>2.08</v>
      </c>
      <c r="O18" s="95">
        <v>999</v>
      </c>
      <c r="P18" s="95">
        <v>2023</v>
      </c>
      <c r="R18" s="95" t="s">
        <v>69</v>
      </c>
      <c r="S18" s="95" t="s">
        <v>70</v>
      </c>
    </row>
    <row r="19" spans="1:19" x14ac:dyDescent="0.2">
      <c r="A19" s="95" t="s">
        <v>65</v>
      </c>
      <c r="B19" s="95" t="s">
        <v>66</v>
      </c>
      <c r="C19" s="95" t="s">
        <v>84</v>
      </c>
      <c r="D19" s="95" t="s">
        <v>81</v>
      </c>
      <c r="E19" s="95" t="s">
        <v>82</v>
      </c>
      <c r="F19" s="95">
        <v>1</v>
      </c>
      <c r="G19" s="95">
        <v>5</v>
      </c>
      <c r="I19" s="95">
        <v>1.26</v>
      </c>
      <c r="J19" s="95">
        <v>0.01</v>
      </c>
      <c r="K19" s="95">
        <v>0.39</v>
      </c>
      <c r="L19" s="95">
        <v>2.02</v>
      </c>
      <c r="O19" s="95">
        <v>999</v>
      </c>
      <c r="P19" s="95">
        <v>2023</v>
      </c>
      <c r="R19" s="95" t="s">
        <v>69</v>
      </c>
      <c r="S19" s="95" t="s">
        <v>70</v>
      </c>
    </row>
    <row r="20" spans="1:19" x14ac:dyDescent="0.2">
      <c r="A20" s="95" t="s">
        <v>65</v>
      </c>
      <c r="B20" s="95" t="s">
        <v>66</v>
      </c>
      <c r="C20" s="95" t="s">
        <v>84</v>
      </c>
      <c r="D20" s="95" t="s">
        <v>81</v>
      </c>
      <c r="E20" s="95" t="s">
        <v>82</v>
      </c>
      <c r="F20" s="95">
        <v>2</v>
      </c>
      <c r="G20" s="95">
        <v>10</v>
      </c>
      <c r="I20" s="95">
        <v>1.91</v>
      </c>
      <c r="J20" s="95">
        <v>1.0999999999999999E-2</v>
      </c>
      <c r="K20" s="95">
        <v>0.42</v>
      </c>
      <c r="L20" s="95">
        <v>2.79</v>
      </c>
      <c r="O20" s="95">
        <v>999</v>
      </c>
      <c r="P20" s="95">
        <v>2023</v>
      </c>
      <c r="R20" s="95" t="s">
        <v>69</v>
      </c>
      <c r="S20" s="95" t="s">
        <v>70</v>
      </c>
    </row>
    <row r="21" spans="1:19" x14ac:dyDescent="0.2">
      <c r="A21" s="95" t="s">
        <v>65</v>
      </c>
      <c r="B21" s="95" t="s">
        <v>66</v>
      </c>
      <c r="C21" s="95" t="s">
        <v>84</v>
      </c>
      <c r="D21" s="95" t="s">
        <v>81</v>
      </c>
      <c r="E21" s="95" t="s">
        <v>82</v>
      </c>
      <c r="F21" s="95">
        <v>3</v>
      </c>
      <c r="G21" s="95">
        <v>15</v>
      </c>
      <c r="I21" s="95">
        <v>3.05</v>
      </c>
      <c r="J21" s="95">
        <v>1.0999999999999999E-2</v>
      </c>
      <c r="K21" s="95">
        <v>0.42</v>
      </c>
      <c r="L21" s="95">
        <v>4.05</v>
      </c>
      <c r="O21" s="95">
        <v>999</v>
      </c>
      <c r="P21" s="95">
        <v>2023</v>
      </c>
      <c r="R21" s="95" t="s">
        <v>69</v>
      </c>
      <c r="S21" s="95" t="s">
        <v>70</v>
      </c>
    </row>
    <row r="22" spans="1:19" x14ac:dyDescent="0.2">
      <c r="A22" s="95" t="s">
        <v>65</v>
      </c>
      <c r="B22" s="95" t="s">
        <v>66</v>
      </c>
      <c r="C22" s="95" t="s">
        <v>84</v>
      </c>
      <c r="D22" s="95" t="s">
        <v>81</v>
      </c>
      <c r="E22" s="95" t="s">
        <v>82</v>
      </c>
      <c r="F22" s="95">
        <v>1</v>
      </c>
      <c r="G22" s="95">
        <v>3.85</v>
      </c>
      <c r="I22" s="95">
        <v>0.34</v>
      </c>
      <c r="J22" s="95">
        <v>0.01</v>
      </c>
      <c r="K22" s="95">
        <v>0.39</v>
      </c>
      <c r="L22" s="95">
        <v>1</v>
      </c>
      <c r="O22" s="95">
        <v>999</v>
      </c>
      <c r="P22" s="95">
        <v>2023</v>
      </c>
      <c r="R22" s="95" t="s">
        <v>69</v>
      </c>
      <c r="S22" s="95" t="s">
        <v>70</v>
      </c>
    </row>
    <row r="23" spans="1:19" x14ac:dyDescent="0.2">
      <c r="A23" s="95" t="s">
        <v>65</v>
      </c>
      <c r="B23" s="95" t="s">
        <v>66</v>
      </c>
      <c r="C23" s="95" t="s">
        <v>84</v>
      </c>
      <c r="D23" s="95" t="s">
        <v>81</v>
      </c>
      <c r="E23" s="95" t="s">
        <v>82</v>
      </c>
      <c r="F23" s="95">
        <v>2</v>
      </c>
      <c r="G23" s="95">
        <v>7.69</v>
      </c>
      <c r="I23" s="95">
        <v>0.68</v>
      </c>
      <c r="J23" s="95">
        <v>1.0999999999999999E-2</v>
      </c>
      <c r="K23" s="95">
        <v>0.42</v>
      </c>
      <c r="L23" s="95">
        <v>1.44</v>
      </c>
      <c r="O23" s="95">
        <v>999</v>
      </c>
      <c r="P23" s="95">
        <v>2023</v>
      </c>
      <c r="R23" s="95" t="s">
        <v>69</v>
      </c>
      <c r="S23" s="95" t="s">
        <v>70</v>
      </c>
    </row>
    <row r="24" spans="1:19" x14ac:dyDescent="0.2">
      <c r="A24" s="95" t="s">
        <v>65</v>
      </c>
      <c r="B24" s="95" t="s">
        <v>66</v>
      </c>
      <c r="C24" s="95" t="s">
        <v>84</v>
      </c>
      <c r="D24" s="95" t="s">
        <v>81</v>
      </c>
      <c r="E24" s="95" t="s">
        <v>82</v>
      </c>
      <c r="F24" s="95">
        <v>3</v>
      </c>
      <c r="G24" s="95">
        <v>11.49</v>
      </c>
      <c r="I24" s="95">
        <v>1.02</v>
      </c>
      <c r="J24" s="95">
        <v>1.0999999999999999E-2</v>
      </c>
      <c r="K24" s="95">
        <v>0.42</v>
      </c>
      <c r="L24" s="95">
        <v>1.81</v>
      </c>
      <c r="O24" s="95">
        <v>999</v>
      </c>
      <c r="P24" s="95">
        <v>2023</v>
      </c>
      <c r="R24" s="95" t="s">
        <v>69</v>
      </c>
      <c r="S24" s="95" t="s">
        <v>70</v>
      </c>
    </row>
    <row r="25" spans="1:19" x14ac:dyDescent="0.2">
      <c r="A25" s="95" t="s">
        <v>65</v>
      </c>
      <c r="B25" s="95" t="s">
        <v>66</v>
      </c>
      <c r="C25" s="95" t="s">
        <v>85</v>
      </c>
      <c r="D25" s="95" t="s">
        <v>68</v>
      </c>
      <c r="E25" s="95" t="s">
        <v>68</v>
      </c>
      <c r="F25" s="95">
        <v>1</v>
      </c>
      <c r="G25" s="95">
        <v>4</v>
      </c>
      <c r="I25" s="95">
        <v>0.34</v>
      </c>
      <c r="J25" s="95">
        <v>1.2E-2</v>
      </c>
      <c r="K25" s="95">
        <v>0.45</v>
      </c>
      <c r="L25" s="95">
        <v>1.1100000000000001</v>
      </c>
      <c r="O25" s="95">
        <v>999</v>
      </c>
      <c r="P25" s="95">
        <v>2023</v>
      </c>
      <c r="R25" s="95" t="s">
        <v>69</v>
      </c>
      <c r="S25" s="95" t="s">
        <v>70</v>
      </c>
    </row>
    <row r="26" spans="1:19" x14ac:dyDescent="0.2">
      <c r="A26" s="95" t="s">
        <v>65</v>
      </c>
      <c r="B26" s="95" t="s">
        <v>66</v>
      </c>
      <c r="C26" s="95" t="s">
        <v>85</v>
      </c>
      <c r="D26" s="95" t="s">
        <v>68</v>
      </c>
      <c r="E26" s="95" t="s">
        <v>68</v>
      </c>
      <c r="F26" s="95">
        <v>2</v>
      </c>
      <c r="G26" s="95">
        <v>8</v>
      </c>
      <c r="I26" s="95">
        <v>0.68</v>
      </c>
      <c r="J26" s="95">
        <v>1.2E-2</v>
      </c>
      <c r="K26" s="95">
        <v>0.46</v>
      </c>
      <c r="L26" s="95">
        <v>1.5</v>
      </c>
      <c r="O26" s="95">
        <v>999</v>
      </c>
      <c r="P26" s="95">
        <v>2023</v>
      </c>
      <c r="R26" s="95" t="s">
        <v>69</v>
      </c>
      <c r="S26" s="95" t="s">
        <v>70</v>
      </c>
    </row>
    <row r="27" spans="1:19" x14ac:dyDescent="0.2">
      <c r="A27" s="95" t="s">
        <v>65</v>
      </c>
      <c r="B27" s="95" t="s">
        <v>66</v>
      </c>
      <c r="C27" s="95" t="s">
        <v>86</v>
      </c>
      <c r="D27" s="95" t="s">
        <v>68</v>
      </c>
      <c r="E27" s="95" t="s">
        <v>68</v>
      </c>
      <c r="F27" s="95">
        <v>1</v>
      </c>
      <c r="G27" s="95">
        <v>4</v>
      </c>
      <c r="I27" s="95">
        <v>0.34</v>
      </c>
      <c r="J27" s="95">
        <v>1.2E-2</v>
      </c>
      <c r="K27" s="95">
        <v>0.45</v>
      </c>
      <c r="L27" s="95">
        <v>1.1100000000000001</v>
      </c>
      <c r="O27" s="95">
        <v>999</v>
      </c>
      <c r="P27" s="95">
        <v>2023</v>
      </c>
      <c r="R27" s="95" t="s">
        <v>69</v>
      </c>
      <c r="S27" s="95" t="s">
        <v>70</v>
      </c>
    </row>
    <row r="28" spans="1:19" x14ac:dyDescent="0.2">
      <c r="A28" s="95" t="s">
        <v>65</v>
      </c>
      <c r="B28" s="95" t="s">
        <v>66</v>
      </c>
      <c r="C28" s="95" t="s">
        <v>86</v>
      </c>
      <c r="D28" s="95" t="s">
        <v>68</v>
      </c>
      <c r="E28" s="95" t="s">
        <v>68</v>
      </c>
      <c r="F28" s="95">
        <v>2</v>
      </c>
      <c r="G28" s="95">
        <v>8</v>
      </c>
      <c r="I28" s="95">
        <v>0.68</v>
      </c>
      <c r="J28" s="95">
        <v>1.2E-2</v>
      </c>
      <c r="K28" s="95">
        <v>0.46</v>
      </c>
      <c r="L28" s="95">
        <v>1.5</v>
      </c>
      <c r="O28" s="95">
        <v>999</v>
      </c>
      <c r="P28" s="95">
        <v>2023</v>
      </c>
      <c r="R28" s="95" t="s">
        <v>69</v>
      </c>
      <c r="S28" s="95" t="s">
        <v>70</v>
      </c>
    </row>
    <row r="29" spans="1:19" x14ac:dyDescent="0.2">
      <c r="A29" s="95" t="s">
        <v>73</v>
      </c>
      <c r="B29" s="95" t="s">
        <v>69</v>
      </c>
      <c r="C29" s="95" t="s">
        <v>67</v>
      </c>
      <c r="D29" s="95" t="s">
        <v>81</v>
      </c>
      <c r="E29" s="95" t="s">
        <v>89</v>
      </c>
      <c r="F29" s="95">
        <v>3.5</v>
      </c>
      <c r="G29" s="95">
        <v>11</v>
      </c>
      <c r="I29" s="95">
        <v>0.53</v>
      </c>
      <c r="J29" s="95">
        <v>6.0000000000000001E-3</v>
      </c>
      <c r="K29" s="95">
        <v>0.23</v>
      </c>
      <c r="L29" s="95">
        <v>0.95</v>
      </c>
      <c r="O29" s="95">
        <v>999</v>
      </c>
      <c r="P29" s="95">
        <v>2023</v>
      </c>
      <c r="R29" s="95" t="s">
        <v>69</v>
      </c>
      <c r="S29" s="95" t="s">
        <v>70</v>
      </c>
    </row>
    <row r="30" spans="1:19" x14ac:dyDescent="0.2">
      <c r="A30" s="95" t="s">
        <v>73</v>
      </c>
      <c r="B30" s="95" t="s">
        <v>69</v>
      </c>
      <c r="C30" s="95" t="s">
        <v>67</v>
      </c>
      <c r="D30" s="95" t="s">
        <v>81</v>
      </c>
      <c r="E30" s="95" t="s">
        <v>89</v>
      </c>
      <c r="F30" s="95">
        <v>3.5</v>
      </c>
      <c r="G30" s="95">
        <v>13</v>
      </c>
      <c r="I30" s="95">
        <v>0.85</v>
      </c>
      <c r="J30" s="95">
        <v>7.0000000000000001E-3</v>
      </c>
      <c r="K30" s="95">
        <v>0.27</v>
      </c>
      <c r="L30" s="95">
        <v>1.38</v>
      </c>
      <c r="O30" s="95">
        <v>999</v>
      </c>
      <c r="P30" s="95">
        <v>2023</v>
      </c>
      <c r="R30" s="95" t="s">
        <v>69</v>
      </c>
      <c r="S30" s="95" t="s">
        <v>70</v>
      </c>
    </row>
    <row r="31" spans="1:19" x14ac:dyDescent="0.2">
      <c r="A31" s="95" t="s">
        <v>73</v>
      </c>
      <c r="B31" s="95" t="s">
        <v>69</v>
      </c>
      <c r="C31" s="95" t="s">
        <v>67</v>
      </c>
      <c r="D31" s="95" t="s">
        <v>81</v>
      </c>
      <c r="E31" s="95" t="s">
        <v>89</v>
      </c>
      <c r="F31" s="95">
        <v>3.5</v>
      </c>
      <c r="G31" s="95">
        <v>15</v>
      </c>
      <c r="I31" s="95">
        <v>0.87</v>
      </c>
      <c r="J31" s="95">
        <v>7.0000000000000001E-3</v>
      </c>
      <c r="K31" s="95">
        <v>0.27</v>
      </c>
      <c r="L31" s="95">
        <v>1.4</v>
      </c>
      <c r="O31" s="95">
        <v>999</v>
      </c>
      <c r="P31" s="95">
        <v>2023</v>
      </c>
      <c r="R31" s="95" t="s">
        <v>69</v>
      </c>
      <c r="S31" s="95" t="s">
        <v>70</v>
      </c>
    </row>
    <row r="32" spans="1:19" x14ac:dyDescent="0.2">
      <c r="A32" s="95" t="s">
        <v>73</v>
      </c>
      <c r="B32" s="95" t="s">
        <v>69</v>
      </c>
      <c r="C32" s="95" t="s">
        <v>67</v>
      </c>
      <c r="D32" s="95" t="s">
        <v>81</v>
      </c>
      <c r="E32" s="95" t="s">
        <v>89</v>
      </c>
      <c r="F32" s="95">
        <v>6</v>
      </c>
      <c r="G32" s="95">
        <v>19</v>
      </c>
      <c r="I32" s="95">
        <v>0.95</v>
      </c>
      <c r="J32" s="95">
        <v>7.0000000000000001E-3</v>
      </c>
      <c r="K32" s="95">
        <v>0.27</v>
      </c>
      <c r="L32" s="95">
        <v>1.49</v>
      </c>
      <c r="O32" s="95">
        <v>999</v>
      </c>
      <c r="P32" s="95">
        <v>2023</v>
      </c>
      <c r="R32" s="95" t="s">
        <v>69</v>
      </c>
      <c r="S32" s="95" t="s">
        <v>70</v>
      </c>
    </row>
    <row r="33" spans="1:19" x14ac:dyDescent="0.2">
      <c r="A33" s="95" t="s">
        <v>73</v>
      </c>
      <c r="B33" s="95" t="s">
        <v>69</v>
      </c>
      <c r="C33" s="95" t="s">
        <v>67</v>
      </c>
      <c r="D33" s="95" t="s">
        <v>81</v>
      </c>
      <c r="E33" s="95" t="s">
        <v>89</v>
      </c>
      <c r="F33" s="95">
        <v>9</v>
      </c>
      <c r="G33" s="95">
        <v>30</v>
      </c>
      <c r="I33" s="95">
        <v>1</v>
      </c>
      <c r="J33" s="95">
        <v>6.0000000000000001E-3</v>
      </c>
      <c r="K33" s="95">
        <v>0.23</v>
      </c>
      <c r="L33" s="95">
        <v>1.47</v>
      </c>
      <c r="O33" s="95">
        <v>999</v>
      </c>
      <c r="P33" s="95">
        <v>2023</v>
      </c>
      <c r="R33" s="95" t="s">
        <v>69</v>
      </c>
      <c r="S33" s="95" t="s">
        <v>70</v>
      </c>
    </row>
    <row r="34" spans="1:19" x14ac:dyDescent="0.2">
      <c r="A34" s="95" t="s">
        <v>73</v>
      </c>
      <c r="B34" s="95" t="s">
        <v>69</v>
      </c>
      <c r="C34" s="95" t="s">
        <v>67</v>
      </c>
      <c r="D34" s="95" t="s">
        <v>81</v>
      </c>
      <c r="E34" s="95" t="s">
        <v>89</v>
      </c>
      <c r="F34" s="95">
        <v>12</v>
      </c>
      <c r="G34" s="95">
        <v>38</v>
      </c>
      <c r="I34" s="95">
        <v>1.58</v>
      </c>
      <c r="J34" s="95">
        <v>6.0000000000000001E-3</v>
      </c>
      <c r="K34" s="95">
        <v>0.23</v>
      </c>
      <c r="L34" s="95">
        <v>2.11</v>
      </c>
      <c r="O34" s="95">
        <v>999</v>
      </c>
      <c r="P34" s="95">
        <v>2023</v>
      </c>
      <c r="R34" s="95" t="s">
        <v>69</v>
      </c>
      <c r="S34" s="95" t="s">
        <v>70</v>
      </c>
    </row>
    <row r="35" spans="1:19" x14ac:dyDescent="0.2">
      <c r="A35" s="95" t="s">
        <v>73</v>
      </c>
      <c r="B35" s="95" t="s">
        <v>69</v>
      </c>
      <c r="C35" s="95" t="s">
        <v>67</v>
      </c>
      <c r="D35" s="95" t="s">
        <v>81</v>
      </c>
      <c r="E35" s="95" t="s">
        <v>90</v>
      </c>
      <c r="F35" s="95">
        <v>3.5</v>
      </c>
      <c r="G35" s="95">
        <v>13</v>
      </c>
      <c r="I35" s="95">
        <v>0.71</v>
      </c>
      <c r="J35" s="95">
        <v>7.0000000000000001E-3</v>
      </c>
      <c r="K35" s="95">
        <v>0.27</v>
      </c>
      <c r="L35" s="95">
        <v>1.22</v>
      </c>
      <c r="O35" s="95">
        <v>999</v>
      </c>
      <c r="P35" s="95">
        <v>2023</v>
      </c>
      <c r="R35" s="95" t="s">
        <v>69</v>
      </c>
      <c r="S35" s="95" t="s">
        <v>70</v>
      </c>
    </row>
    <row r="36" spans="1:19" x14ac:dyDescent="0.2">
      <c r="A36" s="95" t="s">
        <v>73</v>
      </c>
      <c r="B36" s="95" t="s">
        <v>69</v>
      </c>
      <c r="C36" s="95" t="s">
        <v>67</v>
      </c>
      <c r="D36" s="95" t="s">
        <v>81</v>
      </c>
      <c r="E36" s="95" t="s">
        <v>90</v>
      </c>
      <c r="F36" s="95">
        <v>3.5</v>
      </c>
      <c r="G36" s="95">
        <v>15</v>
      </c>
      <c r="I36" s="95">
        <v>0.53</v>
      </c>
      <c r="J36" s="95">
        <v>7.0000000000000001E-3</v>
      </c>
      <c r="K36" s="95">
        <v>0.27</v>
      </c>
      <c r="L36" s="95">
        <v>1.02</v>
      </c>
      <c r="O36" s="95">
        <v>999</v>
      </c>
      <c r="P36" s="95">
        <v>2023</v>
      </c>
      <c r="R36" s="95" t="s">
        <v>69</v>
      </c>
      <c r="S36" s="95" t="s">
        <v>70</v>
      </c>
    </row>
    <row r="37" spans="1:19" x14ac:dyDescent="0.2">
      <c r="A37" s="95" t="s">
        <v>73</v>
      </c>
      <c r="B37" s="95" t="s">
        <v>69</v>
      </c>
      <c r="C37" s="95" t="s">
        <v>67</v>
      </c>
      <c r="D37" s="95" t="s">
        <v>81</v>
      </c>
      <c r="E37" s="95" t="s">
        <v>90</v>
      </c>
      <c r="F37" s="95">
        <v>6</v>
      </c>
      <c r="G37" s="95">
        <v>19</v>
      </c>
      <c r="I37" s="95">
        <v>0.89</v>
      </c>
      <c r="J37" s="95">
        <v>5.0000000000000001E-3</v>
      </c>
      <c r="K37" s="95">
        <v>0.19</v>
      </c>
      <c r="L37" s="95">
        <v>1.29</v>
      </c>
      <c r="O37" s="95">
        <v>999</v>
      </c>
      <c r="P37" s="95">
        <v>2023</v>
      </c>
      <c r="R37" s="95" t="s">
        <v>69</v>
      </c>
      <c r="S37" s="95" t="s">
        <v>70</v>
      </c>
    </row>
    <row r="38" spans="1:19" x14ac:dyDescent="0.2">
      <c r="A38" s="95" t="s">
        <v>73</v>
      </c>
      <c r="B38" s="95" t="s">
        <v>69</v>
      </c>
      <c r="C38" s="95" t="s">
        <v>67</v>
      </c>
      <c r="D38" s="95" t="s">
        <v>81</v>
      </c>
      <c r="E38" s="95" t="s">
        <v>90</v>
      </c>
      <c r="F38" s="95">
        <v>6</v>
      </c>
      <c r="G38" s="95">
        <v>21</v>
      </c>
      <c r="I38" s="95">
        <v>1.26</v>
      </c>
      <c r="J38" s="95">
        <v>7.0000000000000001E-3</v>
      </c>
      <c r="K38" s="95">
        <v>0.27</v>
      </c>
      <c r="L38" s="95">
        <v>1.83</v>
      </c>
      <c r="O38" s="95">
        <v>999</v>
      </c>
      <c r="P38" s="95">
        <v>2023</v>
      </c>
      <c r="R38" s="95" t="s">
        <v>69</v>
      </c>
      <c r="S38" s="95" t="s">
        <v>70</v>
      </c>
    </row>
    <row r="39" spans="1:19" x14ac:dyDescent="0.2">
      <c r="A39" s="95" t="s">
        <v>73</v>
      </c>
      <c r="B39" s="95" t="s">
        <v>69</v>
      </c>
      <c r="C39" s="95" t="s">
        <v>67</v>
      </c>
      <c r="D39" s="95" t="s">
        <v>81</v>
      </c>
      <c r="E39" s="95" t="s">
        <v>90</v>
      </c>
      <c r="F39" s="95">
        <v>9</v>
      </c>
      <c r="G39" s="95">
        <v>30</v>
      </c>
      <c r="I39" s="95">
        <v>1.19</v>
      </c>
      <c r="J39" s="95">
        <v>6.0000000000000001E-3</v>
      </c>
      <c r="K39" s="95">
        <v>0.23</v>
      </c>
      <c r="L39" s="95">
        <v>1.68</v>
      </c>
      <c r="O39" s="95">
        <v>999</v>
      </c>
      <c r="P39" s="95">
        <v>2023</v>
      </c>
      <c r="R39" s="95" t="s">
        <v>69</v>
      </c>
      <c r="S39" s="95" t="s">
        <v>70</v>
      </c>
    </row>
    <row r="40" spans="1:19" x14ac:dyDescent="0.2">
      <c r="A40" s="95" t="s">
        <v>73</v>
      </c>
      <c r="B40" s="95" t="s">
        <v>69</v>
      </c>
      <c r="C40" s="95" t="s">
        <v>67</v>
      </c>
      <c r="D40" s="95" t="s">
        <v>68</v>
      </c>
      <c r="E40" s="95" t="s">
        <v>68</v>
      </c>
      <c r="F40" s="95">
        <v>3.5</v>
      </c>
      <c r="G40" s="95">
        <v>13</v>
      </c>
      <c r="I40" s="95">
        <v>0.59</v>
      </c>
      <c r="J40" s="95">
        <v>7.0000000000000001E-3</v>
      </c>
      <c r="K40" s="95">
        <v>0.27</v>
      </c>
      <c r="L40" s="95">
        <v>1.0900000000000001</v>
      </c>
      <c r="O40" s="95">
        <v>999</v>
      </c>
      <c r="P40" s="95">
        <v>2023</v>
      </c>
      <c r="R40" s="95" t="s">
        <v>69</v>
      </c>
      <c r="S40" s="95" t="s">
        <v>70</v>
      </c>
    </row>
    <row r="41" spans="1:19" x14ac:dyDescent="0.2">
      <c r="A41" s="95" t="s">
        <v>73</v>
      </c>
      <c r="B41" s="95" t="s">
        <v>69</v>
      </c>
      <c r="C41" s="95" t="s">
        <v>67</v>
      </c>
      <c r="D41" s="95" t="s">
        <v>68</v>
      </c>
      <c r="E41" s="95" t="s">
        <v>68</v>
      </c>
      <c r="F41" s="95">
        <v>3.5</v>
      </c>
      <c r="G41" s="95">
        <v>15</v>
      </c>
      <c r="I41" s="95">
        <v>0.92</v>
      </c>
      <c r="J41" s="95">
        <v>7.0000000000000001E-3</v>
      </c>
      <c r="K41" s="95">
        <v>0.27</v>
      </c>
      <c r="L41" s="95">
        <v>1.45</v>
      </c>
      <c r="O41" s="95">
        <v>999</v>
      </c>
      <c r="P41" s="95">
        <v>2023</v>
      </c>
      <c r="R41" s="95" t="s">
        <v>69</v>
      </c>
      <c r="S41" s="95" t="s">
        <v>70</v>
      </c>
    </row>
    <row r="42" spans="1:19" x14ac:dyDescent="0.2">
      <c r="A42" s="95" t="s">
        <v>73</v>
      </c>
      <c r="B42" s="95" t="s">
        <v>69</v>
      </c>
      <c r="C42" s="95" t="s">
        <v>67</v>
      </c>
      <c r="D42" s="95" t="s">
        <v>68</v>
      </c>
      <c r="E42" s="95" t="s">
        <v>68</v>
      </c>
      <c r="F42" s="95">
        <v>6</v>
      </c>
      <c r="G42" s="95">
        <v>19</v>
      </c>
      <c r="I42" s="95">
        <v>0.93</v>
      </c>
      <c r="J42" s="95">
        <v>6.0000000000000001E-3</v>
      </c>
      <c r="K42" s="95">
        <v>0.23</v>
      </c>
      <c r="L42" s="95">
        <v>1.39</v>
      </c>
      <c r="O42" s="95">
        <v>999</v>
      </c>
      <c r="P42" s="95">
        <v>2023</v>
      </c>
      <c r="R42" s="95" t="s">
        <v>69</v>
      </c>
      <c r="S42" s="95" t="s">
        <v>70</v>
      </c>
    </row>
    <row r="43" spans="1:19" x14ac:dyDescent="0.2">
      <c r="A43" s="95" t="s">
        <v>73</v>
      </c>
      <c r="B43" s="95" t="s">
        <v>69</v>
      </c>
      <c r="C43" s="95" t="s">
        <v>67</v>
      </c>
      <c r="D43" s="95" t="s">
        <v>68</v>
      </c>
      <c r="E43" s="95" t="s">
        <v>68</v>
      </c>
      <c r="F43" s="95">
        <v>9</v>
      </c>
      <c r="G43" s="95">
        <v>30</v>
      </c>
      <c r="I43" s="95">
        <v>1.5660000000000001</v>
      </c>
      <c r="J43" s="95">
        <v>7.0000000000000001E-3</v>
      </c>
      <c r="K43" s="95">
        <v>0.27</v>
      </c>
      <c r="L43" s="95">
        <v>2.16</v>
      </c>
      <c r="O43" s="95">
        <v>999</v>
      </c>
      <c r="P43" s="95">
        <v>2023</v>
      </c>
      <c r="R43" s="95" t="s">
        <v>69</v>
      </c>
      <c r="S43" s="95" t="s">
        <v>70</v>
      </c>
    </row>
    <row r="44" spans="1:19" x14ac:dyDescent="0.2">
      <c r="A44" s="95" t="s">
        <v>73</v>
      </c>
      <c r="B44" s="95" t="s">
        <v>69</v>
      </c>
      <c r="C44" s="95" t="s">
        <v>67</v>
      </c>
      <c r="D44" s="95" t="s">
        <v>68</v>
      </c>
      <c r="E44" s="95" t="s">
        <v>68</v>
      </c>
      <c r="F44" s="95">
        <v>12</v>
      </c>
      <c r="G44" s="95">
        <v>38</v>
      </c>
      <c r="I44" s="95">
        <v>1.82</v>
      </c>
      <c r="J44" s="95">
        <v>7.0000000000000001E-3</v>
      </c>
      <c r="K44" s="95">
        <v>0.27</v>
      </c>
      <c r="L44" s="95">
        <v>2.44</v>
      </c>
      <c r="O44" s="95">
        <v>999</v>
      </c>
      <c r="P44" s="95">
        <v>2023</v>
      </c>
      <c r="R44" s="95" t="s">
        <v>69</v>
      </c>
      <c r="S44" s="95" t="s">
        <v>70</v>
      </c>
    </row>
    <row r="45" spans="1:19" x14ac:dyDescent="0.2">
      <c r="A45" s="95" t="s">
        <v>73</v>
      </c>
      <c r="B45" s="95" t="s">
        <v>66</v>
      </c>
      <c r="C45" s="95" t="s">
        <v>91</v>
      </c>
      <c r="D45" s="95" t="s">
        <v>68</v>
      </c>
      <c r="E45" s="95" t="s">
        <v>68</v>
      </c>
      <c r="F45" s="95">
        <v>3.5</v>
      </c>
      <c r="G45" s="95">
        <v>15</v>
      </c>
      <c r="I45" s="95">
        <v>1.47</v>
      </c>
      <c r="J45" s="95">
        <v>5.0000000000000001E-3</v>
      </c>
      <c r="K45" s="95">
        <v>0.19</v>
      </c>
      <c r="L45" s="95">
        <v>1.93</v>
      </c>
      <c r="O45" s="95">
        <v>999</v>
      </c>
      <c r="P45" s="95">
        <v>2023</v>
      </c>
      <c r="R45" s="95" t="s">
        <v>92</v>
      </c>
      <c r="S45" s="95" t="s">
        <v>70</v>
      </c>
    </row>
    <row r="46" spans="1:19" x14ac:dyDescent="0.2">
      <c r="A46" s="95" t="s">
        <v>73</v>
      </c>
      <c r="B46" s="95" t="s">
        <v>66</v>
      </c>
      <c r="C46" s="95" t="s">
        <v>91</v>
      </c>
      <c r="D46" s="95" t="s">
        <v>68</v>
      </c>
      <c r="E46" s="95" t="s">
        <v>68</v>
      </c>
      <c r="F46" s="95">
        <v>5.5</v>
      </c>
      <c r="G46" s="95">
        <v>23</v>
      </c>
      <c r="I46" s="95">
        <v>2.31</v>
      </c>
      <c r="J46" s="95">
        <v>5.0000000000000001E-3</v>
      </c>
      <c r="K46" s="95">
        <v>0.19</v>
      </c>
      <c r="L46" s="95">
        <v>2.85</v>
      </c>
      <c r="O46" s="95">
        <v>999</v>
      </c>
      <c r="P46" s="95">
        <v>2023</v>
      </c>
      <c r="R46" s="95" t="s">
        <v>92</v>
      </c>
      <c r="S46" s="95" t="s">
        <v>70</v>
      </c>
    </row>
    <row r="47" spans="1:19" x14ac:dyDescent="0.2">
      <c r="A47" s="95" t="s">
        <v>73</v>
      </c>
      <c r="B47" s="95" t="s">
        <v>66</v>
      </c>
      <c r="C47" s="95" t="s">
        <v>91</v>
      </c>
      <c r="D47" s="95" t="s">
        <v>68</v>
      </c>
      <c r="E47" s="95" t="s">
        <v>68</v>
      </c>
      <c r="F47" s="95">
        <v>7.25</v>
      </c>
      <c r="G47" s="95">
        <v>30</v>
      </c>
      <c r="I47" s="95">
        <v>3.05</v>
      </c>
      <c r="J47" s="95">
        <v>6.0000000000000001E-3</v>
      </c>
      <c r="K47" s="95">
        <v>0.23</v>
      </c>
      <c r="L47" s="95">
        <v>3.72</v>
      </c>
      <c r="O47" s="95">
        <v>999</v>
      </c>
      <c r="P47" s="95">
        <v>2023</v>
      </c>
      <c r="R47" s="95" t="s">
        <v>92</v>
      </c>
      <c r="S47" s="95" t="s">
        <v>70</v>
      </c>
    </row>
    <row r="48" spans="1:19" x14ac:dyDescent="0.2">
      <c r="A48" s="95" t="s">
        <v>73</v>
      </c>
      <c r="B48" s="95" t="s">
        <v>66</v>
      </c>
      <c r="C48" s="95" t="s">
        <v>91</v>
      </c>
      <c r="D48" s="95" t="s">
        <v>68</v>
      </c>
      <c r="E48" s="95" t="s">
        <v>68</v>
      </c>
      <c r="G48" s="95">
        <v>13</v>
      </c>
      <c r="I48" s="95">
        <v>1.02</v>
      </c>
      <c r="J48" s="95">
        <v>5.0000000000000001E-3</v>
      </c>
      <c r="K48" s="95">
        <v>0.19</v>
      </c>
      <c r="L48" s="95">
        <v>1.43</v>
      </c>
      <c r="O48" s="95">
        <v>999</v>
      </c>
      <c r="P48" s="95">
        <v>2023</v>
      </c>
      <c r="R48" s="95" t="s">
        <v>92</v>
      </c>
      <c r="S48" s="95" t="s">
        <v>70</v>
      </c>
    </row>
    <row r="49" spans="1:20" x14ac:dyDescent="0.2">
      <c r="A49" s="95" t="s">
        <v>73</v>
      </c>
      <c r="B49" s="95" t="s">
        <v>66</v>
      </c>
      <c r="C49" s="95" t="s">
        <v>91</v>
      </c>
      <c r="D49" s="95" t="s">
        <v>68</v>
      </c>
      <c r="E49" s="95" t="s">
        <v>68</v>
      </c>
      <c r="G49" s="95">
        <v>19</v>
      </c>
      <c r="I49" s="95">
        <v>1.49</v>
      </c>
      <c r="J49" s="95">
        <v>5.0000000000000001E-3</v>
      </c>
      <c r="K49" s="95">
        <v>0.19</v>
      </c>
      <c r="L49" s="95">
        <v>1.95</v>
      </c>
      <c r="O49" s="95">
        <v>999</v>
      </c>
      <c r="P49" s="95">
        <v>2023</v>
      </c>
      <c r="R49" s="95" t="s">
        <v>92</v>
      </c>
      <c r="S49" s="95" t="s">
        <v>70</v>
      </c>
    </row>
    <row r="50" spans="1:20" x14ac:dyDescent="0.2">
      <c r="A50" s="95" t="s">
        <v>97</v>
      </c>
      <c r="B50" s="95" t="s">
        <v>66</v>
      </c>
      <c r="C50" s="95" t="s">
        <v>98</v>
      </c>
      <c r="D50" s="95" t="s">
        <v>68</v>
      </c>
      <c r="E50" s="95" t="s">
        <v>94</v>
      </c>
      <c r="F50" s="95">
        <v>1</v>
      </c>
      <c r="G50" s="95">
        <v>6.5</v>
      </c>
      <c r="I50" s="95">
        <v>0.86</v>
      </c>
      <c r="J50" s="95">
        <v>4.0000000000000001E-3</v>
      </c>
      <c r="K50" s="95">
        <v>0.12</v>
      </c>
      <c r="L50" s="95">
        <v>1.28</v>
      </c>
      <c r="O50" s="95">
        <v>999</v>
      </c>
      <c r="P50" s="95">
        <v>2023</v>
      </c>
      <c r="R50" s="95" t="s">
        <v>92</v>
      </c>
      <c r="S50" s="95" t="s">
        <v>70</v>
      </c>
    </row>
    <row r="51" spans="1:20" x14ac:dyDescent="0.2">
      <c r="A51" s="95" t="s">
        <v>97</v>
      </c>
      <c r="B51" s="95" t="s">
        <v>66</v>
      </c>
      <c r="C51" s="95" t="s">
        <v>98</v>
      </c>
      <c r="D51" s="95" t="s">
        <v>68</v>
      </c>
      <c r="E51" s="95" t="s">
        <v>94</v>
      </c>
      <c r="F51" s="95">
        <v>2</v>
      </c>
      <c r="G51" s="95">
        <v>13</v>
      </c>
      <c r="I51" s="95">
        <v>1.73</v>
      </c>
      <c r="J51" s="95">
        <v>8.0000000000000002E-3</v>
      </c>
      <c r="K51" s="95">
        <v>0.24</v>
      </c>
      <c r="L51" s="95">
        <v>2.57</v>
      </c>
      <c r="O51" s="95">
        <v>999</v>
      </c>
      <c r="P51" s="95">
        <v>2023</v>
      </c>
      <c r="R51" s="95" t="s">
        <v>92</v>
      </c>
      <c r="S51" s="95" t="s">
        <v>70</v>
      </c>
    </row>
    <row r="52" spans="1:20" x14ac:dyDescent="0.2">
      <c r="A52" s="95" t="s">
        <v>97</v>
      </c>
      <c r="B52" s="95" t="s">
        <v>66</v>
      </c>
      <c r="C52" s="95" t="s">
        <v>98</v>
      </c>
      <c r="D52" s="95" t="s">
        <v>68</v>
      </c>
      <c r="E52" s="95" t="s">
        <v>94</v>
      </c>
      <c r="F52" s="95">
        <v>3</v>
      </c>
      <c r="G52" s="95">
        <v>19.5</v>
      </c>
      <c r="I52" s="95">
        <v>2.59</v>
      </c>
      <c r="J52" s="95">
        <v>1.2E-2</v>
      </c>
      <c r="K52" s="95">
        <v>0.35</v>
      </c>
      <c r="L52" s="95">
        <v>3.85</v>
      </c>
      <c r="O52" s="95">
        <v>999</v>
      </c>
      <c r="P52" s="95">
        <v>2023</v>
      </c>
      <c r="R52" s="95" t="s">
        <v>92</v>
      </c>
      <c r="S52" s="95" t="s">
        <v>70</v>
      </c>
    </row>
    <row r="53" spans="1:20" x14ac:dyDescent="0.2">
      <c r="A53" s="95" t="s">
        <v>97</v>
      </c>
      <c r="B53" s="95" t="s">
        <v>66</v>
      </c>
      <c r="C53" s="95" t="s">
        <v>98</v>
      </c>
      <c r="D53" s="95" t="s">
        <v>68</v>
      </c>
      <c r="E53" s="95" t="s">
        <v>94</v>
      </c>
      <c r="F53" s="95">
        <v>3.5</v>
      </c>
      <c r="G53" s="95">
        <v>22.75</v>
      </c>
      <c r="I53" s="95">
        <v>3.02</v>
      </c>
      <c r="J53" s="95">
        <v>1.4E-2</v>
      </c>
      <c r="K53" s="95">
        <v>0.41</v>
      </c>
      <c r="L53" s="95">
        <v>4.4800000000000004</v>
      </c>
      <c r="O53" s="95">
        <v>999</v>
      </c>
      <c r="P53" s="95">
        <v>2023</v>
      </c>
      <c r="R53" s="95" t="s">
        <v>92</v>
      </c>
      <c r="S53" s="95" t="s">
        <v>70</v>
      </c>
    </row>
    <row r="54" spans="1:20" x14ac:dyDescent="0.2">
      <c r="A54" s="95" t="s">
        <v>97</v>
      </c>
      <c r="B54" s="95" t="s">
        <v>66</v>
      </c>
      <c r="C54" s="95" t="s">
        <v>98</v>
      </c>
      <c r="D54" s="95" t="s">
        <v>68</v>
      </c>
      <c r="E54" s="95" t="s">
        <v>94</v>
      </c>
      <c r="F54" s="95">
        <v>4</v>
      </c>
      <c r="G54" s="95">
        <v>26</v>
      </c>
      <c r="I54" s="95">
        <v>3.45</v>
      </c>
      <c r="J54" s="95">
        <v>1.6E-2</v>
      </c>
      <c r="K54" s="95">
        <v>0.47</v>
      </c>
      <c r="L54" s="95">
        <v>5.13</v>
      </c>
      <c r="O54" s="95">
        <v>999</v>
      </c>
      <c r="P54" s="95">
        <v>2023</v>
      </c>
      <c r="R54" s="95" t="s">
        <v>92</v>
      </c>
      <c r="S54" s="95" t="s">
        <v>70</v>
      </c>
    </row>
    <row r="55" spans="1:20" x14ac:dyDescent="0.2">
      <c r="A55" s="95" t="s">
        <v>97</v>
      </c>
      <c r="B55" s="95" t="s">
        <v>66</v>
      </c>
      <c r="C55" s="95" t="s">
        <v>98</v>
      </c>
      <c r="D55" s="95" t="s">
        <v>68</v>
      </c>
      <c r="E55" s="95" t="s">
        <v>94</v>
      </c>
      <c r="F55" s="95">
        <v>5</v>
      </c>
      <c r="G55" s="95">
        <v>32.5</v>
      </c>
      <c r="I55" s="95">
        <v>4.3099999999999996</v>
      </c>
      <c r="J55" s="95">
        <v>0.02</v>
      </c>
      <c r="K55" s="95">
        <v>0.59</v>
      </c>
      <c r="L55" s="95">
        <v>6.4</v>
      </c>
      <c r="O55" s="95">
        <v>999</v>
      </c>
      <c r="P55" s="95">
        <v>2023</v>
      </c>
      <c r="R55" s="95" t="s">
        <v>92</v>
      </c>
      <c r="S55" s="95" t="s">
        <v>70</v>
      </c>
    </row>
    <row r="56" spans="1:20" x14ac:dyDescent="0.2">
      <c r="A56" s="95" t="s">
        <v>97</v>
      </c>
      <c r="B56" s="95" t="s">
        <v>66</v>
      </c>
      <c r="C56" s="95" t="s">
        <v>98</v>
      </c>
      <c r="D56" s="95" t="s">
        <v>68</v>
      </c>
      <c r="E56" s="95" t="s">
        <v>94</v>
      </c>
      <c r="F56" s="95">
        <v>5.5</v>
      </c>
      <c r="G56" s="95">
        <v>35.75</v>
      </c>
      <c r="I56" s="95">
        <v>4.74</v>
      </c>
      <c r="J56" s="95">
        <v>2.1999999999999999E-2</v>
      </c>
      <c r="K56" s="95">
        <v>0.65</v>
      </c>
      <c r="L56" s="95">
        <v>7.03</v>
      </c>
      <c r="O56" s="95">
        <v>999</v>
      </c>
      <c r="P56" s="95">
        <v>2023</v>
      </c>
      <c r="R56" s="95" t="s">
        <v>92</v>
      </c>
      <c r="S56" s="95" t="s">
        <v>70</v>
      </c>
    </row>
    <row r="57" spans="1:20" x14ac:dyDescent="0.2">
      <c r="A57" s="95" t="s">
        <v>97</v>
      </c>
      <c r="B57" s="95" t="s">
        <v>66</v>
      </c>
      <c r="C57" s="95" t="s">
        <v>98</v>
      </c>
      <c r="D57" s="95" t="s">
        <v>68</v>
      </c>
      <c r="E57" s="95" t="s">
        <v>94</v>
      </c>
      <c r="F57" s="95">
        <v>6</v>
      </c>
      <c r="G57" s="95">
        <v>39</v>
      </c>
      <c r="I57" s="95">
        <v>5.2</v>
      </c>
      <c r="J57" s="95">
        <v>2.4E-2</v>
      </c>
      <c r="K57" s="95">
        <v>0.71</v>
      </c>
      <c r="L57" s="95">
        <v>7.69</v>
      </c>
      <c r="O57" s="95">
        <v>999</v>
      </c>
      <c r="P57" s="95">
        <v>2023</v>
      </c>
      <c r="R57" s="95" t="s">
        <v>92</v>
      </c>
      <c r="S57" s="95" t="s">
        <v>70</v>
      </c>
    </row>
    <row r="58" spans="1:20" x14ac:dyDescent="0.2">
      <c r="A58" s="95" t="s">
        <v>73</v>
      </c>
      <c r="B58" s="95" t="s">
        <v>66</v>
      </c>
      <c r="C58" s="95" t="s">
        <v>67</v>
      </c>
      <c r="D58" s="95" t="s">
        <v>81</v>
      </c>
      <c r="G58" s="95">
        <v>15</v>
      </c>
      <c r="I58" s="95">
        <v>0.79</v>
      </c>
      <c r="P58" s="95">
        <v>2023</v>
      </c>
      <c r="S58" s="95" t="s">
        <v>99</v>
      </c>
      <c r="T58" s="95" t="s">
        <v>100</v>
      </c>
    </row>
    <row r="59" spans="1:20" x14ac:dyDescent="0.2">
      <c r="A59" s="95" t="s">
        <v>73</v>
      </c>
      <c r="B59" s="95" t="s">
        <v>66</v>
      </c>
      <c r="C59" s="95" t="s">
        <v>67</v>
      </c>
      <c r="D59" s="95" t="s">
        <v>81</v>
      </c>
      <c r="G59" s="95">
        <v>21</v>
      </c>
      <c r="I59" s="95">
        <v>0.87</v>
      </c>
      <c r="P59" s="95">
        <v>2023</v>
      </c>
      <c r="S59" s="95" t="s">
        <v>99</v>
      </c>
      <c r="T59" s="95" t="s">
        <v>101</v>
      </c>
    </row>
    <row r="60" spans="1:20" x14ac:dyDescent="0.2">
      <c r="A60" s="95" t="s">
        <v>73</v>
      </c>
      <c r="B60" s="95" t="s">
        <v>66</v>
      </c>
      <c r="C60" s="95" t="s">
        <v>91</v>
      </c>
      <c r="G60" s="95">
        <v>13</v>
      </c>
      <c r="I60" s="95">
        <v>1.38</v>
      </c>
      <c r="P60" s="95">
        <v>2023</v>
      </c>
      <c r="S60" s="95" t="s">
        <v>99</v>
      </c>
      <c r="T60" s="95" t="s">
        <v>102</v>
      </c>
    </row>
    <row r="61" spans="1:20" x14ac:dyDescent="0.2">
      <c r="A61" s="95" t="s">
        <v>73</v>
      </c>
      <c r="B61" s="95" t="s">
        <v>66</v>
      </c>
      <c r="C61" s="95" t="s">
        <v>67</v>
      </c>
      <c r="D61" s="95" t="s">
        <v>81</v>
      </c>
      <c r="G61" s="95">
        <v>30</v>
      </c>
      <c r="I61" s="95">
        <v>1.08</v>
      </c>
      <c r="P61" s="95">
        <v>2023</v>
      </c>
      <c r="S61" s="95" t="s">
        <v>99</v>
      </c>
      <c r="T61" s="95" t="s">
        <v>103</v>
      </c>
    </row>
    <row r="62" spans="1:20" x14ac:dyDescent="0.2">
      <c r="A62" s="95" t="s">
        <v>73</v>
      </c>
      <c r="B62" s="95" t="s">
        <v>66</v>
      </c>
      <c r="C62" s="95" t="s">
        <v>67</v>
      </c>
      <c r="D62" s="95" t="s">
        <v>81</v>
      </c>
      <c r="G62" s="95">
        <v>38</v>
      </c>
      <c r="I62" s="95">
        <v>1.31</v>
      </c>
      <c r="P62" s="95">
        <v>2023</v>
      </c>
      <c r="S62" s="95" t="s">
        <v>99</v>
      </c>
      <c r="T62" s="95" t="s">
        <v>104</v>
      </c>
    </row>
    <row r="63" spans="1:20" x14ac:dyDescent="0.2">
      <c r="A63" s="95" t="s">
        <v>73</v>
      </c>
      <c r="B63" s="95" t="s">
        <v>66</v>
      </c>
      <c r="C63" s="95" t="s">
        <v>67</v>
      </c>
      <c r="D63" s="95" t="s">
        <v>81</v>
      </c>
      <c r="G63" s="95">
        <v>19</v>
      </c>
      <c r="I63" s="95">
        <v>0.73</v>
      </c>
      <c r="P63" s="95">
        <v>2023</v>
      </c>
      <c r="S63" s="95" t="s">
        <v>99</v>
      </c>
      <c r="T63" s="95" t="s">
        <v>105</v>
      </c>
    </row>
    <row r="64" spans="1:20" x14ac:dyDescent="0.2">
      <c r="A64" s="95" t="s">
        <v>73</v>
      </c>
      <c r="B64" s="95" t="s">
        <v>66</v>
      </c>
      <c r="C64" s="95" t="s">
        <v>91</v>
      </c>
      <c r="G64" s="95">
        <v>15</v>
      </c>
      <c r="I64" s="95">
        <v>1.58</v>
      </c>
      <c r="P64" s="95">
        <v>2023</v>
      </c>
      <c r="S64" s="95" t="s">
        <v>99</v>
      </c>
      <c r="T64" s="95" t="s">
        <v>106</v>
      </c>
    </row>
    <row r="65" spans="1:20" x14ac:dyDescent="0.2">
      <c r="A65" s="95" t="s">
        <v>73</v>
      </c>
      <c r="B65" s="95" t="s">
        <v>66</v>
      </c>
      <c r="C65" s="95" t="s">
        <v>67</v>
      </c>
      <c r="D65" s="95" t="s">
        <v>81</v>
      </c>
      <c r="G65" s="95">
        <v>13</v>
      </c>
      <c r="I65" s="95">
        <v>0.56999999999999995</v>
      </c>
      <c r="P65" s="95">
        <v>2023</v>
      </c>
      <c r="S65" s="95" t="s">
        <v>99</v>
      </c>
      <c r="T65" s="95" t="s">
        <v>107</v>
      </c>
    </row>
    <row r="66" spans="1:20" x14ac:dyDescent="0.2">
      <c r="A66" s="95" t="s">
        <v>73</v>
      </c>
      <c r="B66" s="95" t="s">
        <v>66</v>
      </c>
      <c r="C66" s="95" t="s">
        <v>67</v>
      </c>
      <c r="D66" s="95" t="s">
        <v>81</v>
      </c>
      <c r="G66" s="95">
        <v>13</v>
      </c>
      <c r="I66" s="95">
        <v>0.56999999999999995</v>
      </c>
      <c r="P66" s="95">
        <v>2023</v>
      </c>
      <c r="S66" s="95" t="s">
        <v>99</v>
      </c>
      <c r="T66" s="95" t="s">
        <v>108</v>
      </c>
    </row>
    <row r="67" spans="1:20" x14ac:dyDescent="0.2">
      <c r="A67" s="95" t="s">
        <v>73</v>
      </c>
      <c r="B67" s="95" t="s">
        <v>66</v>
      </c>
      <c r="C67" s="95" t="s">
        <v>67</v>
      </c>
      <c r="D67" s="95" t="s">
        <v>81</v>
      </c>
      <c r="G67" s="95">
        <v>13</v>
      </c>
      <c r="I67" s="95">
        <v>0.56999999999999995</v>
      </c>
      <c r="P67" s="95">
        <v>2023</v>
      </c>
      <c r="S67" s="95" t="s">
        <v>99</v>
      </c>
      <c r="T67" s="95" t="s">
        <v>109</v>
      </c>
    </row>
    <row r="68" spans="1:20" x14ac:dyDescent="0.2">
      <c r="A68" s="95" t="s">
        <v>73</v>
      </c>
      <c r="B68" s="95" t="s">
        <v>66</v>
      </c>
      <c r="C68" s="95" t="s">
        <v>91</v>
      </c>
      <c r="G68" s="95">
        <v>15</v>
      </c>
      <c r="I68" s="95">
        <v>1.31</v>
      </c>
      <c r="P68" s="95">
        <v>2023</v>
      </c>
      <c r="S68" s="95" t="s">
        <v>99</v>
      </c>
      <c r="T68" s="95" t="s">
        <v>110</v>
      </c>
    </row>
    <row r="69" spans="1:20" x14ac:dyDescent="0.2">
      <c r="A69" s="95" t="s">
        <v>73</v>
      </c>
      <c r="B69" s="95" t="s">
        <v>66</v>
      </c>
      <c r="C69" s="95" t="s">
        <v>67</v>
      </c>
      <c r="D69" s="95" t="s">
        <v>68</v>
      </c>
      <c r="G69" s="95">
        <v>13</v>
      </c>
      <c r="I69" s="95">
        <v>0.49</v>
      </c>
      <c r="P69" s="95">
        <v>2023</v>
      </c>
      <c r="S69" s="95" t="s">
        <v>99</v>
      </c>
      <c r="T69" s="95" t="s">
        <v>111</v>
      </c>
    </row>
    <row r="70" spans="1:20" x14ac:dyDescent="0.2">
      <c r="A70" s="95" t="s">
        <v>73</v>
      </c>
      <c r="B70" s="95" t="s">
        <v>66</v>
      </c>
      <c r="C70" s="95" t="s">
        <v>67</v>
      </c>
      <c r="D70" s="95" t="s">
        <v>81</v>
      </c>
      <c r="G70" s="95">
        <v>19</v>
      </c>
      <c r="I70" s="95">
        <v>0.99</v>
      </c>
      <c r="P70" s="95">
        <v>2023</v>
      </c>
      <c r="S70" s="95" t="s">
        <v>99</v>
      </c>
      <c r="T70" s="95" t="s">
        <v>112</v>
      </c>
    </row>
    <row r="71" spans="1:20" x14ac:dyDescent="0.2">
      <c r="A71" s="95" t="s">
        <v>73</v>
      </c>
      <c r="B71" s="95" t="s">
        <v>66</v>
      </c>
      <c r="C71" s="95" t="s">
        <v>67</v>
      </c>
      <c r="D71" s="95" t="s">
        <v>68</v>
      </c>
      <c r="G71" s="95">
        <v>19</v>
      </c>
      <c r="I71" s="95">
        <v>0.66</v>
      </c>
      <c r="P71" s="95">
        <v>2023</v>
      </c>
      <c r="S71" s="95" t="s">
        <v>99</v>
      </c>
      <c r="T71" s="95" t="s">
        <v>113</v>
      </c>
    </row>
    <row r="72" spans="1:20" x14ac:dyDescent="0.2">
      <c r="A72" s="95" t="s">
        <v>73</v>
      </c>
      <c r="B72" s="95" t="s">
        <v>66</v>
      </c>
      <c r="C72" s="95" t="s">
        <v>67</v>
      </c>
      <c r="D72" s="95" t="s">
        <v>68</v>
      </c>
      <c r="G72" s="95">
        <v>19</v>
      </c>
      <c r="I72" s="95">
        <v>7.52</v>
      </c>
      <c r="P72" s="95">
        <v>2023</v>
      </c>
      <c r="S72" s="95" t="s">
        <v>99</v>
      </c>
      <c r="T72" s="95" t="s">
        <v>114</v>
      </c>
    </row>
    <row r="73" spans="1:20" x14ac:dyDescent="0.2">
      <c r="A73" s="95" t="s">
        <v>73</v>
      </c>
      <c r="B73" s="95" t="s">
        <v>66</v>
      </c>
      <c r="C73" s="95" t="s">
        <v>67</v>
      </c>
      <c r="D73" s="95" t="s">
        <v>81</v>
      </c>
      <c r="G73" s="95">
        <v>49</v>
      </c>
      <c r="I73" s="95">
        <v>2.56</v>
      </c>
      <c r="P73" s="95">
        <v>2023</v>
      </c>
      <c r="S73" s="95" t="s">
        <v>99</v>
      </c>
      <c r="T73" s="95" t="s">
        <v>115</v>
      </c>
    </row>
    <row r="74" spans="1:20" x14ac:dyDescent="0.2">
      <c r="A74" s="95" t="s">
        <v>73</v>
      </c>
      <c r="B74" s="95" t="s">
        <v>66</v>
      </c>
      <c r="C74" s="95" t="s">
        <v>67</v>
      </c>
      <c r="D74" s="95" t="s">
        <v>81</v>
      </c>
      <c r="G74" s="95">
        <v>30</v>
      </c>
      <c r="I74" s="95">
        <v>1.17</v>
      </c>
      <c r="P74" s="95">
        <v>2023</v>
      </c>
      <c r="S74" s="95" t="s">
        <v>99</v>
      </c>
      <c r="T74" s="95" t="s">
        <v>116</v>
      </c>
    </row>
    <row r="75" spans="1:20" x14ac:dyDescent="0.2">
      <c r="A75" s="95" t="s">
        <v>73</v>
      </c>
      <c r="B75" s="95" t="s">
        <v>66</v>
      </c>
      <c r="C75" s="95" t="s">
        <v>91</v>
      </c>
      <c r="G75" s="95">
        <v>30</v>
      </c>
      <c r="I75" s="95">
        <v>3.75</v>
      </c>
      <c r="P75" s="95">
        <v>2023</v>
      </c>
      <c r="S75" s="95" t="s">
        <v>99</v>
      </c>
      <c r="T75" s="95" t="s">
        <v>117</v>
      </c>
    </row>
    <row r="76" spans="1:20" x14ac:dyDescent="0.2">
      <c r="A76" s="95" t="s">
        <v>73</v>
      </c>
      <c r="B76" s="95" t="s">
        <v>66</v>
      </c>
      <c r="C76" s="95" t="s">
        <v>91</v>
      </c>
      <c r="G76" s="95">
        <v>23</v>
      </c>
      <c r="I76" s="95">
        <v>1.52</v>
      </c>
      <c r="P76" s="95">
        <v>2023</v>
      </c>
      <c r="S76" s="95" t="s">
        <v>99</v>
      </c>
      <c r="T76" s="95" t="s">
        <v>118</v>
      </c>
    </row>
    <row r="77" spans="1:20" x14ac:dyDescent="0.2">
      <c r="A77" s="95" t="s">
        <v>73</v>
      </c>
      <c r="B77" s="95" t="s">
        <v>66</v>
      </c>
      <c r="C77" s="95" t="s">
        <v>91</v>
      </c>
      <c r="G77" s="95">
        <v>21</v>
      </c>
      <c r="I77" s="95">
        <v>2.65</v>
      </c>
      <c r="P77" s="95">
        <v>2023</v>
      </c>
      <c r="S77" s="95" t="s">
        <v>99</v>
      </c>
      <c r="T77" s="95" t="s">
        <v>119</v>
      </c>
    </row>
    <row r="78" spans="1:20" x14ac:dyDescent="0.2">
      <c r="A78" s="95" t="s">
        <v>73</v>
      </c>
      <c r="B78" s="95" t="s">
        <v>66</v>
      </c>
      <c r="C78" s="95" t="s">
        <v>67</v>
      </c>
      <c r="D78" s="95" t="s">
        <v>81</v>
      </c>
      <c r="G78" s="95">
        <v>38</v>
      </c>
      <c r="I78" s="95">
        <v>2.09</v>
      </c>
      <c r="P78" s="95">
        <v>2023</v>
      </c>
      <c r="S78" s="95" t="s">
        <v>99</v>
      </c>
      <c r="T78" s="95" t="s">
        <v>120</v>
      </c>
    </row>
    <row r="79" spans="1:20" x14ac:dyDescent="0.2">
      <c r="A79" s="95" t="s">
        <v>73</v>
      </c>
      <c r="B79" s="95" t="s">
        <v>66</v>
      </c>
      <c r="C79" s="95" t="s">
        <v>67</v>
      </c>
      <c r="D79" s="95" t="s">
        <v>81</v>
      </c>
      <c r="G79" s="95">
        <v>38</v>
      </c>
      <c r="I79" s="95">
        <v>2.23</v>
      </c>
      <c r="P79" s="95">
        <v>2023</v>
      </c>
      <c r="S79" s="95" t="s">
        <v>99</v>
      </c>
      <c r="T79" s="95" t="s">
        <v>121</v>
      </c>
    </row>
    <row r="80" spans="1:20" x14ac:dyDescent="0.2">
      <c r="A80" s="95" t="s">
        <v>73</v>
      </c>
      <c r="B80" s="95" t="s">
        <v>66</v>
      </c>
      <c r="C80" s="95" t="s">
        <v>67</v>
      </c>
      <c r="D80" s="95" t="s">
        <v>81</v>
      </c>
      <c r="G80" s="95">
        <v>21</v>
      </c>
      <c r="I80" s="95">
        <v>1.03</v>
      </c>
      <c r="P80" s="95">
        <v>2023</v>
      </c>
      <c r="S80" s="95" t="s">
        <v>99</v>
      </c>
      <c r="T80" s="95" t="s">
        <v>122</v>
      </c>
    </row>
    <row r="81" spans="1:20" x14ac:dyDescent="0.2">
      <c r="A81" s="95" t="s">
        <v>73</v>
      </c>
      <c r="B81" s="95" t="s">
        <v>66</v>
      </c>
      <c r="C81" s="95" t="s">
        <v>91</v>
      </c>
      <c r="G81" s="95">
        <v>30</v>
      </c>
      <c r="I81" s="95">
        <v>3.47</v>
      </c>
      <c r="P81" s="95">
        <v>2023</v>
      </c>
      <c r="S81" s="95" t="s">
        <v>99</v>
      </c>
      <c r="T81" s="95" t="s">
        <v>123</v>
      </c>
    </row>
    <row r="82" spans="1:20" x14ac:dyDescent="0.2">
      <c r="A82" s="95" t="s">
        <v>73</v>
      </c>
      <c r="B82" s="95" t="s">
        <v>66</v>
      </c>
      <c r="C82" s="95" t="s">
        <v>67</v>
      </c>
      <c r="D82" s="95" t="s">
        <v>81</v>
      </c>
      <c r="G82" s="95">
        <v>19</v>
      </c>
      <c r="I82" s="95">
        <v>0.65</v>
      </c>
      <c r="P82" s="95">
        <v>2023</v>
      </c>
      <c r="S82" s="95" t="s">
        <v>99</v>
      </c>
      <c r="T82" s="95" t="s">
        <v>124</v>
      </c>
    </row>
    <row r="83" spans="1:20" x14ac:dyDescent="0.2">
      <c r="A83" s="95" t="s">
        <v>73</v>
      </c>
      <c r="B83" s="95" t="s">
        <v>66</v>
      </c>
      <c r="C83" s="95" t="s">
        <v>67</v>
      </c>
      <c r="D83" s="95" t="s">
        <v>81</v>
      </c>
      <c r="G83" s="95">
        <v>38</v>
      </c>
      <c r="I83" s="95">
        <v>1.65</v>
      </c>
      <c r="P83" s="95">
        <v>2023</v>
      </c>
      <c r="S83" s="95" t="s">
        <v>99</v>
      </c>
      <c r="T83" s="95" t="s">
        <v>125</v>
      </c>
    </row>
    <row r="84" spans="1:20" x14ac:dyDescent="0.2">
      <c r="A84" s="95" t="s">
        <v>73</v>
      </c>
      <c r="B84" s="95" t="s">
        <v>66</v>
      </c>
      <c r="C84" s="95" t="s">
        <v>67</v>
      </c>
      <c r="D84" s="95" t="s">
        <v>81</v>
      </c>
      <c r="G84" s="95">
        <v>30</v>
      </c>
      <c r="I84" s="95">
        <v>1.44</v>
      </c>
      <c r="P84" s="95">
        <v>2023</v>
      </c>
      <c r="S84" s="95" t="s">
        <v>99</v>
      </c>
      <c r="T84" s="95" t="s">
        <v>126</v>
      </c>
    </row>
    <row r="85" spans="1:20" x14ac:dyDescent="0.2">
      <c r="A85" s="95" t="s">
        <v>73</v>
      </c>
      <c r="B85" s="95" t="s">
        <v>66</v>
      </c>
      <c r="C85" s="95" t="s">
        <v>67</v>
      </c>
      <c r="D85" s="95" t="s">
        <v>81</v>
      </c>
      <c r="G85" s="95">
        <v>21</v>
      </c>
      <c r="I85" s="95">
        <v>1.31</v>
      </c>
      <c r="P85" s="95">
        <v>2023</v>
      </c>
      <c r="S85" s="95" t="s">
        <v>99</v>
      </c>
      <c r="T85" s="95" t="s">
        <v>127</v>
      </c>
    </row>
    <row r="86" spans="1:20" x14ac:dyDescent="0.2">
      <c r="A86" s="95" t="s">
        <v>73</v>
      </c>
      <c r="B86" s="95" t="s">
        <v>66</v>
      </c>
      <c r="C86" s="95" t="s">
        <v>67</v>
      </c>
      <c r="D86" s="95" t="s">
        <v>81</v>
      </c>
      <c r="G86" s="95">
        <v>21</v>
      </c>
      <c r="I86" s="95">
        <v>1.33</v>
      </c>
      <c r="P86" s="95">
        <v>2023</v>
      </c>
      <c r="S86" s="95" t="s">
        <v>99</v>
      </c>
      <c r="T86" s="95" t="s">
        <v>128</v>
      </c>
    </row>
    <row r="87" spans="1:20" x14ac:dyDescent="0.2">
      <c r="A87" s="95" t="s">
        <v>73</v>
      </c>
      <c r="B87" s="95" t="s">
        <v>66</v>
      </c>
      <c r="C87" s="95" t="s">
        <v>67</v>
      </c>
      <c r="D87" s="95" t="s">
        <v>68</v>
      </c>
      <c r="G87" s="95">
        <v>13</v>
      </c>
      <c r="I87" s="95">
        <v>0.68</v>
      </c>
      <c r="P87" s="95">
        <v>2023</v>
      </c>
      <c r="S87" s="95" t="s">
        <v>99</v>
      </c>
      <c r="T87" s="95" t="s">
        <v>129</v>
      </c>
    </row>
    <row r="88" spans="1:20" x14ac:dyDescent="0.2">
      <c r="A88" s="95" t="s">
        <v>73</v>
      </c>
      <c r="B88" s="95" t="s">
        <v>66</v>
      </c>
      <c r="D88" s="95" t="s">
        <v>81</v>
      </c>
      <c r="G88" s="95">
        <v>49</v>
      </c>
      <c r="I88" s="95">
        <v>2.5099999999999998</v>
      </c>
      <c r="P88" s="95">
        <v>2023</v>
      </c>
      <c r="S88" s="95" t="s">
        <v>99</v>
      </c>
      <c r="T88" s="95" t="s">
        <v>130</v>
      </c>
    </row>
    <row r="89" spans="1:20" x14ac:dyDescent="0.2">
      <c r="A89" s="95" t="s">
        <v>73</v>
      </c>
      <c r="B89" s="95" t="s">
        <v>66</v>
      </c>
      <c r="C89" s="95" t="s">
        <v>67</v>
      </c>
      <c r="D89" s="95" t="s">
        <v>81</v>
      </c>
      <c r="G89" s="95">
        <v>15</v>
      </c>
      <c r="I89" s="95">
        <v>1.1499999999999999</v>
      </c>
      <c r="P89" s="95">
        <v>2023</v>
      </c>
      <c r="S89" s="95" t="s">
        <v>99</v>
      </c>
      <c r="T89" s="95" t="s">
        <v>131</v>
      </c>
    </row>
    <row r="90" spans="1:20" x14ac:dyDescent="0.2">
      <c r="A90" s="95" t="s">
        <v>73</v>
      </c>
      <c r="B90" s="95" t="s">
        <v>66</v>
      </c>
      <c r="C90" s="95" t="s">
        <v>67</v>
      </c>
      <c r="D90" s="95" t="s">
        <v>68</v>
      </c>
      <c r="G90" s="95">
        <v>19</v>
      </c>
      <c r="I90" s="95">
        <v>0.98</v>
      </c>
      <c r="P90" s="95">
        <v>2023</v>
      </c>
      <c r="S90" s="95" t="s">
        <v>99</v>
      </c>
      <c r="T90" s="95" t="s">
        <v>132</v>
      </c>
    </row>
    <row r="91" spans="1:20" x14ac:dyDescent="0.2">
      <c r="A91" s="95" t="s">
        <v>73</v>
      </c>
      <c r="B91" s="95" t="s">
        <v>66</v>
      </c>
      <c r="C91" s="95" t="s">
        <v>67</v>
      </c>
      <c r="D91" s="95" t="s">
        <v>81</v>
      </c>
      <c r="G91" s="95">
        <v>15</v>
      </c>
      <c r="I91" s="95">
        <v>1.1299999999999999</v>
      </c>
      <c r="P91" s="95">
        <v>2023</v>
      </c>
      <c r="S91" s="95" t="s">
        <v>99</v>
      </c>
      <c r="T91" s="95" t="s">
        <v>133</v>
      </c>
    </row>
    <row r="92" spans="1:20" x14ac:dyDescent="0.2">
      <c r="A92" s="95" t="s">
        <v>73</v>
      </c>
      <c r="B92" s="95" t="s">
        <v>66</v>
      </c>
      <c r="C92" s="95" t="s">
        <v>67</v>
      </c>
      <c r="D92" s="95" t="s">
        <v>68</v>
      </c>
      <c r="G92" s="95">
        <v>49</v>
      </c>
      <c r="I92" s="95">
        <v>2.37</v>
      </c>
      <c r="P92" s="95">
        <v>2023</v>
      </c>
      <c r="S92" s="95" t="s">
        <v>99</v>
      </c>
      <c r="T92" s="95" t="s">
        <v>134</v>
      </c>
    </row>
    <row r="93" spans="1:20" x14ac:dyDescent="0.2">
      <c r="A93" s="95" t="s">
        <v>73</v>
      </c>
      <c r="B93" s="95" t="s">
        <v>66</v>
      </c>
      <c r="C93" s="95" t="s">
        <v>67</v>
      </c>
      <c r="D93" s="95" t="s">
        <v>81</v>
      </c>
      <c r="G93" s="95">
        <v>30</v>
      </c>
      <c r="I93" s="95">
        <v>1.72</v>
      </c>
      <c r="P93" s="95">
        <v>2023</v>
      </c>
      <c r="S93" s="95" t="s">
        <v>99</v>
      </c>
      <c r="T93" s="95" t="s">
        <v>135</v>
      </c>
    </row>
    <row r="94" spans="1:20" x14ac:dyDescent="0.2">
      <c r="A94" s="95" t="s">
        <v>73</v>
      </c>
      <c r="B94" s="95" t="s">
        <v>66</v>
      </c>
      <c r="C94" s="95" t="s">
        <v>67</v>
      </c>
      <c r="D94" s="95" t="s">
        <v>68</v>
      </c>
      <c r="G94" s="95">
        <v>13</v>
      </c>
      <c r="I94" s="95">
        <v>0.68</v>
      </c>
      <c r="P94" s="95">
        <v>2023</v>
      </c>
      <c r="S94" s="95" t="s">
        <v>99</v>
      </c>
      <c r="T94" s="95" t="s">
        <v>136</v>
      </c>
    </row>
    <row r="95" spans="1:20" x14ac:dyDescent="0.2">
      <c r="A95" s="95" t="s">
        <v>73</v>
      </c>
      <c r="B95" s="95" t="s">
        <v>66</v>
      </c>
      <c r="C95" s="95" t="s">
        <v>67</v>
      </c>
      <c r="D95" s="95" t="s">
        <v>68</v>
      </c>
      <c r="G95" s="95">
        <v>19</v>
      </c>
      <c r="I95" s="95">
        <v>0.86</v>
      </c>
      <c r="P95" s="95">
        <v>2023</v>
      </c>
      <c r="S95" s="95" t="s">
        <v>99</v>
      </c>
      <c r="T95" s="95" t="s">
        <v>137</v>
      </c>
    </row>
    <row r="96" spans="1:20" x14ac:dyDescent="0.2">
      <c r="A96" s="95" t="s">
        <v>73</v>
      </c>
      <c r="B96" s="95" t="s">
        <v>66</v>
      </c>
      <c r="C96" s="95" t="s">
        <v>67</v>
      </c>
      <c r="D96" s="95" t="s">
        <v>68</v>
      </c>
      <c r="G96" s="95">
        <v>19</v>
      </c>
      <c r="I96" s="95">
        <v>1.1200000000000001</v>
      </c>
      <c r="P96" s="95">
        <v>2023</v>
      </c>
      <c r="S96" s="95" t="s">
        <v>99</v>
      </c>
      <c r="T96" s="95" t="s">
        <v>138</v>
      </c>
    </row>
    <row r="97" spans="1:20" x14ac:dyDescent="0.2">
      <c r="A97" s="95" t="s">
        <v>73</v>
      </c>
      <c r="B97" s="95" t="s">
        <v>66</v>
      </c>
      <c r="C97" s="95" t="s">
        <v>91</v>
      </c>
      <c r="G97" s="95">
        <v>21</v>
      </c>
      <c r="I97" s="95">
        <v>42.61</v>
      </c>
      <c r="P97" s="95">
        <v>2023</v>
      </c>
      <c r="S97" s="95" t="s">
        <v>99</v>
      </c>
      <c r="T97" s="95" t="s">
        <v>139</v>
      </c>
    </row>
    <row r="98" spans="1:20" x14ac:dyDescent="0.2">
      <c r="A98" s="95" t="s">
        <v>73</v>
      </c>
      <c r="B98" s="95" t="s">
        <v>66</v>
      </c>
      <c r="C98" s="95" t="s">
        <v>67</v>
      </c>
      <c r="D98" s="95" t="s">
        <v>68</v>
      </c>
      <c r="G98" s="95">
        <v>30</v>
      </c>
      <c r="I98" s="95">
        <v>1.36</v>
      </c>
      <c r="P98" s="95">
        <v>2023</v>
      </c>
      <c r="S98" s="95" t="s">
        <v>99</v>
      </c>
      <c r="T98" s="95" t="s">
        <v>140</v>
      </c>
    </row>
    <row r="99" spans="1:20" x14ac:dyDescent="0.2">
      <c r="A99" s="95" t="s">
        <v>73</v>
      </c>
      <c r="B99" s="95" t="s">
        <v>66</v>
      </c>
      <c r="C99" s="95" t="s">
        <v>67</v>
      </c>
      <c r="D99" s="95" t="s">
        <v>81</v>
      </c>
      <c r="G99" s="95">
        <v>13</v>
      </c>
      <c r="I99" s="95">
        <v>0.57999999999999996</v>
      </c>
      <c r="P99" s="95">
        <v>2023</v>
      </c>
      <c r="S99" s="95" t="s">
        <v>99</v>
      </c>
      <c r="T99" s="95" t="s">
        <v>141</v>
      </c>
    </row>
    <row r="100" spans="1:20" x14ac:dyDescent="0.2">
      <c r="A100" s="95" t="s">
        <v>73</v>
      </c>
      <c r="B100" s="95" t="s">
        <v>66</v>
      </c>
      <c r="C100" s="95" t="s">
        <v>67</v>
      </c>
      <c r="D100" s="95" t="s">
        <v>68</v>
      </c>
      <c r="G100" s="95">
        <v>13</v>
      </c>
      <c r="I100" s="95">
        <v>0.75</v>
      </c>
      <c r="P100" s="95">
        <v>2023</v>
      </c>
      <c r="S100" s="95" t="s">
        <v>99</v>
      </c>
      <c r="T100" s="95" t="s">
        <v>142</v>
      </c>
    </row>
    <row r="101" spans="1:20" x14ac:dyDescent="0.2">
      <c r="A101" s="95" t="s">
        <v>73</v>
      </c>
      <c r="B101" s="95" t="s">
        <v>66</v>
      </c>
      <c r="C101" s="95" t="s">
        <v>67</v>
      </c>
      <c r="D101" s="95" t="s">
        <v>81</v>
      </c>
      <c r="G101" s="95">
        <v>19</v>
      </c>
      <c r="I101" s="95">
        <v>1.02</v>
      </c>
      <c r="P101" s="95">
        <v>2023</v>
      </c>
      <c r="S101" s="95" t="s">
        <v>99</v>
      </c>
      <c r="T101" s="95" t="s">
        <v>143</v>
      </c>
    </row>
    <row r="102" spans="1:20" x14ac:dyDescent="0.2">
      <c r="A102" s="95" t="s">
        <v>73</v>
      </c>
      <c r="B102" s="95" t="s">
        <v>66</v>
      </c>
      <c r="C102" s="95" t="s">
        <v>67</v>
      </c>
      <c r="D102" s="95" t="s">
        <v>81</v>
      </c>
      <c r="G102" s="95">
        <v>19</v>
      </c>
      <c r="I102" s="95">
        <v>0.87</v>
      </c>
      <c r="P102" s="95">
        <v>2023</v>
      </c>
      <c r="S102" s="95" t="s">
        <v>99</v>
      </c>
      <c r="T102" s="95" t="s">
        <v>144</v>
      </c>
    </row>
    <row r="103" spans="1:20" x14ac:dyDescent="0.2">
      <c r="A103" s="95" t="s">
        <v>73</v>
      </c>
      <c r="B103" s="95" t="s">
        <v>66</v>
      </c>
      <c r="C103" s="95" t="s">
        <v>67</v>
      </c>
      <c r="D103" s="95" t="s">
        <v>81</v>
      </c>
      <c r="G103" s="95">
        <v>30</v>
      </c>
      <c r="I103" s="95">
        <v>1.33</v>
      </c>
      <c r="P103" s="95">
        <v>2023</v>
      </c>
      <c r="S103" s="95" t="s">
        <v>99</v>
      </c>
      <c r="T103" s="95" t="s">
        <v>145</v>
      </c>
    </row>
    <row r="104" spans="1:20" x14ac:dyDescent="0.2">
      <c r="A104" s="95" t="s">
        <v>73</v>
      </c>
      <c r="B104" s="95" t="s">
        <v>66</v>
      </c>
      <c r="C104" s="95" t="s">
        <v>91</v>
      </c>
      <c r="G104" s="95">
        <v>13</v>
      </c>
      <c r="I104" s="95">
        <v>23.26</v>
      </c>
      <c r="P104" s="95">
        <v>2023</v>
      </c>
      <c r="S104" s="95" t="s">
        <v>99</v>
      </c>
      <c r="T104" s="95" t="s">
        <v>146</v>
      </c>
    </row>
    <row r="105" spans="1:20" x14ac:dyDescent="0.2">
      <c r="A105" s="95" t="s">
        <v>73</v>
      </c>
      <c r="B105" s="95" t="s">
        <v>66</v>
      </c>
      <c r="C105" s="95" t="s">
        <v>67</v>
      </c>
      <c r="D105" s="95" t="s">
        <v>81</v>
      </c>
      <c r="G105" s="95">
        <v>19</v>
      </c>
      <c r="I105" s="95">
        <v>0.99</v>
      </c>
      <c r="P105" s="95">
        <v>2023</v>
      </c>
      <c r="S105" s="95" t="s">
        <v>99</v>
      </c>
      <c r="T105" s="95" t="s">
        <v>147</v>
      </c>
    </row>
    <row r="106" spans="1:20" x14ac:dyDescent="0.2">
      <c r="A106" s="95" t="s">
        <v>73</v>
      </c>
      <c r="B106" s="95" t="s">
        <v>66</v>
      </c>
      <c r="C106" s="95" t="s">
        <v>67</v>
      </c>
      <c r="D106" s="95" t="s">
        <v>68</v>
      </c>
      <c r="G106" s="95">
        <v>15</v>
      </c>
      <c r="I106" s="95">
        <v>1.27</v>
      </c>
      <c r="P106" s="95">
        <v>2023</v>
      </c>
      <c r="S106" s="95" t="s">
        <v>99</v>
      </c>
      <c r="T106" s="95" t="s">
        <v>148</v>
      </c>
    </row>
    <row r="107" spans="1:20" x14ac:dyDescent="0.2">
      <c r="A107" s="95" t="s">
        <v>73</v>
      </c>
      <c r="B107" s="95" t="s">
        <v>66</v>
      </c>
      <c r="C107" s="95" t="s">
        <v>67</v>
      </c>
      <c r="D107" s="95" t="s">
        <v>81</v>
      </c>
      <c r="G107" s="95">
        <v>13</v>
      </c>
      <c r="I107" s="95">
        <v>0.78</v>
      </c>
      <c r="P107" s="95">
        <v>2023</v>
      </c>
      <c r="S107" s="95" t="s">
        <v>99</v>
      </c>
      <c r="T107" s="95" t="s">
        <v>149</v>
      </c>
    </row>
    <row r="108" spans="1:20" x14ac:dyDescent="0.2">
      <c r="A108" s="95" t="s">
        <v>73</v>
      </c>
      <c r="B108" s="95" t="s">
        <v>66</v>
      </c>
      <c r="C108" s="95" t="s">
        <v>67</v>
      </c>
      <c r="D108" s="95" t="s">
        <v>68</v>
      </c>
      <c r="G108" s="95">
        <v>30</v>
      </c>
      <c r="I108" s="95">
        <v>1.74</v>
      </c>
      <c r="P108" s="95">
        <v>2023</v>
      </c>
      <c r="S108" s="95" t="s">
        <v>99</v>
      </c>
      <c r="T108" s="95" t="s">
        <v>150</v>
      </c>
    </row>
    <row r="109" spans="1:20" x14ac:dyDescent="0.2">
      <c r="A109" s="95" t="s">
        <v>73</v>
      </c>
      <c r="B109" s="95" t="s">
        <v>66</v>
      </c>
      <c r="G109" s="95">
        <v>19</v>
      </c>
      <c r="I109" s="95">
        <v>15.29</v>
      </c>
      <c r="P109" s="95">
        <v>2023</v>
      </c>
      <c r="S109" s="95" t="s">
        <v>99</v>
      </c>
      <c r="T109" s="95" t="s">
        <v>151</v>
      </c>
    </row>
    <row r="110" spans="1:20" x14ac:dyDescent="0.2">
      <c r="A110" s="95" t="s">
        <v>73</v>
      </c>
      <c r="B110" s="95" t="s">
        <v>66</v>
      </c>
      <c r="C110" s="95" t="s">
        <v>67</v>
      </c>
      <c r="D110" s="95" t="s">
        <v>81</v>
      </c>
      <c r="G110" s="95">
        <v>13</v>
      </c>
      <c r="I110" s="95">
        <v>0.42</v>
      </c>
      <c r="P110" s="95">
        <v>2023</v>
      </c>
      <c r="S110" s="95" t="s">
        <v>99</v>
      </c>
      <c r="T110" s="95" t="s">
        <v>152</v>
      </c>
    </row>
    <row r="111" spans="1:20" x14ac:dyDescent="0.2">
      <c r="A111" s="95" t="s">
        <v>73</v>
      </c>
      <c r="B111" s="95" t="s">
        <v>66</v>
      </c>
      <c r="C111" s="95" t="s">
        <v>67</v>
      </c>
      <c r="D111" s="95" t="s">
        <v>81</v>
      </c>
      <c r="G111" s="95">
        <v>19</v>
      </c>
      <c r="I111" s="95">
        <v>0.76</v>
      </c>
      <c r="P111" s="95">
        <v>2023</v>
      </c>
      <c r="S111" s="95" t="s">
        <v>99</v>
      </c>
      <c r="T111" s="95" t="s">
        <v>153</v>
      </c>
    </row>
    <row r="112" spans="1:20" x14ac:dyDescent="0.2">
      <c r="A112" s="95" t="s">
        <v>73</v>
      </c>
      <c r="B112" s="95" t="s">
        <v>66</v>
      </c>
      <c r="C112" s="95" t="s">
        <v>67</v>
      </c>
      <c r="D112" s="95" t="s">
        <v>68</v>
      </c>
      <c r="G112" s="95">
        <v>30</v>
      </c>
      <c r="I112" s="95">
        <v>1.1599999999999999</v>
      </c>
      <c r="P112" s="95">
        <v>2023</v>
      </c>
      <c r="S112" s="95" t="s">
        <v>99</v>
      </c>
      <c r="T112" s="95" t="s">
        <v>154</v>
      </c>
    </row>
    <row r="113" spans="1:20" x14ac:dyDescent="0.2">
      <c r="A113" s="95" t="s">
        <v>73</v>
      </c>
      <c r="B113" s="95" t="s">
        <v>66</v>
      </c>
      <c r="C113" s="95" t="s">
        <v>67</v>
      </c>
      <c r="D113" s="95" t="s">
        <v>81</v>
      </c>
      <c r="G113" s="95">
        <v>15</v>
      </c>
      <c r="I113" s="95">
        <v>1.1200000000000001</v>
      </c>
      <c r="P113" s="95">
        <v>2023</v>
      </c>
      <c r="S113" s="95" t="s">
        <v>99</v>
      </c>
      <c r="T113" s="95" t="s">
        <v>155</v>
      </c>
    </row>
    <row r="114" spans="1:20" x14ac:dyDescent="0.2">
      <c r="A114" s="95" t="s">
        <v>73</v>
      </c>
      <c r="B114" s="95" t="s">
        <v>66</v>
      </c>
      <c r="C114" s="95" t="s">
        <v>67</v>
      </c>
      <c r="D114" s="95" t="s">
        <v>68</v>
      </c>
      <c r="G114" s="95">
        <v>30</v>
      </c>
      <c r="I114" s="95">
        <v>1.47</v>
      </c>
      <c r="P114" s="95">
        <v>2023</v>
      </c>
      <c r="S114" s="95" t="s">
        <v>99</v>
      </c>
      <c r="T114" s="95" t="s">
        <v>156</v>
      </c>
    </row>
    <row r="115" spans="1:20" x14ac:dyDescent="0.2">
      <c r="A115" s="95" t="s">
        <v>73</v>
      </c>
      <c r="B115" s="95" t="s">
        <v>66</v>
      </c>
      <c r="C115" s="95" t="s">
        <v>67</v>
      </c>
      <c r="D115" s="95" t="s">
        <v>81</v>
      </c>
      <c r="G115" s="95">
        <v>19</v>
      </c>
      <c r="I115" s="95">
        <v>0.87</v>
      </c>
      <c r="P115" s="95">
        <v>2023</v>
      </c>
      <c r="S115" s="95" t="s">
        <v>99</v>
      </c>
      <c r="T115" s="95" t="s">
        <v>157</v>
      </c>
    </row>
    <row r="116" spans="1:20" x14ac:dyDescent="0.2">
      <c r="A116" s="95" t="s">
        <v>73</v>
      </c>
      <c r="B116" s="95" t="s">
        <v>66</v>
      </c>
      <c r="C116" s="95" t="s">
        <v>67</v>
      </c>
      <c r="D116" s="95" t="s">
        <v>81</v>
      </c>
      <c r="G116" s="95">
        <v>19</v>
      </c>
      <c r="I116" s="95">
        <v>0.97</v>
      </c>
      <c r="P116" s="95">
        <v>2023</v>
      </c>
      <c r="S116" s="95" t="s">
        <v>99</v>
      </c>
      <c r="T116" s="95" t="s">
        <v>158</v>
      </c>
    </row>
    <row r="117" spans="1:20" x14ac:dyDescent="0.2">
      <c r="A117" s="95" t="s">
        <v>73</v>
      </c>
      <c r="B117" s="95" t="s">
        <v>66</v>
      </c>
      <c r="C117" s="95" t="s">
        <v>67</v>
      </c>
      <c r="D117" s="95" t="s">
        <v>81</v>
      </c>
      <c r="G117" s="95">
        <v>13</v>
      </c>
      <c r="I117" s="95">
        <v>0.63</v>
      </c>
      <c r="P117" s="95">
        <v>2023</v>
      </c>
      <c r="S117" s="95" t="s">
        <v>99</v>
      </c>
      <c r="T117" s="95" t="s">
        <v>159</v>
      </c>
    </row>
    <row r="118" spans="1:20" x14ac:dyDescent="0.2">
      <c r="A118" s="95" t="s">
        <v>73</v>
      </c>
      <c r="B118" s="95" t="s">
        <v>66</v>
      </c>
      <c r="C118" s="95" t="s">
        <v>67</v>
      </c>
      <c r="D118" s="95" t="s">
        <v>68</v>
      </c>
      <c r="G118" s="95">
        <v>6</v>
      </c>
      <c r="I118" s="95">
        <v>1.87</v>
      </c>
      <c r="P118" s="95">
        <v>2023</v>
      </c>
      <c r="S118" s="95" t="s">
        <v>99</v>
      </c>
      <c r="T118" s="95" t="s">
        <v>160</v>
      </c>
    </row>
    <row r="119" spans="1:20" x14ac:dyDescent="0.2">
      <c r="A119" s="95" t="s">
        <v>73</v>
      </c>
      <c r="B119" s="95" t="s">
        <v>66</v>
      </c>
      <c r="C119" s="95" t="s">
        <v>67</v>
      </c>
      <c r="D119" s="95" t="s">
        <v>68</v>
      </c>
      <c r="G119" s="95">
        <v>30</v>
      </c>
      <c r="I119" s="95">
        <v>1.24</v>
      </c>
      <c r="P119" s="95">
        <v>2023</v>
      </c>
      <c r="S119" s="95" t="s">
        <v>99</v>
      </c>
      <c r="T119" s="95" t="s">
        <v>161</v>
      </c>
    </row>
    <row r="120" spans="1:20" x14ac:dyDescent="0.2">
      <c r="A120" s="95" t="s">
        <v>73</v>
      </c>
      <c r="B120" s="95" t="s">
        <v>66</v>
      </c>
      <c r="C120" s="95" t="s">
        <v>67</v>
      </c>
      <c r="D120" s="95" t="s">
        <v>68</v>
      </c>
      <c r="G120" s="95">
        <v>30</v>
      </c>
      <c r="I120" s="95">
        <v>19.57</v>
      </c>
      <c r="P120" s="95">
        <v>2023</v>
      </c>
      <c r="S120" s="95" t="s">
        <v>99</v>
      </c>
      <c r="T120" s="95" t="s">
        <v>162</v>
      </c>
    </row>
    <row r="121" spans="1:20" x14ac:dyDescent="0.2">
      <c r="A121" s="95" t="s">
        <v>73</v>
      </c>
      <c r="B121" s="95" t="s">
        <v>66</v>
      </c>
      <c r="C121" s="95" t="s">
        <v>67</v>
      </c>
      <c r="D121" s="95" t="s">
        <v>81</v>
      </c>
      <c r="G121" s="95">
        <v>13</v>
      </c>
      <c r="I121" s="95">
        <v>0.82</v>
      </c>
      <c r="P121" s="95">
        <v>2023</v>
      </c>
      <c r="S121" s="95" t="s">
        <v>99</v>
      </c>
      <c r="T121" s="95" t="s">
        <v>163</v>
      </c>
    </row>
    <row r="122" spans="1:20" x14ac:dyDescent="0.2">
      <c r="A122" s="95" t="s">
        <v>73</v>
      </c>
      <c r="B122" s="95" t="s">
        <v>66</v>
      </c>
      <c r="C122" s="95" t="s">
        <v>67</v>
      </c>
      <c r="D122" s="95" t="s">
        <v>81</v>
      </c>
      <c r="G122" s="95">
        <v>30</v>
      </c>
      <c r="I122" s="95">
        <v>1.43</v>
      </c>
      <c r="P122" s="95">
        <v>2023</v>
      </c>
      <c r="S122" s="95" t="s">
        <v>99</v>
      </c>
      <c r="T122" s="95" t="s">
        <v>164</v>
      </c>
    </row>
    <row r="123" spans="1:20" x14ac:dyDescent="0.2">
      <c r="A123" s="95" t="s">
        <v>73</v>
      </c>
      <c r="B123" s="95" t="s">
        <v>66</v>
      </c>
      <c r="C123" s="95" t="s">
        <v>67</v>
      </c>
      <c r="D123" s="95" t="s">
        <v>81</v>
      </c>
      <c r="G123" s="95">
        <v>13</v>
      </c>
      <c r="I123" s="95">
        <v>0.84</v>
      </c>
      <c r="P123" s="95">
        <v>2023</v>
      </c>
      <c r="S123" s="95" t="s">
        <v>99</v>
      </c>
      <c r="T123" s="95" t="s">
        <v>165</v>
      </c>
    </row>
    <row r="124" spans="1:20" x14ac:dyDescent="0.2">
      <c r="A124" s="95" t="s">
        <v>73</v>
      </c>
      <c r="B124" s="95" t="s">
        <v>66</v>
      </c>
      <c r="C124" s="95" t="s">
        <v>67</v>
      </c>
      <c r="D124" s="95" t="s">
        <v>81</v>
      </c>
      <c r="G124" s="95">
        <v>19</v>
      </c>
      <c r="I124" s="95">
        <v>0.85</v>
      </c>
      <c r="P124" s="95">
        <v>2023</v>
      </c>
      <c r="S124" s="95" t="s">
        <v>99</v>
      </c>
      <c r="T124" s="95" t="s">
        <v>166</v>
      </c>
    </row>
    <row r="125" spans="1:20" x14ac:dyDescent="0.2">
      <c r="A125" s="95" t="s">
        <v>73</v>
      </c>
      <c r="B125" s="95" t="s">
        <v>66</v>
      </c>
      <c r="C125" s="95" t="s">
        <v>67</v>
      </c>
      <c r="D125" s="95" t="s">
        <v>81</v>
      </c>
      <c r="G125" s="95">
        <v>19</v>
      </c>
      <c r="I125" s="95">
        <v>1.26</v>
      </c>
      <c r="P125" s="95">
        <v>2023</v>
      </c>
      <c r="S125" s="95" t="s">
        <v>99</v>
      </c>
      <c r="T125" s="95" t="s">
        <v>167</v>
      </c>
    </row>
    <row r="126" spans="1:20" x14ac:dyDescent="0.2">
      <c r="A126" s="95" t="s">
        <v>73</v>
      </c>
      <c r="B126" s="95" t="s">
        <v>66</v>
      </c>
      <c r="C126" s="95" t="s">
        <v>67</v>
      </c>
      <c r="D126" s="95" t="s">
        <v>68</v>
      </c>
      <c r="G126" s="95">
        <v>30</v>
      </c>
      <c r="I126" s="95">
        <v>1.48</v>
      </c>
      <c r="P126" s="95">
        <v>2023</v>
      </c>
      <c r="S126" s="95" t="s">
        <v>99</v>
      </c>
      <c r="T126" s="95" t="s">
        <v>168</v>
      </c>
    </row>
    <row r="127" spans="1:20" x14ac:dyDescent="0.2">
      <c r="A127" s="95" t="s">
        <v>73</v>
      </c>
      <c r="B127" s="95" t="s">
        <v>66</v>
      </c>
      <c r="C127" s="95" t="s">
        <v>67</v>
      </c>
      <c r="D127" s="95" t="s">
        <v>81</v>
      </c>
      <c r="G127" s="95">
        <v>19</v>
      </c>
      <c r="I127" s="95">
        <v>1.1499999999999999</v>
      </c>
      <c r="P127" s="95">
        <v>2023</v>
      </c>
      <c r="S127" s="95" t="s">
        <v>99</v>
      </c>
      <c r="T127" s="95" t="s">
        <v>169</v>
      </c>
    </row>
    <row r="128" spans="1:20" x14ac:dyDescent="0.2">
      <c r="A128" s="95" t="s">
        <v>73</v>
      </c>
      <c r="B128" s="95" t="s">
        <v>66</v>
      </c>
      <c r="C128" s="95" t="s">
        <v>67</v>
      </c>
      <c r="D128" s="95" t="s">
        <v>81</v>
      </c>
      <c r="G128" s="95">
        <v>13</v>
      </c>
      <c r="I128" s="95">
        <v>0.96</v>
      </c>
      <c r="P128" s="95">
        <v>2023</v>
      </c>
      <c r="S128" s="95" t="s">
        <v>99</v>
      </c>
      <c r="T128" s="95" t="s">
        <v>170</v>
      </c>
    </row>
    <row r="129" spans="1:20" x14ac:dyDescent="0.2">
      <c r="A129" s="95" t="s">
        <v>73</v>
      </c>
      <c r="B129" s="95" t="s">
        <v>66</v>
      </c>
      <c r="C129" s="95" t="s">
        <v>67</v>
      </c>
      <c r="D129" s="95" t="s">
        <v>81</v>
      </c>
      <c r="G129" s="95">
        <v>19</v>
      </c>
      <c r="I129" s="95">
        <v>1.08</v>
      </c>
      <c r="P129" s="95">
        <v>2023</v>
      </c>
      <c r="S129" s="95" t="s">
        <v>99</v>
      </c>
      <c r="T129" s="95" t="s">
        <v>171</v>
      </c>
    </row>
    <row r="130" spans="1:20" x14ac:dyDescent="0.2">
      <c r="A130" s="95" t="s">
        <v>73</v>
      </c>
      <c r="B130" s="95" t="s">
        <v>66</v>
      </c>
      <c r="C130" s="95" t="s">
        <v>67</v>
      </c>
      <c r="D130" s="95" t="s">
        <v>68</v>
      </c>
      <c r="G130" s="95">
        <v>13</v>
      </c>
      <c r="I130" s="95">
        <v>0.93</v>
      </c>
      <c r="P130" s="95">
        <v>2023</v>
      </c>
      <c r="S130" s="95" t="s">
        <v>99</v>
      </c>
      <c r="T130" s="95" t="s">
        <v>172</v>
      </c>
    </row>
    <row r="131" spans="1:20" x14ac:dyDescent="0.2">
      <c r="A131" s="95" t="s">
        <v>73</v>
      </c>
      <c r="B131" s="95" t="s">
        <v>66</v>
      </c>
      <c r="C131" s="95" t="s">
        <v>67</v>
      </c>
      <c r="D131" s="95" t="s">
        <v>68</v>
      </c>
      <c r="G131" s="95">
        <v>7</v>
      </c>
      <c r="I131" s="95">
        <v>1.99</v>
      </c>
      <c r="P131" s="95">
        <v>2023</v>
      </c>
      <c r="S131" s="95" t="s">
        <v>99</v>
      </c>
      <c r="T131" s="95" t="s">
        <v>173</v>
      </c>
    </row>
    <row r="132" spans="1:20" x14ac:dyDescent="0.2">
      <c r="A132" s="95" t="s">
        <v>73</v>
      </c>
      <c r="B132" s="95" t="s">
        <v>66</v>
      </c>
      <c r="C132" s="95" t="s">
        <v>67</v>
      </c>
      <c r="D132" s="95" t="s">
        <v>68</v>
      </c>
      <c r="G132" s="95">
        <v>6</v>
      </c>
      <c r="I132" s="95">
        <v>95.58</v>
      </c>
      <c r="P132" s="95">
        <v>2023</v>
      </c>
      <c r="S132" s="95" t="s">
        <v>99</v>
      </c>
      <c r="T132" s="95" t="s">
        <v>174</v>
      </c>
    </row>
    <row r="133" spans="1:20" x14ac:dyDescent="0.2">
      <c r="A133" s="95" t="s">
        <v>73</v>
      </c>
      <c r="B133" s="95" t="s">
        <v>66</v>
      </c>
      <c r="C133" s="95" t="s">
        <v>67</v>
      </c>
      <c r="D133" s="95" t="s">
        <v>81</v>
      </c>
      <c r="G133" s="95">
        <v>13</v>
      </c>
      <c r="I133" s="95">
        <v>0.75</v>
      </c>
      <c r="P133" s="95">
        <v>2023</v>
      </c>
      <c r="S133" s="95" t="s">
        <v>99</v>
      </c>
      <c r="T133" s="95" t="s">
        <v>175</v>
      </c>
    </row>
    <row r="134" spans="1:20" x14ac:dyDescent="0.2">
      <c r="A134" s="95" t="s">
        <v>65</v>
      </c>
      <c r="B134" s="95" t="s">
        <v>66</v>
      </c>
      <c r="C134" s="95" t="s">
        <v>86</v>
      </c>
      <c r="D134" s="95" t="s">
        <v>68</v>
      </c>
      <c r="F134" s="95">
        <v>0.5</v>
      </c>
      <c r="G134" s="95">
        <v>3</v>
      </c>
      <c r="I134" s="95">
        <v>0.43687500000000001</v>
      </c>
      <c r="P134" s="95">
        <v>2023</v>
      </c>
      <c r="Q134" s="95" t="s">
        <v>176</v>
      </c>
      <c r="R134" s="95" t="s">
        <v>177</v>
      </c>
      <c r="S134" s="95" t="s">
        <v>99</v>
      </c>
      <c r="T134" s="95" t="s">
        <v>178</v>
      </c>
    </row>
    <row r="135" spans="1:20" x14ac:dyDescent="0.2">
      <c r="A135" s="95" t="s">
        <v>65</v>
      </c>
      <c r="B135" s="95" t="s">
        <v>66</v>
      </c>
      <c r="C135" s="95" t="s">
        <v>84</v>
      </c>
      <c r="D135" s="95" t="s">
        <v>81</v>
      </c>
      <c r="F135" s="95">
        <v>0.5</v>
      </c>
      <c r="G135" s="95">
        <v>3.2</v>
      </c>
      <c r="I135" s="95">
        <v>0.62250000000000005</v>
      </c>
      <c r="P135" s="95">
        <v>2023</v>
      </c>
      <c r="Q135" s="95" t="s">
        <v>179</v>
      </c>
      <c r="R135" s="95" t="s">
        <v>180</v>
      </c>
      <c r="S135" s="95" t="s">
        <v>99</v>
      </c>
      <c r="T135" s="95" t="s">
        <v>181</v>
      </c>
    </row>
    <row r="136" spans="1:20" x14ac:dyDescent="0.2">
      <c r="A136" s="95" t="s">
        <v>65</v>
      </c>
      <c r="B136" s="95" t="s">
        <v>66</v>
      </c>
      <c r="C136" s="95" t="s">
        <v>85</v>
      </c>
      <c r="D136" s="95" t="s">
        <v>81</v>
      </c>
      <c r="F136" s="95">
        <v>0.63</v>
      </c>
      <c r="G136" s="95">
        <v>3</v>
      </c>
      <c r="I136" s="95">
        <v>0.83250000000000002</v>
      </c>
      <c r="P136" s="95">
        <v>2023</v>
      </c>
      <c r="Q136" s="95" t="s">
        <v>182</v>
      </c>
      <c r="R136" s="95" t="s">
        <v>183</v>
      </c>
      <c r="S136" s="95" t="s">
        <v>99</v>
      </c>
      <c r="T136" s="95" t="s">
        <v>184</v>
      </c>
    </row>
    <row r="137" spans="1:20" x14ac:dyDescent="0.2">
      <c r="A137" s="95" t="s">
        <v>65</v>
      </c>
      <c r="B137" s="95" t="s">
        <v>66</v>
      </c>
      <c r="C137" s="95" t="s">
        <v>85</v>
      </c>
      <c r="D137" s="95" t="s">
        <v>68</v>
      </c>
      <c r="F137" s="95">
        <v>0.75</v>
      </c>
      <c r="G137" s="95">
        <v>2.65</v>
      </c>
      <c r="I137" s="95">
        <v>2.5950000000000002</v>
      </c>
      <c r="P137" s="95">
        <v>2023</v>
      </c>
      <c r="Q137" s="95" t="s">
        <v>185</v>
      </c>
      <c r="R137" s="95" t="s">
        <v>186</v>
      </c>
      <c r="S137" s="95" t="s">
        <v>99</v>
      </c>
      <c r="T137" s="95" t="s">
        <v>187</v>
      </c>
    </row>
    <row r="138" spans="1:20" x14ac:dyDescent="0.2">
      <c r="A138" s="95" t="s">
        <v>65</v>
      </c>
      <c r="B138" s="95" t="s">
        <v>66</v>
      </c>
      <c r="C138" s="95" t="s">
        <v>86</v>
      </c>
      <c r="D138" s="95" t="s">
        <v>68</v>
      </c>
      <c r="F138" s="95">
        <v>1</v>
      </c>
      <c r="G138" s="95">
        <v>5</v>
      </c>
      <c r="I138" s="95">
        <v>0.97875000000000001</v>
      </c>
      <c r="P138" s="95">
        <v>2023</v>
      </c>
      <c r="Q138" s="95" t="s">
        <v>188</v>
      </c>
      <c r="R138" s="95" t="s">
        <v>189</v>
      </c>
      <c r="S138" s="95" t="s">
        <v>99</v>
      </c>
      <c r="T138" s="95" t="s">
        <v>190</v>
      </c>
    </row>
    <row r="139" spans="1:20" x14ac:dyDescent="0.2">
      <c r="A139" s="95" t="s">
        <v>65</v>
      </c>
      <c r="B139" s="95" t="s">
        <v>66</v>
      </c>
      <c r="C139" s="95" t="s">
        <v>85</v>
      </c>
      <c r="D139" s="95" t="s">
        <v>81</v>
      </c>
      <c r="F139" s="95">
        <v>1</v>
      </c>
      <c r="G139" s="95">
        <v>3.85</v>
      </c>
      <c r="I139" s="95">
        <v>0.48781249999999998</v>
      </c>
      <c r="P139" s="95">
        <v>2023</v>
      </c>
      <c r="Q139" s="95" t="s">
        <v>191</v>
      </c>
      <c r="R139" s="95" t="s">
        <v>192</v>
      </c>
      <c r="S139" s="95" t="s">
        <v>99</v>
      </c>
      <c r="T139" s="95" t="s">
        <v>193</v>
      </c>
    </row>
    <row r="140" spans="1:20" x14ac:dyDescent="0.2">
      <c r="A140" s="95" t="s">
        <v>65</v>
      </c>
      <c r="B140" s="95" t="s">
        <v>66</v>
      </c>
      <c r="C140" s="95" t="s">
        <v>85</v>
      </c>
      <c r="D140" s="95" t="s">
        <v>81</v>
      </c>
      <c r="F140" s="95">
        <v>1</v>
      </c>
      <c r="G140" s="95">
        <v>5</v>
      </c>
      <c r="I140" s="95">
        <v>1.3891666666666669</v>
      </c>
      <c r="P140" s="95">
        <v>2023</v>
      </c>
      <c r="Q140" s="95" t="s">
        <v>194</v>
      </c>
      <c r="R140" s="95" t="s">
        <v>195</v>
      </c>
      <c r="S140" s="95" t="s">
        <v>99</v>
      </c>
      <c r="T140" s="95" t="s">
        <v>196</v>
      </c>
    </row>
    <row r="141" spans="1:20" x14ac:dyDescent="0.2">
      <c r="A141" s="95" t="s">
        <v>65</v>
      </c>
      <c r="B141" s="95" t="s">
        <v>66</v>
      </c>
      <c r="C141" s="95" t="s">
        <v>86</v>
      </c>
      <c r="D141" s="95" t="s">
        <v>68</v>
      </c>
      <c r="F141" s="95">
        <v>1</v>
      </c>
      <c r="G141" s="95">
        <v>5</v>
      </c>
      <c r="I141" s="95">
        <v>1.7450000000000001</v>
      </c>
      <c r="P141" s="95">
        <v>2023</v>
      </c>
      <c r="Q141" s="95" t="s">
        <v>16</v>
      </c>
      <c r="R141" s="95" t="s">
        <v>197</v>
      </c>
      <c r="S141" s="95" t="s">
        <v>99</v>
      </c>
      <c r="T141" s="95" t="s">
        <v>198</v>
      </c>
    </row>
    <row r="142" spans="1:20" x14ac:dyDescent="0.2">
      <c r="A142" s="95" t="s">
        <v>65</v>
      </c>
      <c r="B142" s="95" t="s">
        <v>66</v>
      </c>
      <c r="C142" s="95" t="s">
        <v>86</v>
      </c>
      <c r="D142" s="95" t="s">
        <v>81</v>
      </c>
      <c r="F142" s="95">
        <v>1</v>
      </c>
      <c r="G142" s="95">
        <v>5</v>
      </c>
      <c r="I142" s="95">
        <v>3.85</v>
      </c>
      <c r="P142" s="95">
        <v>2023</v>
      </c>
      <c r="Q142" s="95" t="s">
        <v>199</v>
      </c>
      <c r="R142" s="95" t="s">
        <v>200</v>
      </c>
      <c r="S142" s="95" t="s">
        <v>99</v>
      </c>
      <c r="T142" s="95" t="s">
        <v>201</v>
      </c>
    </row>
    <row r="143" spans="1:20" x14ac:dyDescent="0.2">
      <c r="A143" s="95" t="s">
        <v>65</v>
      </c>
      <c r="B143" s="95" t="s">
        <v>66</v>
      </c>
      <c r="C143" s="95" t="s">
        <v>86</v>
      </c>
      <c r="D143" s="95" t="s">
        <v>81</v>
      </c>
      <c r="F143" s="95">
        <v>1</v>
      </c>
      <c r="G143" s="95">
        <v>5</v>
      </c>
      <c r="I143" s="95">
        <v>3.66</v>
      </c>
      <c r="P143" s="95">
        <v>2023</v>
      </c>
      <c r="Q143" s="95" t="s">
        <v>199</v>
      </c>
      <c r="R143" s="95" t="s">
        <v>202</v>
      </c>
      <c r="S143" s="95" t="s">
        <v>99</v>
      </c>
      <c r="T143" s="95" t="s">
        <v>203</v>
      </c>
    </row>
    <row r="144" spans="1:20" x14ac:dyDescent="0.2">
      <c r="A144" s="95" t="s">
        <v>65</v>
      </c>
      <c r="B144" s="95" t="s">
        <v>66</v>
      </c>
      <c r="C144" s="95" t="s">
        <v>86</v>
      </c>
      <c r="D144" s="95" t="s">
        <v>81</v>
      </c>
      <c r="F144" s="95">
        <v>1</v>
      </c>
      <c r="G144" s="95">
        <v>5</v>
      </c>
      <c r="I144" s="95">
        <v>3.9950000000000001</v>
      </c>
      <c r="P144" s="95">
        <v>2023</v>
      </c>
      <c r="Q144" s="95" t="s">
        <v>199</v>
      </c>
      <c r="R144" s="95" t="s">
        <v>204</v>
      </c>
      <c r="S144" s="95" t="s">
        <v>99</v>
      </c>
      <c r="T144" s="95" t="s">
        <v>205</v>
      </c>
    </row>
    <row r="145" spans="1:20" x14ac:dyDescent="0.2">
      <c r="A145" s="95" t="s">
        <v>65</v>
      </c>
      <c r="B145" s="95" t="s">
        <v>66</v>
      </c>
      <c r="C145" s="95" t="s">
        <v>86</v>
      </c>
      <c r="D145" s="95" t="s">
        <v>68</v>
      </c>
      <c r="F145" s="95">
        <v>1.5</v>
      </c>
      <c r="G145" s="95">
        <v>7.5</v>
      </c>
      <c r="I145" s="95">
        <v>1.1131249999999999</v>
      </c>
      <c r="P145" s="95">
        <v>2023</v>
      </c>
      <c r="Q145" s="95" t="s">
        <v>199</v>
      </c>
      <c r="R145" s="95" t="s">
        <v>206</v>
      </c>
      <c r="S145" s="95" t="s">
        <v>99</v>
      </c>
      <c r="T145" s="95" t="s">
        <v>207</v>
      </c>
    </row>
    <row r="146" spans="1:20" x14ac:dyDescent="0.2">
      <c r="A146" s="95" t="s">
        <v>65</v>
      </c>
      <c r="B146" s="95" t="s">
        <v>66</v>
      </c>
      <c r="C146" s="95" t="s">
        <v>85</v>
      </c>
      <c r="D146" s="95" t="s">
        <v>81</v>
      </c>
      <c r="F146" s="95">
        <v>1.5</v>
      </c>
      <c r="G146" s="95">
        <v>5.78</v>
      </c>
      <c r="I146" s="95">
        <v>0.65187499999999998</v>
      </c>
      <c r="P146" s="95">
        <v>2023</v>
      </c>
      <c r="Q146" s="95" t="s">
        <v>191</v>
      </c>
      <c r="R146" s="95" t="s">
        <v>208</v>
      </c>
      <c r="S146" s="95" t="s">
        <v>99</v>
      </c>
      <c r="T146" s="95" t="s">
        <v>209</v>
      </c>
    </row>
    <row r="147" spans="1:20" x14ac:dyDescent="0.2">
      <c r="A147" s="95" t="s">
        <v>65</v>
      </c>
      <c r="B147" s="95" t="s">
        <v>66</v>
      </c>
      <c r="C147" s="95" t="s">
        <v>86</v>
      </c>
      <c r="D147" s="95" t="s">
        <v>68</v>
      </c>
      <c r="F147" s="95">
        <v>2</v>
      </c>
      <c r="G147" s="95">
        <v>10</v>
      </c>
      <c r="I147" s="95">
        <v>1.89</v>
      </c>
      <c r="P147" s="95">
        <v>2023</v>
      </c>
      <c r="Q147" s="95" t="s">
        <v>210</v>
      </c>
      <c r="R147" s="95" t="s">
        <v>211</v>
      </c>
      <c r="S147" s="95" t="s">
        <v>99</v>
      </c>
      <c r="T147" s="95" t="s">
        <v>212</v>
      </c>
    </row>
    <row r="148" spans="1:20" x14ac:dyDescent="0.2">
      <c r="A148" s="95" t="s">
        <v>65</v>
      </c>
      <c r="B148" s="95" t="s">
        <v>66</v>
      </c>
      <c r="C148" s="95" t="s">
        <v>85</v>
      </c>
      <c r="D148" s="95" t="s">
        <v>81</v>
      </c>
      <c r="F148" s="95">
        <v>2</v>
      </c>
      <c r="G148" s="95">
        <v>7.7</v>
      </c>
      <c r="I148" s="95">
        <v>0.83218749999999997</v>
      </c>
      <c r="P148" s="95">
        <v>2023</v>
      </c>
      <c r="Q148" s="95" t="s">
        <v>191</v>
      </c>
      <c r="R148" s="95" t="s">
        <v>213</v>
      </c>
      <c r="S148" s="95" t="s">
        <v>99</v>
      </c>
      <c r="T148" s="95" t="s">
        <v>214</v>
      </c>
    </row>
    <row r="149" spans="1:20" x14ac:dyDescent="0.2">
      <c r="A149" s="95" t="s">
        <v>65</v>
      </c>
      <c r="B149" s="95" t="s">
        <v>66</v>
      </c>
      <c r="C149" s="95" t="s">
        <v>86</v>
      </c>
      <c r="D149" s="95" t="s">
        <v>68</v>
      </c>
      <c r="F149" s="95">
        <v>2</v>
      </c>
      <c r="G149" s="95">
        <v>10</v>
      </c>
      <c r="I149" s="95">
        <v>1.85625</v>
      </c>
      <c r="P149" s="95">
        <v>2023</v>
      </c>
      <c r="Q149" s="95" t="s">
        <v>176</v>
      </c>
      <c r="R149" s="95" t="s">
        <v>215</v>
      </c>
      <c r="S149" s="95" t="s">
        <v>99</v>
      </c>
      <c r="T149" s="95" t="s">
        <v>216</v>
      </c>
    </row>
    <row r="150" spans="1:20" x14ac:dyDescent="0.2">
      <c r="A150" s="95" t="s">
        <v>65</v>
      </c>
      <c r="B150" s="95" t="s">
        <v>66</v>
      </c>
      <c r="C150" s="95" t="s">
        <v>86</v>
      </c>
      <c r="D150" s="95" t="s">
        <v>68</v>
      </c>
      <c r="F150" s="95">
        <v>2</v>
      </c>
      <c r="G150" s="95">
        <v>10</v>
      </c>
      <c r="I150" s="95">
        <v>1.85625</v>
      </c>
      <c r="P150" s="95">
        <v>2023</v>
      </c>
      <c r="Q150" s="95" t="s">
        <v>217</v>
      </c>
      <c r="R150" s="95" t="s">
        <v>218</v>
      </c>
      <c r="S150" s="95" t="s">
        <v>99</v>
      </c>
      <c r="T150" s="95" t="s">
        <v>219</v>
      </c>
    </row>
    <row r="151" spans="1:20" x14ac:dyDescent="0.2">
      <c r="A151" s="95" t="s">
        <v>65</v>
      </c>
      <c r="B151" s="95" t="s">
        <v>66</v>
      </c>
      <c r="C151" s="95" t="s">
        <v>85</v>
      </c>
      <c r="D151" s="95" t="s">
        <v>81</v>
      </c>
      <c r="F151" s="95">
        <v>2</v>
      </c>
      <c r="G151" s="95">
        <v>10</v>
      </c>
      <c r="I151" s="95">
        <v>2.875</v>
      </c>
      <c r="P151" s="95">
        <v>2023</v>
      </c>
      <c r="Q151" s="95" t="s">
        <v>182</v>
      </c>
      <c r="R151" s="95" t="s">
        <v>220</v>
      </c>
      <c r="S151" s="95" t="s">
        <v>99</v>
      </c>
      <c r="T151" s="95" t="s">
        <v>221</v>
      </c>
    </row>
    <row r="152" spans="1:20" x14ac:dyDescent="0.2">
      <c r="A152" s="95" t="s">
        <v>65</v>
      </c>
      <c r="B152" s="95" t="s">
        <v>66</v>
      </c>
      <c r="C152" s="95" t="s">
        <v>86</v>
      </c>
      <c r="D152" s="95" t="s">
        <v>81</v>
      </c>
      <c r="F152" s="95">
        <v>2</v>
      </c>
      <c r="G152" s="95">
        <v>10</v>
      </c>
      <c r="I152" s="95">
        <v>5.2262500000000003</v>
      </c>
      <c r="P152" s="95">
        <v>2023</v>
      </c>
      <c r="Q152" s="95" t="s">
        <v>199</v>
      </c>
      <c r="R152" s="95" t="s">
        <v>222</v>
      </c>
      <c r="S152" s="95" t="s">
        <v>99</v>
      </c>
      <c r="T152" s="95" t="s">
        <v>223</v>
      </c>
    </row>
    <row r="153" spans="1:20" x14ac:dyDescent="0.2">
      <c r="A153" s="95" t="s">
        <v>65</v>
      </c>
      <c r="B153" s="95" t="s">
        <v>66</v>
      </c>
      <c r="C153" s="95" t="s">
        <v>86</v>
      </c>
      <c r="D153" s="95" t="s">
        <v>81</v>
      </c>
      <c r="F153" s="95">
        <v>2</v>
      </c>
      <c r="G153" s="95">
        <v>10</v>
      </c>
      <c r="I153" s="95">
        <v>4.9924999999999997</v>
      </c>
      <c r="P153" s="95">
        <v>2023</v>
      </c>
      <c r="Q153" s="95" t="s">
        <v>199</v>
      </c>
      <c r="R153" s="95" t="s">
        <v>224</v>
      </c>
      <c r="S153" s="95" t="s">
        <v>99</v>
      </c>
      <c r="T153" s="95" t="s">
        <v>225</v>
      </c>
    </row>
    <row r="154" spans="1:20" x14ac:dyDescent="0.2">
      <c r="A154" s="95" t="s">
        <v>65</v>
      </c>
      <c r="B154" s="95" t="s">
        <v>66</v>
      </c>
      <c r="C154" s="95" t="s">
        <v>86</v>
      </c>
      <c r="D154" s="95" t="s">
        <v>81</v>
      </c>
      <c r="F154" s="95">
        <v>2</v>
      </c>
      <c r="G154" s="95">
        <v>10</v>
      </c>
      <c r="I154" s="95">
        <v>5.15625</v>
      </c>
      <c r="P154" s="95">
        <v>2023</v>
      </c>
      <c r="Q154" s="95" t="s">
        <v>199</v>
      </c>
      <c r="R154" s="95" t="s">
        <v>226</v>
      </c>
      <c r="S154" s="95" t="s">
        <v>99</v>
      </c>
      <c r="T154" s="95" t="s">
        <v>227</v>
      </c>
    </row>
    <row r="155" spans="1:20" x14ac:dyDescent="0.2">
      <c r="A155" s="95" t="s">
        <v>65</v>
      </c>
      <c r="B155" s="95" t="s">
        <v>66</v>
      </c>
      <c r="C155" s="95" t="s">
        <v>85</v>
      </c>
      <c r="D155" s="95" t="s">
        <v>68</v>
      </c>
      <c r="F155" s="95">
        <v>2.38</v>
      </c>
      <c r="G155" s="95">
        <v>10</v>
      </c>
      <c r="I155" s="95">
        <v>2.5821874999999999</v>
      </c>
      <c r="P155" s="95">
        <v>2023</v>
      </c>
      <c r="Q155" s="95" t="s">
        <v>228</v>
      </c>
      <c r="R155" s="95" t="s">
        <v>229</v>
      </c>
      <c r="S155" s="95" t="s">
        <v>99</v>
      </c>
      <c r="T155" s="95" t="s">
        <v>230</v>
      </c>
    </row>
    <row r="156" spans="1:20" x14ac:dyDescent="0.2">
      <c r="A156" s="95" t="s">
        <v>97</v>
      </c>
      <c r="B156" s="95" t="s">
        <v>66</v>
      </c>
      <c r="C156" s="95" t="s">
        <v>239</v>
      </c>
      <c r="G156" s="95">
        <v>2</v>
      </c>
      <c r="H156" s="95">
        <v>3.7</v>
      </c>
      <c r="I156" s="95">
        <v>0.876</v>
      </c>
      <c r="P156" s="95">
        <v>2023</v>
      </c>
      <c r="R156" s="95" t="s">
        <v>240</v>
      </c>
      <c r="S156" s="95" t="s">
        <v>99</v>
      </c>
      <c r="T156" s="95" t="s">
        <v>241</v>
      </c>
    </row>
    <row r="157" spans="1:20" x14ac:dyDescent="0.2">
      <c r="A157" s="95" t="s">
        <v>97</v>
      </c>
      <c r="B157" s="95" t="s">
        <v>66</v>
      </c>
      <c r="C157" s="95" t="s">
        <v>252</v>
      </c>
      <c r="G157" s="95">
        <v>6.44</v>
      </c>
      <c r="I157" s="95">
        <v>1.9450000000000001</v>
      </c>
      <c r="P157" s="95">
        <v>2023</v>
      </c>
      <c r="R157" s="95" t="s">
        <v>242</v>
      </c>
      <c r="S157" s="95" t="s">
        <v>99</v>
      </c>
      <c r="T157" s="95" t="s">
        <v>243</v>
      </c>
    </row>
    <row r="158" spans="1:20" x14ac:dyDescent="0.2">
      <c r="A158" s="95" t="s">
        <v>97</v>
      </c>
      <c r="B158" s="95" t="s">
        <v>66</v>
      </c>
      <c r="C158" s="95" t="s">
        <v>239</v>
      </c>
      <c r="G158" s="95">
        <v>3.7</v>
      </c>
      <c r="I158" s="95">
        <v>1.0760000000000001</v>
      </c>
      <c r="P158" s="95">
        <v>2023</v>
      </c>
      <c r="R158" s="95" t="s">
        <v>244</v>
      </c>
      <c r="S158" s="95" t="s">
        <v>99</v>
      </c>
      <c r="T158" s="95" t="s">
        <v>245</v>
      </c>
    </row>
    <row r="159" spans="1:20" x14ac:dyDescent="0.2">
      <c r="A159" s="95" t="s">
        <v>97</v>
      </c>
      <c r="B159" s="95" t="s">
        <v>66</v>
      </c>
      <c r="C159" s="95" t="s">
        <v>239</v>
      </c>
      <c r="G159" s="95">
        <v>4.49</v>
      </c>
      <c r="H159" s="95">
        <v>4</v>
      </c>
      <c r="I159" s="95">
        <v>1.3759999999999999</v>
      </c>
      <c r="P159" s="95">
        <v>2023</v>
      </c>
      <c r="R159" s="95" t="s">
        <v>246</v>
      </c>
      <c r="S159" s="95" t="s">
        <v>99</v>
      </c>
      <c r="T159" s="95" t="s">
        <v>247</v>
      </c>
    </row>
    <row r="160" spans="1:20" x14ac:dyDescent="0.2">
      <c r="A160" s="95" t="s">
        <v>97</v>
      </c>
      <c r="B160" s="95" t="s">
        <v>66</v>
      </c>
      <c r="C160" s="95" t="s">
        <v>252</v>
      </c>
      <c r="G160" s="95">
        <v>6</v>
      </c>
      <c r="I160" s="95">
        <v>1.9450000000000001</v>
      </c>
      <c r="P160" s="95">
        <v>2023</v>
      </c>
      <c r="R160" s="95" t="s">
        <v>248</v>
      </c>
      <c r="S160" s="95" t="s">
        <v>99</v>
      </c>
      <c r="T160" s="95" t="s">
        <v>249</v>
      </c>
    </row>
    <row r="161" spans="1:20" x14ac:dyDescent="0.2">
      <c r="A161" s="95" t="s">
        <v>97</v>
      </c>
      <c r="B161" s="95" t="s">
        <v>66</v>
      </c>
      <c r="C161" s="95" t="s">
        <v>239</v>
      </c>
      <c r="G161" s="95">
        <v>4.5</v>
      </c>
      <c r="H161" s="95">
        <v>4</v>
      </c>
      <c r="I161" s="95">
        <v>1.536</v>
      </c>
      <c r="P161" s="95">
        <v>2023</v>
      </c>
      <c r="R161" s="95" t="s">
        <v>250</v>
      </c>
      <c r="S161" s="95" t="s">
        <v>99</v>
      </c>
      <c r="T161" s="95" t="s">
        <v>251</v>
      </c>
    </row>
    <row r="162" spans="1:20" x14ac:dyDescent="0.2">
      <c r="A162" s="95" t="s">
        <v>97</v>
      </c>
      <c r="B162" s="95" t="s">
        <v>66</v>
      </c>
      <c r="C162" s="95" t="s">
        <v>252</v>
      </c>
      <c r="G162" s="95">
        <v>6.5</v>
      </c>
      <c r="I162" s="95">
        <v>1.665</v>
      </c>
      <c r="P162" s="95">
        <v>2023</v>
      </c>
      <c r="R162" s="95" t="s">
        <v>253</v>
      </c>
      <c r="S162" s="95" t="s">
        <v>99</v>
      </c>
      <c r="T162" s="95" t="s">
        <v>254</v>
      </c>
    </row>
    <row r="163" spans="1:20" x14ac:dyDescent="0.2">
      <c r="A163" s="95" t="s">
        <v>97</v>
      </c>
      <c r="B163" s="95" t="s">
        <v>66</v>
      </c>
      <c r="C163" s="95" t="s">
        <v>239</v>
      </c>
      <c r="G163" s="95">
        <v>4.5</v>
      </c>
      <c r="H163" s="95">
        <v>4</v>
      </c>
      <c r="I163" s="95">
        <v>0.74750000000000005</v>
      </c>
      <c r="P163" s="95">
        <v>2023</v>
      </c>
      <c r="R163" s="95" t="s">
        <v>255</v>
      </c>
      <c r="S163" s="95" t="s">
        <v>99</v>
      </c>
      <c r="T163" s="95" t="s">
        <v>256</v>
      </c>
    </row>
    <row r="164" spans="1:20" x14ac:dyDescent="0.2">
      <c r="A164" s="95" t="s">
        <v>97</v>
      </c>
      <c r="B164" s="95" t="s">
        <v>66</v>
      </c>
      <c r="C164" s="95" t="s">
        <v>239</v>
      </c>
      <c r="G164" s="95">
        <v>2</v>
      </c>
      <c r="H164" s="95">
        <v>3.7</v>
      </c>
      <c r="I164" s="95">
        <v>0.92642857142857149</v>
      </c>
      <c r="P164" s="95">
        <v>2023</v>
      </c>
      <c r="R164" s="95" t="s">
        <v>257</v>
      </c>
      <c r="S164" s="95" t="s">
        <v>99</v>
      </c>
      <c r="T164" s="95" t="s">
        <v>258</v>
      </c>
    </row>
    <row r="165" spans="1:20" x14ac:dyDescent="0.2">
      <c r="A165" s="95" t="s">
        <v>97</v>
      </c>
      <c r="B165" s="95" t="s">
        <v>66</v>
      </c>
      <c r="C165" s="95" t="s">
        <v>239</v>
      </c>
      <c r="G165" s="95">
        <v>3.8</v>
      </c>
      <c r="I165" s="95">
        <v>1.4950000000000001</v>
      </c>
      <c r="P165" s="95">
        <v>2023</v>
      </c>
      <c r="R165" s="95" t="s">
        <v>259</v>
      </c>
      <c r="S165" s="95" t="s">
        <v>99</v>
      </c>
      <c r="T165" s="95" t="s">
        <v>260</v>
      </c>
    </row>
    <row r="166" spans="1:20" x14ac:dyDescent="0.2">
      <c r="A166" s="95" t="s">
        <v>97</v>
      </c>
      <c r="B166" s="95" t="s">
        <v>66</v>
      </c>
      <c r="C166" s="95" t="s">
        <v>239</v>
      </c>
      <c r="G166" s="95">
        <v>2</v>
      </c>
      <c r="H166" s="95">
        <v>3.7</v>
      </c>
      <c r="I166" s="95">
        <v>1.4970000000000001</v>
      </c>
      <c r="P166" s="95">
        <v>2023</v>
      </c>
      <c r="R166" s="95" t="s">
        <v>261</v>
      </c>
      <c r="S166" s="95" t="s">
        <v>99</v>
      </c>
      <c r="T166" s="95" t="s">
        <v>262</v>
      </c>
    </row>
    <row r="167" spans="1:20" x14ac:dyDescent="0.2">
      <c r="A167" s="95" t="s">
        <v>97</v>
      </c>
      <c r="B167" s="95" t="s">
        <v>66</v>
      </c>
      <c r="C167" s="95" t="s">
        <v>239</v>
      </c>
      <c r="G167" s="95">
        <v>4</v>
      </c>
      <c r="I167" s="95">
        <v>1.3283333333333334</v>
      </c>
      <c r="P167" s="95">
        <v>2023</v>
      </c>
      <c r="R167" s="95" t="s">
        <v>263</v>
      </c>
      <c r="S167" s="95" t="s">
        <v>99</v>
      </c>
      <c r="T167" s="95" t="s">
        <v>264</v>
      </c>
    </row>
    <row r="168" spans="1:20" x14ac:dyDescent="0.2">
      <c r="A168" s="95" t="s">
        <v>97</v>
      </c>
      <c r="B168" s="95" t="s">
        <v>66</v>
      </c>
      <c r="C168" s="95" t="s">
        <v>239</v>
      </c>
      <c r="G168" s="95">
        <v>3.7</v>
      </c>
      <c r="I168" s="95">
        <v>1.1960000000000002</v>
      </c>
      <c r="P168" s="95">
        <v>2023</v>
      </c>
      <c r="R168" s="95" t="s">
        <v>265</v>
      </c>
      <c r="S168" s="95" t="s">
        <v>99</v>
      </c>
      <c r="T168" s="95" t="s">
        <v>266</v>
      </c>
    </row>
    <row r="169" spans="1:20" x14ac:dyDescent="0.2">
      <c r="A169" s="95" t="s">
        <v>97</v>
      </c>
      <c r="B169" s="95" t="s">
        <v>66</v>
      </c>
      <c r="C169" s="95" t="s">
        <v>252</v>
      </c>
      <c r="G169" s="95">
        <v>14</v>
      </c>
      <c r="H169" s="95">
        <v>6.8</v>
      </c>
      <c r="I169" s="95">
        <v>1.6658153846153845</v>
      </c>
      <c r="P169" s="95">
        <v>2023</v>
      </c>
      <c r="R169" s="95" t="s">
        <v>267</v>
      </c>
      <c r="S169" s="95" t="s">
        <v>99</v>
      </c>
      <c r="T169" s="95" t="s">
        <v>268</v>
      </c>
    </row>
    <row r="170" spans="1:20" x14ac:dyDescent="0.2">
      <c r="A170" s="95" t="s">
        <v>97</v>
      </c>
      <c r="B170" s="95" t="s">
        <v>66</v>
      </c>
      <c r="C170" s="95" t="s">
        <v>239</v>
      </c>
      <c r="G170" s="95">
        <v>4</v>
      </c>
      <c r="I170" s="95">
        <v>1.9957142857142858</v>
      </c>
      <c r="P170" s="95">
        <v>2023</v>
      </c>
      <c r="R170" s="95" t="s">
        <v>269</v>
      </c>
      <c r="S170" s="95" t="s">
        <v>99</v>
      </c>
      <c r="T170" s="95" t="s">
        <v>270</v>
      </c>
    </row>
    <row r="171" spans="1:20" x14ac:dyDescent="0.2">
      <c r="A171" s="95" t="s">
        <v>97</v>
      </c>
      <c r="B171" s="95" t="s">
        <v>66</v>
      </c>
      <c r="C171" s="95" t="s">
        <v>239</v>
      </c>
      <c r="G171" s="95">
        <v>4</v>
      </c>
      <c r="I171" s="95">
        <v>1.7100000000000002</v>
      </c>
      <c r="P171" s="95">
        <v>2023</v>
      </c>
      <c r="R171" s="95" t="s">
        <v>271</v>
      </c>
      <c r="S171" s="95" t="s">
        <v>99</v>
      </c>
      <c r="T171" s="95" t="s">
        <v>272</v>
      </c>
    </row>
    <row r="172" spans="1:20" x14ac:dyDescent="0.2">
      <c r="A172" s="95" t="s">
        <v>97</v>
      </c>
      <c r="B172" s="95" t="s">
        <v>66</v>
      </c>
      <c r="C172" s="95" t="s">
        <v>252</v>
      </c>
      <c r="G172" s="95">
        <v>14</v>
      </c>
      <c r="H172" s="95">
        <v>6.8</v>
      </c>
      <c r="I172" s="95">
        <v>1.621032258064516</v>
      </c>
      <c r="P172" s="95">
        <v>2023</v>
      </c>
      <c r="R172" s="95" t="s">
        <v>273</v>
      </c>
      <c r="S172" s="95" t="s">
        <v>99</v>
      </c>
      <c r="T172" s="95" t="s">
        <v>274</v>
      </c>
    </row>
    <row r="173" spans="1:20" x14ac:dyDescent="0.2">
      <c r="A173" s="95" t="s">
        <v>97</v>
      </c>
      <c r="B173" s="95" t="s">
        <v>66</v>
      </c>
      <c r="C173" s="95" t="s">
        <v>252</v>
      </c>
      <c r="G173" s="95">
        <v>5.5</v>
      </c>
      <c r="I173" s="95">
        <v>2.2069047619047617</v>
      </c>
      <c r="P173" s="95">
        <v>2023</v>
      </c>
      <c r="R173" s="95" t="s">
        <v>275</v>
      </c>
      <c r="S173" s="95" t="s">
        <v>99</v>
      </c>
      <c r="T173" s="95" t="s">
        <v>276</v>
      </c>
    </row>
    <row r="174" spans="1:20" x14ac:dyDescent="0.2">
      <c r="A174" s="95" t="s">
        <v>97</v>
      </c>
      <c r="B174" s="95" t="s">
        <v>66</v>
      </c>
      <c r="C174" s="95" t="s">
        <v>252</v>
      </c>
      <c r="G174" s="95">
        <v>3.7</v>
      </c>
      <c r="I174" s="95">
        <v>6.427142857142857</v>
      </c>
      <c r="P174" s="95">
        <v>2023</v>
      </c>
      <c r="R174" s="95" t="s">
        <v>277</v>
      </c>
      <c r="S174" s="95" t="s">
        <v>99</v>
      </c>
      <c r="T174" s="95" t="s">
        <v>278</v>
      </c>
    </row>
    <row r="175" spans="1:20" x14ac:dyDescent="0.2">
      <c r="A175" s="95" t="s">
        <v>97</v>
      </c>
      <c r="B175" s="95" t="s">
        <v>66</v>
      </c>
      <c r="C175" s="95" t="s">
        <v>239</v>
      </c>
      <c r="G175" s="95">
        <v>3.8</v>
      </c>
      <c r="I175" s="95">
        <v>1.1475</v>
      </c>
      <c r="P175" s="95">
        <v>2023</v>
      </c>
      <c r="R175" s="95" t="s">
        <v>279</v>
      </c>
      <c r="S175" s="95" t="s">
        <v>99</v>
      </c>
      <c r="T175" s="95" t="s">
        <v>280</v>
      </c>
    </row>
    <row r="176" spans="1:20" x14ac:dyDescent="0.2">
      <c r="A176" s="95" t="s">
        <v>97</v>
      </c>
      <c r="B176" s="95" t="s">
        <v>66</v>
      </c>
      <c r="C176" s="95" t="s">
        <v>252</v>
      </c>
      <c r="G176" s="95">
        <v>3.7</v>
      </c>
      <c r="I176" s="95">
        <v>9.2707142857142859</v>
      </c>
      <c r="P176" s="95">
        <v>2023</v>
      </c>
      <c r="R176" s="95" t="s">
        <v>281</v>
      </c>
      <c r="S176" s="95" t="s">
        <v>99</v>
      </c>
      <c r="T176" s="95" t="s">
        <v>282</v>
      </c>
    </row>
    <row r="177" spans="1:20" x14ac:dyDescent="0.2">
      <c r="A177" s="95" t="s">
        <v>97</v>
      </c>
      <c r="B177" s="95" t="s">
        <v>66</v>
      </c>
      <c r="C177" s="95" t="s">
        <v>252</v>
      </c>
      <c r="G177" s="95">
        <v>3.7</v>
      </c>
      <c r="I177" s="95">
        <v>7.2735714285714286</v>
      </c>
      <c r="P177" s="95">
        <v>2023</v>
      </c>
      <c r="R177" s="95" t="s">
        <v>283</v>
      </c>
      <c r="S177" s="95" t="s">
        <v>99</v>
      </c>
      <c r="T177" s="95" t="s">
        <v>284</v>
      </c>
    </row>
    <row r="178" spans="1:20" x14ac:dyDescent="0.2">
      <c r="A178" s="95" t="s">
        <v>73</v>
      </c>
      <c r="B178" s="95" t="s">
        <v>66</v>
      </c>
      <c r="C178" s="95" t="s">
        <v>91</v>
      </c>
      <c r="D178" s="95" t="s">
        <v>68</v>
      </c>
      <c r="F178" s="95">
        <v>2</v>
      </c>
      <c r="G178" s="95">
        <v>8.4</v>
      </c>
      <c r="I178" s="95">
        <v>3.6652473958333331</v>
      </c>
      <c r="P178" s="95">
        <v>2023</v>
      </c>
      <c r="Q178" s="95" t="s">
        <v>176</v>
      </c>
      <c r="R178" s="95" t="s">
        <v>285</v>
      </c>
      <c r="S178" s="95" t="s">
        <v>99</v>
      </c>
      <c r="T178" s="95" t="s">
        <v>286</v>
      </c>
    </row>
    <row r="179" spans="1:20" x14ac:dyDescent="0.2">
      <c r="A179" s="95" t="s">
        <v>73</v>
      </c>
      <c r="B179" s="95" t="s">
        <v>66</v>
      </c>
      <c r="C179" s="95" t="s">
        <v>287</v>
      </c>
      <c r="D179" s="95" t="s">
        <v>68</v>
      </c>
      <c r="I179" s="95">
        <v>1.1765886287625418</v>
      </c>
      <c r="P179" s="95">
        <v>2023</v>
      </c>
      <c r="Q179" s="95" t="s">
        <v>288</v>
      </c>
      <c r="R179" s="95" t="s">
        <v>289</v>
      </c>
      <c r="S179" s="95" t="s">
        <v>99</v>
      </c>
      <c r="T179" s="95" t="s">
        <v>290</v>
      </c>
    </row>
    <row r="180" spans="1:20" x14ac:dyDescent="0.2">
      <c r="A180" s="95" t="s">
        <v>73</v>
      </c>
      <c r="B180" s="95" t="s">
        <v>66</v>
      </c>
      <c r="C180" s="95" t="s">
        <v>291</v>
      </c>
      <c r="D180" s="95" t="s">
        <v>68</v>
      </c>
      <c r="F180" s="95">
        <v>3.5</v>
      </c>
      <c r="G180" s="95">
        <v>13</v>
      </c>
      <c r="I180" s="95">
        <v>1.3846938775510202</v>
      </c>
      <c r="P180" s="95">
        <v>2023</v>
      </c>
      <c r="Q180" s="95" t="s">
        <v>292</v>
      </c>
      <c r="R180" s="95" t="s">
        <v>293</v>
      </c>
      <c r="S180" s="95" t="s">
        <v>99</v>
      </c>
      <c r="T180" s="95" t="s">
        <v>102</v>
      </c>
    </row>
    <row r="181" spans="1:20" x14ac:dyDescent="0.2">
      <c r="A181" s="95" t="s">
        <v>73</v>
      </c>
      <c r="B181" s="95" t="s">
        <v>66</v>
      </c>
      <c r="C181" s="95" t="s">
        <v>291</v>
      </c>
      <c r="D181" s="95" t="s">
        <v>68</v>
      </c>
      <c r="F181" s="95">
        <v>3.5</v>
      </c>
      <c r="G181" s="95">
        <v>15</v>
      </c>
      <c r="I181" s="95">
        <v>1.5803571428571428</v>
      </c>
      <c r="P181" s="95">
        <v>2023</v>
      </c>
      <c r="Q181" s="95" t="s">
        <v>292</v>
      </c>
      <c r="R181" s="95" t="s">
        <v>294</v>
      </c>
      <c r="S181" s="95" t="s">
        <v>99</v>
      </c>
      <c r="T181" s="95" t="s">
        <v>106</v>
      </c>
    </row>
    <row r="182" spans="1:20" x14ac:dyDescent="0.2">
      <c r="A182" s="95" t="s">
        <v>73</v>
      </c>
      <c r="B182" s="95" t="s">
        <v>66</v>
      </c>
      <c r="C182" s="95" t="s">
        <v>295</v>
      </c>
      <c r="D182" s="95" t="s">
        <v>68</v>
      </c>
      <c r="F182" s="95">
        <v>3.5</v>
      </c>
      <c r="G182" s="95">
        <v>15</v>
      </c>
      <c r="I182" s="95">
        <v>1.3144053601340033</v>
      </c>
      <c r="P182" s="95">
        <v>2023</v>
      </c>
      <c r="Q182" s="95" t="s">
        <v>296</v>
      </c>
      <c r="R182" s="95" t="s">
        <v>297</v>
      </c>
      <c r="S182" s="95" t="s">
        <v>99</v>
      </c>
      <c r="T182" s="95" t="s">
        <v>110</v>
      </c>
    </row>
    <row r="183" spans="1:20" x14ac:dyDescent="0.2">
      <c r="A183" s="95" t="s">
        <v>73</v>
      </c>
      <c r="B183" s="95" t="s">
        <v>66</v>
      </c>
      <c r="C183" s="95" t="s">
        <v>291</v>
      </c>
      <c r="D183" s="95" t="s">
        <v>68</v>
      </c>
      <c r="F183" s="95">
        <v>7.125</v>
      </c>
      <c r="G183" s="95">
        <v>30</v>
      </c>
      <c r="I183" s="95">
        <v>3.7503401360544215</v>
      </c>
      <c r="P183" s="95">
        <v>2023</v>
      </c>
      <c r="Q183" s="95" t="s">
        <v>298</v>
      </c>
      <c r="R183" s="95" t="s">
        <v>299</v>
      </c>
      <c r="S183" s="95" t="s">
        <v>99</v>
      </c>
      <c r="T183" s="95" t="s">
        <v>117</v>
      </c>
    </row>
    <row r="184" spans="1:20" x14ac:dyDescent="0.2">
      <c r="A184" s="95" t="s">
        <v>73</v>
      </c>
      <c r="B184" s="95" t="s">
        <v>66</v>
      </c>
      <c r="C184" s="95" t="s">
        <v>291</v>
      </c>
      <c r="D184" s="95" t="s">
        <v>68</v>
      </c>
      <c r="F184" s="95">
        <v>5.5</v>
      </c>
      <c r="G184" s="95">
        <v>23</v>
      </c>
      <c r="I184" s="95">
        <v>2.0020483613109512</v>
      </c>
      <c r="P184" s="95">
        <v>2023</v>
      </c>
      <c r="Q184" s="95" t="s">
        <v>300</v>
      </c>
      <c r="R184" s="95" t="s">
        <v>301</v>
      </c>
      <c r="S184" s="95" t="s">
        <v>99</v>
      </c>
      <c r="T184" s="95" t="s">
        <v>302</v>
      </c>
    </row>
    <row r="185" spans="1:20" x14ac:dyDescent="0.2">
      <c r="A185" s="95" t="s">
        <v>73</v>
      </c>
      <c r="B185" s="95" t="s">
        <v>66</v>
      </c>
      <c r="C185" s="95" t="s">
        <v>291</v>
      </c>
      <c r="D185" s="95" t="s">
        <v>68</v>
      </c>
      <c r="F185" s="95">
        <v>7.125</v>
      </c>
      <c r="G185" s="95">
        <v>30</v>
      </c>
      <c r="I185" s="95">
        <v>3.3362777777777777</v>
      </c>
      <c r="P185" s="95">
        <v>2023</v>
      </c>
      <c r="Q185" s="95" t="s">
        <v>298</v>
      </c>
      <c r="R185" s="95" t="s">
        <v>303</v>
      </c>
      <c r="S185" s="95" t="s">
        <v>99</v>
      </c>
      <c r="T185" s="95" t="s">
        <v>123</v>
      </c>
    </row>
    <row r="186" spans="1:20" x14ac:dyDescent="0.2">
      <c r="A186" s="95" t="s">
        <v>73</v>
      </c>
      <c r="B186" s="95" t="s">
        <v>66</v>
      </c>
      <c r="C186" s="95" t="s">
        <v>291</v>
      </c>
      <c r="D186" s="95" t="s">
        <v>68</v>
      </c>
      <c r="F186" s="95">
        <v>5.5</v>
      </c>
      <c r="G186" s="95">
        <v>21</v>
      </c>
      <c r="I186" s="95">
        <v>2.6538701622971286</v>
      </c>
      <c r="P186" s="95">
        <v>2023</v>
      </c>
      <c r="Q186" s="95" t="s">
        <v>304</v>
      </c>
      <c r="R186" s="95" t="s">
        <v>305</v>
      </c>
      <c r="S186" s="95" t="s">
        <v>99</v>
      </c>
      <c r="T186" s="95" t="s">
        <v>119</v>
      </c>
    </row>
    <row r="187" spans="1:20" x14ac:dyDescent="0.2">
      <c r="A187" s="95" t="s">
        <v>73</v>
      </c>
      <c r="B187" s="95" t="s">
        <v>66</v>
      </c>
      <c r="C187" s="95" t="s">
        <v>291</v>
      </c>
      <c r="D187" s="95" t="s">
        <v>68</v>
      </c>
      <c r="F187" s="95">
        <v>5.5</v>
      </c>
      <c r="G187" s="95">
        <v>21</v>
      </c>
      <c r="I187" s="95">
        <v>2.6630356349911191</v>
      </c>
      <c r="P187" s="95">
        <v>2023</v>
      </c>
      <c r="Q187" s="95" t="s">
        <v>300</v>
      </c>
      <c r="R187" s="95" t="s">
        <v>306</v>
      </c>
      <c r="S187" s="95" t="s">
        <v>99</v>
      </c>
      <c r="T187" s="95" t="s">
        <v>139</v>
      </c>
    </row>
    <row r="188" spans="1:20" x14ac:dyDescent="0.2">
      <c r="A188" s="95" t="s">
        <v>73</v>
      </c>
      <c r="B188" s="95" t="s">
        <v>66</v>
      </c>
      <c r="C188" s="95" t="s">
        <v>291</v>
      </c>
      <c r="D188" s="95" t="s">
        <v>68</v>
      </c>
      <c r="F188" s="95">
        <v>3.5</v>
      </c>
      <c r="G188" s="95">
        <v>13</v>
      </c>
      <c r="I188" s="95">
        <v>1.4539939227439227</v>
      </c>
      <c r="P188" s="95">
        <v>2023</v>
      </c>
      <c r="Q188" s="95" t="s">
        <v>300</v>
      </c>
      <c r="R188" s="95" t="s">
        <v>307</v>
      </c>
      <c r="S188" s="95" t="s">
        <v>99</v>
      </c>
      <c r="T188" s="95" t="s">
        <v>146</v>
      </c>
    </row>
    <row r="189" spans="1:20" x14ac:dyDescent="0.2">
      <c r="A189" s="95" t="s">
        <v>73</v>
      </c>
      <c r="B189" s="95" t="s">
        <v>87</v>
      </c>
      <c r="C189" s="95" t="s">
        <v>67</v>
      </c>
      <c r="D189" s="95" t="s">
        <v>81</v>
      </c>
      <c r="E189" s="95" t="s">
        <v>88</v>
      </c>
      <c r="F189" s="95">
        <v>3.5</v>
      </c>
      <c r="G189" s="95">
        <v>13</v>
      </c>
      <c r="I189" s="95">
        <v>1</v>
      </c>
      <c r="J189" s="95">
        <v>1.0999999999999999E-2</v>
      </c>
      <c r="K189" s="95">
        <v>0.44</v>
      </c>
      <c r="L189" s="95">
        <v>1.82</v>
      </c>
      <c r="O189" s="95">
        <v>999</v>
      </c>
      <c r="P189" s="95">
        <v>2023</v>
      </c>
      <c r="R189" s="95" t="s">
        <v>87</v>
      </c>
      <c r="S189" s="95" t="s">
        <v>70</v>
      </c>
    </row>
    <row r="190" spans="1:20" x14ac:dyDescent="0.2">
      <c r="A190" s="95" t="s">
        <v>73</v>
      </c>
      <c r="B190" s="95" t="s">
        <v>87</v>
      </c>
      <c r="C190" s="95" t="s">
        <v>67</v>
      </c>
      <c r="D190" s="95" t="s">
        <v>81</v>
      </c>
      <c r="E190" s="95" t="s">
        <v>88</v>
      </c>
      <c r="F190" s="95">
        <v>6.25</v>
      </c>
      <c r="G190" s="95">
        <v>19</v>
      </c>
      <c r="I190" s="95">
        <v>1.1000000000000001</v>
      </c>
      <c r="J190" s="95">
        <v>1.2999999999999999E-2</v>
      </c>
      <c r="K190" s="95">
        <v>0.52</v>
      </c>
      <c r="L190" s="95">
        <v>2.0499999999999998</v>
      </c>
      <c r="O190" s="95">
        <v>999</v>
      </c>
      <c r="P190" s="95">
        <v>2023</v>
      </c>
      <c r="R190" s="95" t="s">
        <v>87</v>
      </c>
      <c r="S190" s="95" t="s">
        <v>70</v>
      </c>
    </row>
    <row r="191" spans="1:20" x14ac:dyDescent="0.2">
      <c r="A191" s="95" t="s">
        <v>73</v>
      </c>
      <c r="B191" s="95" t="s">
        <v>87</v>
      </c>
      <c r="C191" s="95" t="s">
        <v>67</v>
      </c>
      <c r="D191" s="95" t="s">
        <v>81</v>
      </c>
      <c r="E191" s="95" t="s">
        <v>88</v>
      </c>
      <c r="F191" s="95">
        <v>9.5</v>
      </c>
      <c r="G191" s="95">
        <v>30</v>
      </c>
      <c r="I191" s="95">
        <v>1</v>
      </c>
      <c r="J191" s="95">
        <v>1.6E-2</v>
      </c>
      <c r="K191" s="95">
        <v>0.62</v>
      </c>
      <c r="L191" s="95">
        <v>2.11</v>
      </c>
      <c r="O191" s="95">
        <v>999</v>
      </c>
      <c r="P191" s="95">
        <v>2023</v>
      </c>
      <c r="R191" s="95" t="s">
        <v>87</v>
      </c>
      <c r="S191" s="95" t="s">
        <v>70</v>
      </c>
    </row>
    <row r="192" spans="1:20" x14ac:dyDescent="0.2">
      <c r="A192" s="95" t="s">
        <v>73</v>
      </c>
      <c r="B192" s="95" t="s">
        <v>87</v>
      </c>
      <c r="C192" s="95" t="s">
        <v>67</v>
      </c>
      <c r="D192" s="95" t="s">
        <v>81</v>
      </c>
      <c r="E192" s="95" t="s">
        <v>88</v>
      </c>
      <c r="F192" s="95">
        <v>12</v>
      </c>
      <c r="G192" s="95">
        <v>38</v>
      </c>
      <c r="I192" s="95">
        <v>1.58</v>
      </c>
      <c r="J192" s="95">
        <v>1.7000000000000001E-2</v>
      </c>
      <c r="K192" s="95">
        <v>0.65</v>
      </c>
      <c r="L192" s="95">
        <v>2.8</v>
      </c>
      <c r="O192" s="95">
        <v>999</v>
      </c>
      <c r="P192" s="95">
        <v>2023</v>
      </c>
      <c r="R192" s="95" t="s">
        <v>87</v>
      </c>
      <c r="S192" s="95" t="s">
        <v>70</v>
      </c>
    </row>
    <row r="193" spans="1:19" x14ac:dyDescent="0.2">
      <c r="A193" s="95" t="s">
        <v>73</v>
      </c>
      <c r="B193" s="95" t="s">
        <v>87</v>
      </c>
      <c r="C193" s="95" t="s">
        <v>67</v>
      </c>
      <c r="D193" s="95" t="s">
        <v>68</v>
      </c>
      <c r="E193" s="95" t="s">
        <v>68</v>
      </c>
      <c r="F193" s="95">
        <v>3.5</v>
      </c>
      <c r="G193" s="95">
        <v>13</v>
      </c>
      <c r="I193" s="95">
        <v>0.59</v>
      </c>
      <c r="J193" s="95">
        <v>1.2999999999999999E-2</v>
      </c>
      <c r="K193" s="95">
        <v>0.52</v>
      </c>
      <c r="L193" s="95">
        <v>1.49</v>
      </c>
      <c r="O193" s="95">
        <v>999</v>
      </c>
      <c r="P193" s="95">
        <v>2023</v>
      </c>
      <c r="R193" s="95" t="s">
        <v>87</v>
      </c>
      <c r="S193" s="95" t="s">
        <v>70</v>
      </c>
    </row>
    <row r="194" spans="1:19" x14ac:dyDescent="0.2">
      <c r="A194" s="95" t="s">
        <v>73</v>
      </c>
      <c r="B194" s="95" t="s">
        <v>87</v>
      </c>
      <c r="C194" s="95" t="s">
        <v>67</v>
      </c>
      <c r="D194" s="95" t="s">
        <v>68</v>
      </c>
      <c r="E194" s="95" t="s">
        <v>68</v>
      </c>
      <c r="F194" s="95">
        <v>6.25</v>
      </c>
      <c r="G194" s="95">
        <v>19</v>
      </c>
      <c r="I194" s="95">
        <v>0.93</v>
      </c>
      <c r="J194" s="95">
        <v>1.6E-2</v>
      </c>
      <c r="K194" s="95">
        <v>0.62</v>
      </c>
      <c r="L194" s="95">
        <v>2.0299999999999998</v>
      </c>
      <c r="O194" s="95">
        <v>999</v>
      </c>
      <c r="P194" s="95">
        <v>2023</v>
      </c>
      <c r="R194" s="95" t="s">
        <v>87</v>
      </c>
      <c r="S194" s="95" t="s">
        <v>70</v>
      </c>
    </row>
    <row r="195" spans="1:19" x14ac:dyDescent="0.2">
      <c r="A195" s="95" t="s">
        <v>73</v>
      </c>
      <c r="B195" s="95" t="s">
        <v>87</v>
      </c>
      <c r="C195" s="95" t="s">
        <v>67</v>
      </c>
      <c r="D195" s="95" t="s">
        <v>68</v>
      </c>
      <c r="E195" s="95" t="s">
        <v>68</v>
      </c>
      <c r="F195" s="95">
        <v>9.5</v>
      </c>
      <c r="G195" s="95">
        <v>30</v>
      </c>
      <c r="I195" s="95">
        <v>1.56</v>
      </c>
      <c r="J195" s="95">
        <v>1.7999999999999999E-2</v>
      </c>
      <c r="K195" s="95">
        <v>0.69</v>
      </c>
      <c r="L195" s="95">
        <v>2.84</v>
      </c>
      <c r="O195" s="95">
        <v>999</v>
      </c>
      <c r="P195" s="95">
        <v>2023</v>
      </c>
      <c r="R195" s="95" t="s">
        <v>87</v>
      </c>
      <c r="S195" s="95" t="s">
        <v>70</v>
      </c>
    </row>
    <row r="196" spans="1:19" x14ac:dyDescent="0.2">
      <c r="A196" s="95" t="s">
        <v>73</v>
      </c>
      <c r="B196" s="95" t="s">
        <v>87</v>
      </c>
      <c r="C196" s="95" t="s">
        <v>67</v>
      </c>
      <c r="D196" s="95" t="s">
        <v>68</v>
      </c>
      <c r="E196" s="95" t="s">
        <v>68</v>
      </c>
      <c r="F196" s="95">
        <v>12</v>
      </c>
      <c r="G196" s="95">
        <v>38</v>
      </c>
      <c r="I196" s="95">
        <v>1.82</v>
      </c>
      <c r="J196" s="95">
        <v>1.9E-2</v>
      </c>
      <c r="K196" s="95">
        <v>0.73</v>
      </c>
      <c r="L196" s="95">
        <v>3.18</v>
      </c>
      <c r="O196" s="95">
        <v>999</v>
      </c>
      <c r="P196" s="95">
        <v>2023</v>
      </c>
      <c r="R196" s="95" t="s">
        <v>87</v>
      </c>
      <c r="S196" s="95" t="s">
        <v>70</v>
      </c>
    </row>
  </sheetData>
  <hyperlinks>
    <hyperlink ref="A1" location="'Table of Contents'!A1" display="Table of Contents" xr:uid="{06BC6584-14B7-4003-AD85-41068606E01B}"/>
    <hyperlink ref="C1" location="'Table of Contents'!A1" display="Table of Contents" xr:uid="{AEE046BC-E8B2-4CBE-9D26-9A068E0726B3}"/>
  </hyperlink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43B9C-420C-4B6C-9034-A1D09056CBF3}">
  <dimension ref="A1:T50"/>
  <sheetViews>
    <sheetView workbookViewId="0">
      <selection activeCell="A3" sqref="A3"/>
    </sheetView>
  </sheetViews>
  <sheetFormatPr baseColWidth="10" defaultColWidth="8.5" defaultRowHeight="15" x14ac:dyDescent="0.2"/>
  <cols>
    <col min="1" max="1" width="14.5" style="95" customWidth="1"/>
    <col min="2" max="2" width="13" style="95" customWidth="1"/>
    <col min="3" max="3" width="10.5" style="95" customWidth="1"/>
    <col min="4" max="4" width="8.5" style="95"/>
    <col min="5" max="5" width="12.5" style="95" customWidth="1"/>
    <col min="6" max="6" width="15.5" style="95" customWidth="1"/>
    <col min="7" max="7" width="9.5" style="95" customWidth="1"/>
    <col min="8" max="9" width="17.5" style="95" customWidth="1"/>
    <col min="10" max="10" width="19.5" style="95" customWidth="1"/>
    <col min="11" max="11" width="13.5" style="95" customWidth="1"/>
    <col min="12" max="12" width="25.5" style="95" customWidth="1"/>
    <col min="13" max="14" width="21.5" style="95" customWidth="1"/>
    <col min="15" max="15" width="10.5" style="95" customWidth="1"/>
    <col min="16" max="17" width="8.5" style="95"/>
    <col min="18" max="18" width="14.5" style="95" customWidth="1"/>
    <col min="19" max="19" width="8.5" style="95"/>
    <col min="20" max="20" width="13.5" style="95" customWidth="1"/>
    <col min="21" max="16384" width="8.5" style="95"/>
  </cols>
  <sheetData>
    <row r="1" spans="1:20" customFormat="1" x14ac:dyDescent="0.2">
      <c r="A1" s="4" t="s">
        <v>21</v>
      </c>
      <c r="K1" s="39"/>
      <c r="L1" s="39"/>
    </row>
    <row r="2" spans="1:20" customFormat="1" ht="19" x14ac:dyDescent="0.25">
      <c r="A2" s="24" t="s">
        <v>22</v>
      </c>
      <c r="K2" s="39"/>
      <c r="L2" s="39"/>
    </row>
    <row r="3" spans="1:20" s="96" customFormat="1" x14ac:dyDescent="0.2">
      <c r="A3" s="96" t="s">
        <v>25</v>
      </c>
      <c r="B3" s="96" t="s">
        <v>26</v>
      </c>
      <c r="C3" s="96" t="s">
        <v>27</v>
      </c>
      <c r="D3" s="96" t="s">
        <v>28</v>
      </c>
      <c r="E3" s="96" t="s">
        <v>29</v>
      </c>
      <c r="F3" s="96" t="s">
        <v>30</v>
      </c>
      <c r="G3" s="96" t="s">
        <v>31</v>
      </c>
      <c r="H3" s="96" t="s">
        <v>32</v>
      </c>
      <c r="I3" s="96" t="s">
        <v>33</v>
      </c>
      <c r="J3" s="96" t="s">
        <v>34</v>
      </c>
      <c r="K3" s="96" t="s">
        <v>35</v>
      </c>
      <c r="L3" s="96" t="s">
        <v>36</v>
      </c>
      <c r="M3" s="96" t="s">
        <v>37</v>
      </c>
      <c r="N3" s="96" t="s">
        <v>38</v>
      </c>
      <c r="O3" s="96" t="s">
        <v>39</v>
      </c>
      <c r="P3" s="96" t="s">
        <v>40</v>
      </c>
      <c r="Q3" s="96" t="s">
        <v>41</v>
      </c>
      <c r="R3" s="96" t="s">
        <v>42</v>
      </c>
      <c r="S3" s="96" t="s">
        <v>43</v>
      </c>
      <c r="T3" s="96" t="s">
        <v>44</v>
      </c>
    </row>
    <row r="4" spans="1:20" x14ac:dyDescent="0.2">
      <c r="A4" s="95" t="s">
        <v>65</v>
      </c>
      <c r="B4" s="95" t="s">
        <v>66</v>
      </c>
      <c r="C4" s="95" t="s">
        <v>67</v>
      </c>
      <c r="D4" s="95" t="s">
        <v>68</v>
      </c>
      <c r="E4" s="95" t="s">
        <v>68</v>
      </c>
      <c r="F4" s="95">
        <v>1</v>
      </c>
      <c r="G4" s="95">
        <v>4.0999999999999996</v>
      </c>
      <c r="I4" s="95">
        <v>0.42</v>
      </c>
      <c r="J4" s="95">
        <v>8.0000000000000002E-3</v>
      </c>
      <c r="K4" s="95">
        <v>0.31</v>
      </c>
      <c r="L4" s="95">
        <v>0.96</v>
      </c>
      <c r="O4" s="95">
        <v>999</v>
      </c>
      <c r="P4" s="95">
        <v>2023</v>
      </c>
      <c r="R4" s="95" t="s">
        <v>69</v>
      </c>
      <c r="S4" s="95" t="s">
        <v>70</v>
      </c>
    </row>
    <row r="5" spans="1:20" x14ac:dyDescent="0.2">
      <c r="A5" s="95" t="s">
        <v>65</v>
      </c>
      <c r="B5" s="95" t="s">
        <v>66</v>
      </c>
      <c r="C5" s="95" t="s">
        <v>67</v>
      </c>
      <c r="D5" s="95" t="s">
        <v>68</v>
      </c>
      <c r="E5" s="95" t="s">
        <v>68</v>
      </c>
      <c r="F5" s="95">
        <v>1.5</v>
      </c>
      <c r="G5" s="95">
        <v>6.2</v>
      </c>
      <c r="I5" s="95">
        <v>1.32</v>
      </c>
      <c r="J5" s="95">
        <v>8.0000000000000002E-3</v>
      </c>
      <c r="K5" s="95">
        <v>0.31</v>
      </c>
      <c r="L5" s="95">
        <v>1.95</v>
      </c>
      <c r="O5" s="95">
        <v>999</v>
      </c>
      <c r="P5" s="95">
        <v>2023</v>
      </c>
      <c r="R5" s="95" t="s">
        <v>69</v>
      </c>
      <c r="S5" s="95" t="s">
        <v>70</v>
      </c>
    </row>
    <row r="6" spans="1:20" x14ac:dyDescent="0.2">
      <c r="A6" s="95" t="s">
        <v>65</v>
      </c>
      <c r="B6" s="95" t="s">
        <v>66</v>
      </c>
      <c r="C6" s="95" t="s">
        <v>67</v>
      </c>
      <c r="D6" s="95" t="s">
        <v>68</v>
      </c>
      <c r="E6" s="95" t="s">
        <v>68</v>
      </c>
      <c r="F6" s="95">
        <v>2</v>
      </c>
      <c r="G6" s="95">
        <v>8.3000000000000007</v>
      </c>
      <c r="I6" s="95">
        <v>0.67</v>
      </c>
      <c r="J6" s="95">
        <v>8.0000000000000002E-3</v>
      </c>
      <c r="K6" s="95">
        <v>0.31</v>
      </c>
      <c r="L6" s="95">
        <v>1.24</v>
      </c>
      <c r="O6" s="95">
        <v>999</v>
      </c>
      <c r="P6" s="95">
        <v>2023</v>
      </c>
      <c r="R6" s="95" t="s">
        <v>69</v>
      </c>
      <c r="S6" s="95" t="s">
        <v>70</v>
      </c>
    </row>
    <row r="7" spans="1:20" x14ac:dyDescent="0.2">
      <c r="A7" s="95" t="s">
        <v>65</v>
      </c>
      <c r="B7" s="95" t="s">
        <v>66</v>
      </c>
      <c r="C7" s="95" t="s">
        <v>67</v>
      </c>
      <c r="D7" s="95" t="s">
        <v>68</v>
      </c>
      <c r="E7" s="95" t="s">
        <v>68</v>
      </c>
      <c r="F7" s="95">
        <v>3</v>
      </c>
      <c r="G7" s="95">
        <v>12.4</v>
      </c>
      <c r="I7" s="95">
        <v>0.89</v>
      </c>
      <c r="J7" s="95">
        <v>0.01</v>
      </c>
      <c r="K7" s="95">
        <v>0.39</v>
      </c>
      <c r="L7" s="95">
        <v>1.61</v>
      </c>
      <c r="O7" s="95">
        <v>999</v>
      </c>
      <c r="P7" s="95">
        <v>2023</v>
      </c>
      <c r="R7" s="95" t="s">
        <v>69</v>
      </c>
      <c r="S7" s="95" t="s">
        <v>70</v>
      </c>
    </row>
    <row r="8" spans="1:20" x14ac:dyDescent="0.2">
      <c r="A8" s="95" t="s">
        <v>65</v>
      </c>
      <c r="B8" s="95" t="s">
        <v>66</v>
      </c>
      <c r="C8" s="95" t="s">
        <v>67</v>
      </c>
      <c r="D8" s="95" t="s">
        <v>68</v>
      </c>
      <c r="E8" s="95" t="s">
        <v>68</v>
      </c>
      <c r="F8" s="95">
        <v>1</v>
      </c>
      <c r="G8" s="95">
        <v>4.3</v>
      </c>
      <c r="I8" s="95">
        <v>0.87</v>
      </c>
      <c r="J8" s="95">
        <v>8.0000000000000002E-3</v>
      </c>
      <c r="K8" s="95">
        <v>0.31</v>
      </c>
      <c r="L8" s="95">
        <v>1.46</v>
      </c>
      <c r="O8" s="95">
        <v>999</v>
      </c>
      <c r="P8" s="95">
        <v>2023</v>
      </c>
      <c r="R8" s="95" t="s">
        <v>69</v>
      </c>
      <c r="S8" s="95" t="s">
        <v>70</v>
      </c>
    </row>
    <row r="9" spans="1:20" x14ac:dyDescent="0.2">
      <c r="A9" s="95" t="s">
        <v>65</v>
      </c>
      <c r="B9" s="95" t="s">
        <v>66</v>
      </c>
      <c r="C9" s="95" t="s">
        <v>67</v>
      </c>
      <c r="D9" s="95" t="s">
        <v>68</v>
      </c>
      <c r="E9" s="95" t="s">
        <v>68</v>
      </c>
      <c r="F9" s="95">
        <v>2</v>
      </c>
      <c r="G9" s="95">
        <v>8.6999999999999993</v>
      </c>
      <c r="I9" s="95">
        <v>1.78</v>
      </c>
      <c r="J9" s="95">
        <v>8.9999999999999993E-3</v>
      </c>
      <c r="K9" s="95">
        <v>0.35</v>
      </c>
      <c r="L9" s="95">
        <v>2.5299999999999998</v>
      </c>
      <c r="O9" s="95">
        <v>999</v>
      </c>
      <c r="P9" s="95">
        <v>2023</v>
      </c>
      <c r="R9" s="95" t="s">
        <v>69</v>
      </c>
      <c r="S9" s="95" t="s">
        <v>70</v>
      </c>
    </row>
    <row r="10" spans="1:20" x14ac:dyDescent="0.2">
      <c r="A10" s="95" t="s">
        <v>65</v>
      </c>
      <c r="B10" s="95" t="s">
        <v>66</v>
      </c>
      <c r="C10" s="95" t="s">
        <v>67</v>
      </c>
      <c r="D10" s="95" t="s">
        <v>68</v>
      </c>
      <c r="E10" s="95" t="s">
        <v>68</v>
      </c>
      <c r="F10" s="95">
        <v>2.5</v>
      </c>
      <c r="G10" s="95">
        <v>10.9</v>
      </c>
      <c r="I10" s="95">
        <v>1.57</v>
      </c>
      <c r="J10" s="95">
        <v>0.01</v>
      </c>
      <c r="K10" s="95">
        <v>0.39</v>
      </c>
      <c r="L10" s="95">
        <v>2.36</v>
      </c>
      <c r="O10" s="95">
        <v>999</v>
      </c>
      <c r="P10" s="95">
        <v>2023</v>
      </c>
      <c r="R10" s="95" t="s">
        <v>69</v>
      </c>
      <c r="S10" s="95" t="s">
        <v>70</v>
      </c>
    </row>
    <row r="11" spans="1:20" x14ac:dyDescent="0.2">
      <c r="A11" s="95" t="s">
        <v>65</v>
      </c>
      <c r="B11" s="95" t="s">
        <v>66</v>
      </c>
      <c r="C11" s="95" t="s">
        <v>67</v>
      </c>
      <c r="D11" s="95" t="s">
        <v>68</v>
      </c>
      <c r="E11" s="95" t="s">
        <v>68</v>
      </c>
      <c r="F11" s="95">
        <v>3</v>
      </c>
      <c r="G11" s="95">
        <v>13</v>
      </c>
      <c r="I11" s="95">
        <v>0.59</v>
      </c>
      <c r="J11" s="95">
        <v>0.01</v>
      </c>
      <c r="K11" s="95">
        <v>0.39</v>
      </c>
      <c r="L11" s="95">
        <v>1.28</v>
      </c>
      <c r="O11" s="95">
        <v>999</v>
      </c>
      <c r="P11" s="95">
        <v>2023</v>
      </c>
      <c r="R11" s="95" t="s">
        <v>69</v>
      </c>
      <c r="S11" s="95" t="s">
        <v>70</v>
      </c>
    </row>
    <row r="12" spans="1:20" x14ac:dyDescent="0.2">
      <c r="A12" s="95" t="s">
        <v>65</v>
      </c>
      <c r="B12" s="95" t="s">
        <v>66</v>
      </c>
      <c r="C12" s="95" t="s">
        <v>67</v>
      </c>
      <c r="D12" s="95" t="s">
        <v>81</v>
      </c>
      <c r="E12" s="95" t="s">
        <v>82</v>
      </c>
      <c r="F12" s="95">
        <v>0.5</v>
      </c>
      <c r="G12" s="95">
        <v>4.3</v>
      </c>
      <c r="I12" s="95">
        <v>1.21</v>
      </c>
      <c r="J12" s="95">
        <v>8.0000000000000002E-3</v>
      </c>
      <c r="K12" s="95">
        <v>0.31</v>
      </c>
      <c r="L12" s="95">
        <v>1.83</v>
      </c>
      <c r="O12" s="95">
        <v>999</v>
      </c>
      <c r="P12" s="95">
        <v>2023</v>
      </c>
      <c r="R12" s="95" t="s">
        <v>69</v>
      </c>
      <c r="S12" s="95" t="s">
        <v>70</v>
      </c>
    </row>
    <row r="13" spans="1:20" x14ac:dyDescent="0.2">
      <c r="A13" s="95" t="s">
        <v>65</v>
      </c>
      <c r="B13" s="95" t="s">
        <v>66</v>
      </c>
      <c r="C13" s="95" t="s">
        <v>67</v>
      </c>
      <c r="D13" s="95" t="s">
        <v>81</v>
      </c>
      <c r="E13" s="95" t="s">
        <v>82</v>
      </c>
      <c r="F13" s="95">
        <v>0.625</v>
      </c>
      <c r="G13" s="95">
        <v>6.5</v>
      </c>
      <c r="I13" s="95">
        <v>1.68</v>
      </c>
      <c r="J13" s="95">
        <v>8.0000000000000002E-3</v>
      </c>
      <c r="K13" s="95">
        <v>0.31</v>
      </c>
      <c r="L13" s="95">
        <v>2.35</v>
      </c>
      <c r="O13" s="95">
        <v>999</v>
      </c>
      <c r="P13" s="95">
        <v>2023</v>
      </c>
      <c r="R13" s="95" t="s">
        <v>69</v>
      </c>
      <c r="S13" s="95" t="s">
        <v>70</v>
      </c>
    </row>
    <row r="14" spans="1:20" x14ac:dyDescent="0.2">
      <c r="A14" s="95" t="s">
        <v>65</v>
      </c>
      <c r="B14" s="95" t="s">
        <v>66</v>
      </c>
      <c r="C14" s="95" t="s">
        <v>67</v>
      </c>
      <c r="D14" s="95" t="s">
        <v>81</v>
      </c>
      <c r="E14" s="95" t="s">
        <v>82</v>
      </c>
      <c r="F14" s="95">
        <v>0.75</v>
      </c>
      <c r="G14" s="95">
        <v>8.6999999999999993</v>
      </c>
      <c r="I14" s="95">
        <v>2.27</v>
      </c>
      <c r="J14" s="95">
        <v>8.9999999999999993E-3</v>
      </c>
      <c r="K14" s="95">
        <v>0.35</v>
      </c>
      <c r="L14" s="95">
        <v>3.07</v>
      </c>
      <c r="O14" s="95">
        <v>999</v>
      </c>
      <c r="P14" s="95">
        <v>2023</v>
      </c>
      <c r="R14" s="95" t="s">
        <v>69</v>
      </c>
      <c r="S14" s="95" t="s">
        <v>70</v>
      </c>
    </row>
    <row r="15" spans="1:20" x14ac:dyDescent="0.2">
      <c r="A15" s="95" t="s">
        <v>65</v>
      </c>
      <c r="B15" s="95" t="s">
        <v>66</v>
      </c>
      <c r="C15" s="95" t="s">
        <v>67</v>
      </c>
      <c r="D15" s="95" t="s">
        <v>81</v>
      </c>
      <c r="E15" s="95" t="s">
        <v>82</v>
      </c>
      <c r="F15" s="95">
        <v>1</v>
      </c>
      <c r="G15" s="95">
        <v>10.9</v>
      </c>
      <c r="I15" s="95">
        <v>2.64</v>
      </c>
      <c r="J15" s="95">
        <v>0.01</v>
      </c>
      <c r="K15" s="95">
        <v>0.39</v>
      </c>
      <c r="L15" s="95">
        <v>3.53</v>
      </c>
      <c r="O15" s="95">
        <v>999</v>
      </c>
      <c r="P15" s="95">
        <v>2023</v>
      </c>
      <c r="R15" s="95" t="s">
        <v>69</v>
      </c>
      <c r="S15" s="95" t="s">
        <v>70</v>
      </c>
    </row>
    <row r="16" spans="1:20" x14ac:dyDescent="0.2">
      <c r="A16" s="95" t="s">
        <v>65</v>
      </c>
      <c r="B16" s="95" t="s">
        <v>66</v>
      </c>
      <c r="C16" s="95" t="s">
        <v>67</v>
      </c>
      <c r="D16" s="95" t="s">
        <v>81</v>
      </c>
      <c r="E16" s="95" t="s">
        <v>82</v>
      </c>
      <c r="F16" s="95">
        <v>1.5</v>
      </c>
      <c r="G16" s="95">
        <v>13</v>
      </c>
      <c r="I16" s="95">
        <v>0.56999999999999995</v>
      </c>
      <c r="J16" s="95">
        <v>0.01</v>
      </c>
      <c r="K16" s="95">
        <v>0.39</v>
      </c>
      <c r="L16" s="95">
        <v>1.26</v>
      </c>
      <c r="O16" s="95">
        <v>999</v>
      </c>
      <c r="P16" s="95">
        <v>2023</v>
      </c>
      <c r="R16" s="95" t="s">
        <v>69</v>
      </c>
      <c r="S16" s="95" t="s">
        <v>70</v>
      </c>
    </row>
    <row r="17" spans="1:20" x14ac:dyDescent="0.2">
      <c r="A17" s="95" t="s">
        <v>65</v>
      </c>
      <c r="B17" s="95" t="s">
        <v>66</v>
      </c>
      <c r="C17" s="95" t="s">
        <v>84</v>
      </c>
      <c r="D17" s="95" t="s">
        <v>81</v>
      </c>
      <c r="E17" s="95" t="s">
        <v>82</v>
      </c>
      <c r="F17" s="95">
        <v>1</v>
      </c>
      <c r="G17" s="95">
        <v>2.77</v>
      </c>
      <c r="I17" s="95">
        <v>0.71</v>
      </c>
      <c r="J17" s="95">
        <v>0.01</v>
      </c>
      <c r="K17" s="95">
        <v>0.39</v>
      </c>
      <c r="L17" s="95">
        <v>1.41</v>
      </c>
      <c r="O17" s="95">
        <v>999</v>
      </c>
      <c r="P17" s="95">
        <v>2023</v>
      </c>
      <c r="R17" s="95" t="s">
        <v>69</v>
      </c>
      <c r="S17" s="95" t="s">
        <v>70</v>
      </c>
    </row>
    <row r="18" spans="1:20" x14ac:dyDescent="0.2">
      <c r="A18" s="95" t="s">
        <v>65</v>
      </c>
      <c r="B18" s="95" t="s">
        <v>66</v>
      </c>
      <c r="C18" s="95" t="s">
        <v>84</v>
      </c>
      <c r="D18" s="95" t="s">
        <v>81</v>
      </c>
      <c r="E18" s="95" t="s">
        <v>82</v>
      </c>
      <c r="F18" s="95">
        <v>2</v>
      </c>
      <c r="G18" s="95">
        <v>5.55</v>
      </c>
      <c r="I18" s="95">
        <v>1.26</v>
      </c>
      <c r="J18" s="95">
        <v>1.0999999999999999E-2</v>
      </c>
      <c r="K18" s="95">
        <v>0.42</v>
      </c>
      <c r="L18" s="95">
        <v>2.08</v>
      </c>
      <c r="O18" s="95">
        <v>999</v>
      </c>
      <c r="P18" s="95">
        <v>2023</v>
      </c>
      <c r="R18" s="95" t="s">
        <v>69</v>
      </c>
      <c r="S18" s="95" t="s">
        <v>70</v>
      </c>
    </row>
    <row r="19" spans="1:20" x14ac:dyDescent="0.2">
      <c r="A19" s="95" t="s">
        <v>65</v>
      </c>
      <c r="B19" s="95" t="s">
        <v>66</v>
      </c>
      <c r="C19" s="95" t="s">
        <v>84</v>
      </c>
      <c r="D19" s="95" t="s">
        <v>81</v>
      </c>
      <c r="E19" s="95" t="s">
        <v>82</v>
      </c>
      <c r="F19" s="95">
        <v>1</v>
      </c>
      <c r="G19" s="95">
        <v>5</v>
      </c>
      <c r="I19" s="95">
        <v>1.26</v>
      </c>
      <c r="J19" s="95">
        <v>0.01</v>
      </c>
      <c r="K19" s="95">
        <v>0.39</v>
      </c>
      <c r="L19" s="95">
        <v>2.02</v>
      </c>
      <c r="O19" s="95">
        <v>999</v>
      </c>
      <c r="P19" s="95">
        <v>2023</v>
      </c>
      <c r="R19" s="95" t="s">
        <v>69</v>
      </c>
      <c r="S19" s="95" t="s">
        <v>70</v>
      </c>
    </row>
    <row r="20" spans="1:20" x14ac:dyDescent="0.2">
      <c r="A20" s="95" t="s">
        <v>65</v>
      </c>
      <c r="B20" s="95" t="s">
        <v>66</v>
      </c>
      <c r="C20" s="95" t="s">
        <v>84</v>
      </c>
      <c r="D20" s="95" t="s">
        <v>81</v>
      </c>
      <c r="E20" s="95" t="s">
        <v>82</v>
      </c>
      <c r="F20" s="95">
        <v>2</v>
      </c>
      <c r="G20" s="95">
        <v>10</v>
      </c>
      <c r="I20" s="95">
        <v>1.91</v>
      </c>
      <c r="J20" s="95">
        <v>1.0999999999999999E-2</v>
      </c>
      <c r="K20" s="95">
        <v>0.42</v>
      </c>
      <c r="L20" s="95">
        <v>2.79</v>
      </c>
      <c r="O20" s="95">
        <v>999</v>
      </c>
      <c r="P20" s="95">
        <v>2023</v>
      </c>
      <c r="R20" s="95" t="s">
        <v>69</v>
      </c>
      <c r="S20" s="95" t="s">
        <v>70</v>
      </c>
    </row>
    <row r="21" spans="1:20" x14ac:dyDescent="0.2">
      <c r="A21" s="95" t="s">
        <v>65</v>
      </c>
      <c r="B21" s="95" t="s">
        <v>66</v>
      </c>
      <c r="C21" s="95" t="s">
        <v>84</v>
      </c>
      <c r="D21" s="95" t="s">
        <v>81</v>
      </c>
      <c r="E21" s="95" t="s">
        <v>82</v>
      </c>
      <c r="F21" s="95">
        <v>3</v>
      </c>
      <c r="G21" s="95">
        <v>15</v>
      </c>
      <c r="I21" s="95">
        <v>3.05</v>
      </c>
      <c r="J21" s="95">
        <v>1.0999999999999999E-2</v>
      </c>
      <c r="K21" s="95">
        <v>0.42</v>
      </c>
      <c r="L21" s="95">
        <v>4.05</v>
      </c>
      <c r="O21" s="95">
        <v>999</v>
      </c>
      <c r="P21" s="95">
        <v>2023</v>
      </c>
      <c r="R21" s="95" t="s">
        <v>69</v>
      </c>
      <c r="S21" s="95" t="s">
        <v>70</v>
      </c>
    </row>
    <row r="22" spans="1:20" x14ac:dyDescent="0.2">
      <c r="A22" s="95" t="s">
        <v>65</v>
      </c>
      <c r="B22" s="95" t="s">
        <v>66</v>
      </c>
      <c r="C22" s="95" t="s">
        <v>84</v>
      </c>
      <c r="D22" s="95" t="s">
        <v>81</v>
      </c>
      <c r="E22" s="95" t="s">
        <v>82</v>
      </c>
      <c r="F22" s="95">
        <v>1</v>
      </c>
      <c r="G22" s="95">
        <v>3.85</v>
      </c>
      <c r="I22" s="95">
        <v>0.34</v>
      </c>
      <c r="J22" s="95">
        <v>0.01</v>
      </c>
      <c r="K22" s="95">
        <v>0.39</v>
      </c>
      <c r="L22" s="95">
        <v>1</v>
      </c>
      <c r="O22" s="95">
        <v>999</v>
      </c>
      <c r="P22" s="95">
        <v>2023</v>
      </c>
      <c r="R22" s="95" t="s">
        <v>69</v>
      </c>
      <c r="S22" s="95" t="s">
        <v>70</v>
      </c>
    </row>
    <row r="23" spans="1:20" x14ac:dyDescent="0.2">
      <c r="A23" s="95" t="s">
        <v>65</v>
      </c>
      <c r="B23" s="95" t="s">
        <v>66</v>
      </c>
      <c r="C23" s="95" t="s">
        <v>84</v>
      </c>
      <c r="D23" s="95" t="s">
        <v>81</v>
      </c>
      <c r="E23" s="95" t="s">
        <v>82</v>
      </c>
      <c r="F23" s="95">
        <v>2</v>
      </c>
      <c r="G23" s="95">
        <v>7.69</v>
      </c>
      <c r="I23" s="95">
        <v>0.68</v>
      </c>
      <c r="J23" s="95">
        <v>1.0999999999999999E-2</v>
      </c>
      <c r="K23" s="95">
        <v>0.42</v>
      </c>
      <c r="L23" s="95">
        <v>1.44</v>
      </c>
      <c r="O23" s="95">
        <v>999</v>
      </c>
      <c r="P23" s="95">
        <v>2023</v>
      </c>
      <c r="R23" s="95" t="s">
        <v>69</v>
      </c>
      <c r="S23" s="95" t="s">
        <v>70</v>
      </c>
    </row>
    <row r="24" spans="1:20" x14ac:dyDescent="0.2">
      <c r="A24" s="95" t="s">
        <v>65</v>
      </c>
      <c r="B24" s="95" t="s">
        <v>66</v>
      </c>
      <c r="C24" s="95" t="s">
        <v>84</v>
      </c>
      <c r="D24" s="95" t="s">
        <v>81</v>
      </c>
      <c r="E24" s="95" t="s">
        <v>82</v>
      </c>
      <c r="F24" s="95">
        <v>3</v>
      </c>
      <c r="G24" s="95">
        <v>11.49</v>
      </c>
      <c r="I24" s="95">
        <v>1.02</v>
      </c>
      <c r="J24" s="95">
        <v>1.0999999999999999E-2</v>
      </c>
      <c r="K24" s="95">
        <v>0.42</v>
      </c>
      <c r="L24" s="95">
        <v>1.81</v>
      </c>
      <c r="O24" s="95">
        <v>999</v>
      </c>
      <c r="P24" s="95">
        <v>2023</v>
      </c>
      <c r="R24" s="95" t="s">
        <v>69</v>
      </c>
      <c r="S24" s="95" t="s">
        <v>70</v>
      </c>
    </row>
    <row r="25" spans="1:20" x14ac:dyDescent="0.2">
      <c r="A25" s="95" t="s">
        <v>65</v>
      </c>
      <c r="B25" s="95" t="s">
        <v>66</v>
      </c>
      <c r="C25" s="95" t="s">
        <v>85</v>
      </c>
      <c r="D25" s="95" t="s">
        <v>68</v>
      </c>
      <c r="E25" s="95" t="s">
        <v>68</v>
      </c>
      <c r="F25" s="95">
        <v>1</v>
      </c>
      <c r="G25" s="95">
        <v>4</v>
      </c>
      <c r="I25" s="95">
        <v>0.34</v>
      </c>
      <c r="J25" s="95">
        <v>1.2E-2</v>
      </c>
      <c r="K25" s="95">
        <v>0.45</v>
      </c>
      <c r="L25" s="95">
        <v>1.1100000000000001</v>
      </c>
      <c r="O25" s="95">
        <v>999</v>
      </c>
      <c r="P25" s="95">
        <v>2023</v>
      </c>
      <c r="R25" s="95" t="s">
        <v>69</v>
      </c>
      <c r="S25" s="95" t="s">
        <v>70</v>
      </c>
    </row>
    <row r="26" spans="1:20" x14ac:dyDescent="0.2">
      <c r="A26" s="95" t="s">
        <v>65</v>
      </c>
      <c r="B26" s="95" t="s">
        <v>66</v>
      </c>
      <c r="C26" s="95" t="s">
        <v>85</v>
      </c>
      <c r="D26" s="95" t="s">
        <v>68</v>
      </c>
      <c r="E26" s="95" t="s">
        <v>68</v>
      </c>
      <c r="F26" s="95">
        <v>2</v>
      </c>
      <c r="G26" s="95">
        <v>8</v>
      </c>
      <c r="I26" s="95">
        <v>0.68</v>
      </c>
      <c r="J26" s="95">
        <v>1.2E-2</v>
      </c>
      <c r="K26" s="95">
        <v>0.46</v>
      </c>
      <c r="L26" s="95">
        <v>1.5</v>
      </c>
      <c r="O26" s="95">
        <v>999</v>
      </c>
      <c r="P26" s="95">
        <v>2023</v>
      </c>
      <c r="R26" s="95" t="s">
        <v>69</v>
      </c>
      <c r="S26" s="95" t="s">
        <v>70</v>
      </c>
    </row>
    <row r="27" spans="1:20" x14ac:dyDescent="0.2">
      <c r="A27" s="95" t="s">
        <v>65</v>
      </c>
      <c r="B27" s="95" t="s">
        <v>66</v>
      </c>
      <c r="C27" s="95" t="s">
        <v>86</v>
      </c>
      <c r="D27" s="95" t="s">
        <v>68</v>
      </c>
      <c r="E27" s="95" t="s">
        <v>68</v>
      </c>
      <c r="F27" s="95">
        <v>1</v>
      </c>
      <c r="G27" s="95">
        <v>4</v>
      </c>
      <c r="I27" s="95">
        <v>0.34</v>
      </c>
      <c r="J27" s="95">
        <v>1.2E-2</v>
      </c>
      <c r="K27" s="95">
        <v>0.45</v>
      </c>
      <c r="L27" s="95">
        <v>1.1100000000000001</v>
      </c>
      <c r="O27" s="95">
        <v>999</v>
      </c>
      <c r="P27" s="95">
        <v>2023</v>
      </c>
      <c r="R27" s="95" t="s">
        <v>69</v>
      </c>
      <c r="S27" s="95" t="s">
        <v>70</v>
      </c>
    </row>
    <row r="28" spans="1:20" x14ac:dyDescent="0.2">
      <c r="A28" s="95" t="s">
        <v>65</v>
      </c>
      <c r="B28" s="95" t="s">
        <v>66</v>
      </c>
      <c r="C28" s="95" t="s">
        <v>86</v>
      </c>
      <c r="D28" s="95" t="s">
        <v>68</v>
      </c>
      <c r="E28" s="95" t="s">
        <v>68</v>
      </c>
      <c r="F28" s="95">
        <v>2</v>
      </c>
      <c r="G28" s="95">
        <v>8</v>
      </c>
      <c r="I28" s="95">
        <v>0.68</v>
      </c>
      <c r="J28" s="95">
        <v>1.2E-2</v>
      </c>
      <c r="K28" s="95">
        <v>0.46</v>
      </c>
      <c r="L28" s="95">
        <v>1.5</v>
      </c>
      <c r="O28" s="95">
        <v>999</v>
      </c>
      <c r="P28" s="95">
        <v>2023</v>
      </c>
      <c r="R28" s="95" t="s">
        <v>69</v>
      </c>
      <c r="S28" s="95" t="s">
        <v>70</v>
      </c>
    </row>
    <row r="29" spans="1:20" x14ac:dyDescent="0.2">
      <c r="A29" s="95" t="s">
        <v>65</v>
      </c>
      <c r="B29" s="95" t="s">
        <v>66</v>
      </c>
      <c r="C29" s="95" t="s">
        <v>86</v>
      </c>
      <c r="D29" s="95" t="s">
        <v>68</v>
      </c>
      <c r="F29" s="95">
        <v>0.5</v>
      </c>
      <c r="G29" s="95">
        <v>3</v>
      </c>
      <c r="I29" s="95">
        <v>0.43687500000000001</v>
      </c>
      <c r="P29" s="95">
        <v>2023</v>
      </c>
      <c r="Q29" s="95" t="s">
        <v>176</v>
      </c>
      <c r="R29" s="95" t="s">
        <v>177</v>
      </c>
      <c r="S29" s="95" t="s">
        <v>99</v>
      </c>
      <c r="T29" s="95" t="s">
        <v>178</v>
      </c>
    </row>
    <row r="30" spans="1:20" x14ac:dyDescent="0.2">
      <c r="A30" s="95" t="s">
        <v>65</v>
      </c>
      <c r="B30" s="95" t="s">
        <v>66</v>
      </c>
      <c r="C30" s="95" t="s">
        <v>84</v>
      </c>
      <c r="D30" s="95" t="s">
        <v>81</v>
      </c>
      <c r="F30" s="95">
        <v>0.5</v>
      </c>
      <c r="G30" s="95">
        <v>3.2</v>
      </c>
      <c r="I30" s="95">
        <v>0.62250000000000005</v>
      </c>
      <c r="P30" s="95">
        <v>2023</v>
      </c>
      <c r="Q30" s="95" t="s">
        <v>179</v>
      </c>
      <c r="R30" s="95" t="s">
        <v>180</v>
      </c>
      <c r="S30" s="95" t="s">
        <v>99</v>
      </c>
      <c r="T30" s="95" t="s">
        <v>181</v>
      </c>
    </row>
    <row r="31" spans="1:20" x14ac:dyDescent="0.2">
      <c r="A31" s="95" t="s">
        <v>65</v>
      </c>
      <c r="B31" s="95" t="s">
        <v>66</v>
      </c>
      <c r="C31" s="95" t="s">
        <v>85</v>
      </c>
      <c r="D31" s="95" t="s">
        <v>81</v>
      </c>
      <c r="F31" s="95">
        <v>0.63</v>
      </c>
      <c r="G31" s="95">
        <v>3</v>
      </c>
      <c r="I31" s="95">
        <v>0.83250000000000002</v>
      </c>
      <c r="P31" s="95">
        <v>2023</v>
      </c>
      <c r="Q31" s="95" t="s">
        <v>182</v>
      </c>
      <c r="R31" s="95" t="s">
        <v>183</v>
      </c>
      <c r="S31" s="95" t="s">
        <v>99</v>
      </c>
      <c r="T31" s="95" t="s">
        <v>184</v>
      </c>
    </row>
    <row r="32" spans="1:20" x14ac:dyDescent="0.2">
      <c r="A32" s="95" t="s">
        <v>65</v>
      </c>
      <c r="B32" s="95" t="s">
        <v>66</v>
      </c>
      <c r="C32" s="95" t="s">
        <v>85</v>
      </c>
      <c r="D32" s="95" t="s">
        <v>68</v>
      </c>
      <c r="F32" s="95">
        <v>0.75</v>
      </c>
      <c r="G32" s="95">
        <v>2.65</v>
      </c>
      <c r="I32" s="95">
        <v>2.5950000000000002</v>
      </c>
      <c r="P32" s="95">
        <v>2023</v>
      </c>
      <c r="Q32" s="95" t="s">
        <v>185</v>
      </c>
      <c r="R32" s="95" t="s">
        <v>186</v>
      </c>
      <c r="S32" s="95" t="s">
        <v>99</v>
      </c>
      <c r="T32" s="95" t="s">
        <v>187</v>
      </c>
    </row>
    <row r="33" spans="1:20" x14ac:dyDescent="0.2">
      <c r="A33" s="95" t="s">
        <v>65</v>
      </c>
      <c r="B33" s="95" t="s">
        <v>66</v>
      </c>
      <c r="C33" s="95" t="s">
        <v>86</v>
      </c>
      <c r="D33" s="95" t="s">
        <v>68</v>
      </c>
      <c r="F33" s="95">
        <v>1</v>
      </c>
      <c r="G33" s="95">
        <v>5</v>
      </c>
      <c r="I33" s="95">
        <v>0.97875000000000001</v>
      </c>
      <c r="P33" s="95">
        <v>2023</v>
      </c>
      <c r="Q33" s="95" t="s">
        <v>188</v>
      </c>
      <c r="R33" s="95" t="s">
        <v>189</v>
      </c>
      <c r="S33" s="95" t="s">
        <v>99</v>
      </c>
      <c r="T33" s="95" t="s">
        <v>190</v>
      </c>
    </row>
    <row r="34" spans="1:20" x14ac:dyDescent="0.2">
      <c r="A34" s="95" t="s">
        <v>65</v>
      </c>
      <c r="B34" s="95" t="s">
        <v>66</v>
      </c>
      <c r="C34" s="95" t="s">
        <v>85</v>
      </c>
      <c r="D34" s="95" t="s">
        <v>81</v>
      </c>
      <c r="F34" s="95">
        <v>1</v>
      </c>
      <c r="G34" s="95">
        <v>3.85</v>
      </c>
      <c r="I34" s="95">
        <v>0.48781249999999998</v>
      </c>
      <c r="P34" s="95">
        <v>2023</v>
      </c>
      <c r="Q34" s="95" t="s">
        <v>191</v>
      </c>
      <c r="R34" s="95" t="s">
        <v>192</v>
      </c>
      <c r="S34" s="95" t="s">
        <v>99</v>
      </c>
      <c r="T34" s="95" t="s">
        <v>193</v>
      </c>
    </row>
    <row r="35" spans="1:20" x14ac:dyDescent="0.2">
      <c r="A35" s="95" t="s">
        <v>65</v>
      </c>
      <c r="B35" s="95" t="s">
        <v>66</v>
      </c>
      <c r="C35" s="95" t="s">
        <v>85</v>
      </c>
      <c r="D35" s="95" t="s">
        <v>81</v>
      </c>
      <c r="F35" s="95">
        <v>1</v>
      </c>
      <c r="G35" s="95">
        <v>5</v>
      </c>
      <c r="I35" s="95">
        <v>1.3891666666666669</v>
      </c>
      <c r="P35" s="95">
        <v>2023</v>
      </c>
      <c r="Q35" s="95" t="s">
        <v>194</v>
      </c>
      <c r="R35" s="95" t="s">
        <v>195</v>
      </c>
      <c r="S35" s="95" t="s">
        <v>99</v>
      </c>
      <c r="T35" s="95" t="s">
        <v>196</v>
      </c>
    </row>
    <row r="36" spans="1:20" x14ac:dyDescent="0.2">
      <c r="A36" s="95" t="s">
        <v>65</v>
      </c>
      <c r="B36" s="95" t="s">
        <v>66</v>
      </c>
      <c r="C36" s="95" t="s">
        <v>86</v>
      </c>
      <c r="D36" s="95" t="s">
        <v>68</v>
      </c>
      <c r="F36" s="95">
        <v>1</v>
      </c>
      <c r="G36" s="95">
        <v>5</v>
      </c>
      <c r="I36" s="95">
        <v>1.7450000000000001</v>
      </c>
      <c r="P36" s="95">
        <v>2023</v>
      </c>
      <c r="Q36" s="95" t="s">
        <v>16</v>
      </c>
      <c r="R36" s="95" t="s">
        <v>197</v>
      </c>
      <c r="S36" s="95" t="s">
        <v>99</v>
      </c>
      <c r="T36" s="95" t="s">
        <v>198</v>
      </c>
    </row>
    <row r="37" spans="1:20" x14ac:dyDescent="0.2">
      <c r="A37" s="95" t="s">
        <v>65</v>
      </c>
      <c r="B37" s="95" t="s">
        <v>66</v>
      </c>
      <c r="C37" s="95" t="s">
        <v>86</v>
      </c>
      <c r="D37" s="95" t="s">
        <v>81</v>
      </c>
      <c r="F37" s="95">
        <v>1</v>
      </c>
      <c r="G37" s="95">
        <v>5</v>
      </c>
      <c r="I37" s="95">
        <v>3.85</v>
      </c>
      <c r="P37" s="95">
        <v>2023</v>
      </c>
      <c r="Q37" s="95" t="s">
        <v>199</v>
      </c>
      <c r="R37" s="95" t="s">
        <v>200</v>
      </c>
      <c r="S37" s="95" t="s">
        <v>99</v>
      </c>
      <c r="T37" s="95" t="s">
        <v>201</v>
      </c>
    </row>
    <row r="38" spans="1:20" x14ac:dyDescent="0.2">
      <c r="A38" s="95" t="s">
        <v>65</v>
      </c>
      <c r="B38" s="95" t="s">
        <v>66</v>
      </c>
      <c r="C38" s="95" t="s">
        <v>86</v>
      </c>
      <c r="D38" s="95" t="s">
        <v>81</v>
      </c>
      <c r="F38" s="95">
        <v>1</v>
      </c>
      <c r="G38" s="95">
        <v>5</v>
      </c>
      <c r="I38" s="95">
        <v>3.66</v>
      </c>
      <c r="P38" s="95">
        <v>2023</v>
      </c>
      <c r="Q38" s="95" t="s">
        <v>199</v>
      </c>
      <c r="R38" s="95" t="s">
        <v>202</v>
      </c>
      <c r="S38" s="95" t="s">
        <v>99</v>
      </c>
      <c r="T38" s="95" t="s">
        <v>203</v>
      </c>
    </row>
    <row r="39" spans="1:20" x14ac:dyDescent="0.2">
      <c r="A39" s="95" t="s">
        <v>65</v>
      </c>
      <c r="B39" s="95" t="s">
        <v>66</v>
      </c>
      <c r="C39" s="95" t="s">
        <v>86</v>
      </c>
      <c r="D39" s="95" t="s">
        <v>81</v>
      </c>
      <c r="F39" s="95">
        <v>1</v>
      </c>
      <c r="G39" s="95">
        <v>5</v>
      </c>
      <c r="I39" s="95">
        <v>3.9950000000000001</v>
      </c>
      <c r="P39" s="95">
        <v>2023</v>
      </c>
      <c r="Q39" s="95" t="s">
        <v>199</v>
      </c>
      <c r="R39" s="95" t="s">
        <v>204</v>
      </c>
      <c r="S39" s="95" t="s">
        <v>99</v>
      </c>
      <c r="T39" s="95" t="s">
        <v>205</v>
      </c>
    </row>
    <row r="40" spans="1:20" x14ac:dyDescent="0.2">
      <c r="A40" s="95" t="s">
        <v>65</v>
      </c>
      <c r="B40" s="95" t="s">
        <v>66</v>
      </c>
      <c r="C40" s="95" t="s">
        <v>86</v>
      </c>
      <c r="D40" s="95" t="s">
        <v>68</v>
      </c>
      <c r="F40" s="95">
        <v>1.5</v>
      </c>
      <c r="G40" s="95">
        <v>7.5</v>
      </c>
      <c r="I40" s="95">
        <v>1.1131249999999999</v>
      </c>
      <c r="P40" s="95">
        <v>2023</v>
      </c>
      <c r="Q40" s="95" t="s">
        <v>199</v>
      </c>
      <c r="R40" s="95" t="s">
        <v>206</v>
      </c>
      <c r="S40" s="95" t="s">
        <v>99</v>
      </c>
      <c r="T40" s="95" t="s">
        <v>207</v>
      </c>
    </row>
    <row r="41" spans="1:20" x14ac:dyDescent="0.2">
      <c r="A41" s="95" t="s">
        <v>65</v>
      </c>
      <c r="B41" s="95" t="s">
        <v>66</v>
      </c>
      <c r="C41" s="95" t="s">
        <v>85</v>
      </c>
      <c r="D41" s="95" t="s">
        <v>81</v>
      </c>
      <c r="F41" s="95">
        <v>1.5</v>
      </c>
      <c r="G41" s="95">
        <v>5.78</v>
      </c>
      <c r="I41" s="95">
        <v>0.65187499999999998</v>
      </c>
      <c r="P41" s="95">
        <v>2023</v>
      </c>
      <c r="Q41" s="95" t="s">
        <v>191</v>
      </c>
      <c r="R41" s="95" t="s">
        <v>208</v>
      </c>
      <c r="S41" s="95" t="s">
        <v>99</v>
      </c>
      <c r="T41" s="95" t="s">
        <v>209</v>
      </c>
    </row>
    <row r="42" spans="1:20" x14ac:dyDescent="0.2">
      <c r="A42" s="95" t="s">
        <v>65</v>
      </c>
      <c r="B42" s="95" t="s">
        <v>66</v>
      </c>
      <c r="C42" s="95" t="s">
        <v>86</v>
      </c>
      <c r="D42" s="95" t="s">
        <v>68</v>
      </c>
      <c r="F42" s="95">
        <v>2</v>
      </c>
      <c r="G42" s="95">
        <v>10</v>
      </c>
      <c r="I42" s="95">
        <v>1.89</v>
      </c>
      <c r="P42" s="95">
        <v>2023</v>
      </c>
      <c r="Q42" s="95" t="s">
        <v>210</v>
      </c>
      <c r="R42" s="95" t="s">
        <v>211</v>
      </c>
      <c r="S42" s="95" t="s">
        <v>99</v>
      </c>
      <c r="T42" s="95" t="s">
        <v>212</v>
      </c>
    </row>
    <row r="43" spans="1:20" x14ac:dyDescent="0.2">
      <c r="A43" s="95" t="s">
        <v>65</v>
      </c>
      <c r="B43" s="95" t="s">
        <v>66</v>
      </c>
      <c r="C43" s="95" t="s">
        <v>85</v>
      </c>
      <c r="D43" s="95" t="s">
        <v>81</v>
      </c>
      <c r="F43" s="95">
        <v>2</v>
      </c>
      <c r="G43" s="95">
        <v>7.7</v>
      </c>
      <c r="I43" s="95">
        <v>0.83218749999999997</v>
      </c>
      <c r="P43" s="95">
        <v>2023</v>
      </c>
      <c r="Q43" s="95" t="s">
        <v>191</v>
      </c>
      <c r="R43" s="95" t="s">
        <v>213</v>
      </c>
      <c r="S43" s="95" t="s">
        <v>99</v>
      </c>
      <c r="T43" s="95" t="s">
        <v>214</v>
      </c>
    </row>
    <row r="44" spans="1:20" x14ac:dyDescent="0.2">
      <c r="A44" s="95" t="s">
        <v>65</v>
      </c>
      <c r="B44" s="95" t="s">
        <v>66</v>
      </c>
      <c r="C44" s="95" t="s">
        <v>86</v>
      </c>
      <c r="D44" s="95" t="s">
        <v>68</v>
      </c>
      <c r="F44" s="95">
        <v>2</v>
      </c>
      <c r="G44" s="95">
        <v>10</v>
      </c>
      <c r="I44" s="95">
        <v>1.85625</v>
      </c>
      <c r="P44" s="95">
        <v>2023</v>
      </c>
      <c r="Q44" s="95" t="s">
        <v>176</v>
      </c>
      <c r="R44" s="95" t="s">
        <v>215</v>
      </c>
      <c r="S44" s="95" t="s">
        <v>99</v>
      </c>
      <c r="T44" s="95" t="s">
        <v>216</v>
      </c>
    </row>
    <row r="45" spans="1:20" x14ac:dyDescent="0.2">
      <c r="A45" s="95" t="s">
        <v>65</v>
      </c>
      <c r="B45" s="95" t="s">
        <v>66</v>
      </c>
      <c r="C45" s="95" t="s">
        <v>86</v>
      </c>
      <c r="D45" s="95" t="s">
        <v>68</v>
      </c>
      <c r="F45" s="95">
        <v>2</v>
      </c>
      <c r="G45" s="95">
        <v>10</v>
      </c>
      <c r="I45" s="95">
        <v>1.85625</v>
      </c>
      <c r="P45" s="95">
        <v>2023</v>
      </c>
      <c r="Q45" s="95" t="s">
        <v>217</v>
      </c>
      <c r="R45" s="95" t="s">
        <v>218</v>
      </c>
      <c r="S45" s="95" t="s">
        <v>99</v>
      </c>
      <c r="T45" s="95" t="s">
        <v>219</v>
      </c>
    </row>
    <row r="46" spans="1:20" x14ac:dyDescent="0.2">
      <c r="A46" s="95" t="s">
        <v>65</v>
      </c>
      <c r="B46" s="95" t="s">
        <v>66</v>
      </c>
      <c r="C46" s="95" t="s">
        <v>85</v>
      </c>
      <c r="D46" s="95" t="s">
        <v>81</v>
      </c>
      <c r="F46" s="95">
        <v>2</v>
      </c>
      <c r="G46" s="95">
        <v>10</v>
      </c>
      <c r="I46" s="95">
        <v>2.875</v>
      </c>
      <c r="P46" s="95">
        <v>2023</v>
      </c>
      <c r="Q46" s="95" t="s">
        <v>182</v>
      </c>
      <c r="R46" s="95" t="s">
        <v>220</v>
      </c>
      <c r="S46" s="95" t="s">
        <v>99</v>
      </c>
      <c r="T46" s="95" t="s">
        <v>221</v>
      </c>
    </row>
    <row r="47" spans="1:20" x14ac:dyDescent="0.2">
      <c r="A47" s="95" t="s">
        <v>65</v>
      </c>
      <c r="B47" s="95" t="s">
        <v>66</v>
      </c>
      <c r="C47" s="95" t="s">
        <v>86</v>
      </c>
      <c r="D47" s="95" t="s">
        <v>81</v>
      </c>
      <c r="F47" s="95">
        <v>2</v>
      </c>
      <c r="G47" s="95">
        <v>10</v>
      </c>
      <c r="I47" s="95">
        <v>5.2262500000000003</v>
      </c>
      <c r="P47" s="95">
        <v>2023</v>
      </c>
      <c r="Q47" s="95" t="s">
        <v>199</v>
      </c>
      <c r="R47" s="95" t="s">
        <v>222</v>
      </c>
      <c r="S47" s="95" t="s">
        <v>99</v>
      </c>
      <c r="T47" s="95" t="s">
        <v>223</v>
      </c>
    </row>
    <row r="48" spans="1:20" x14ac:dyDescent="0.2">
      <c r="A48" s="95" t="s">
        <v>65</v>
      </c>
      <c r="B48" s="95" t="s">
        <v>66</v>
      </c>
      <c r="C48" s="95" t="s">
        <v>86</v>
      </c>
      <c r="D48" s="95" t="s">
        <v>81</v>
      </c>
      <c r="F48" s="95">
        <v>2</v>
      </c>
      <c r="G48" s="95">
        <v>10</v>
      </c>
      <c r="I48" s="95">
        <v>4.9924999999999997</v>
      </c>
      <c r="P48" s="95">
        <v>2023</v>
      </c>
      <c r="Q48" s="95" t="s">
        <v>199</v>
      </c>
      <c r="R48" s="95" t="s">
        <v>224</v>
      </c>
      <c r="S48" s="95" t="s">
        <v>99</v>
      </c>
      <c r="T48" s="95" t="s">
        <v>225</v>
      </c>
    </row>
    <row r="49" spans="1:20" x14ac:dyDescent="0.2">
      <c r="A49" s="95" t="s">
        <v>65</v>
      </c>
      <c r="B49" s="95" t="s">
        <v>66</v>
      </c>
      <c r="C49" s="95" t="s">
        <v>86</v>
      </c>
      <c r="D49" s="95" t="s">
        <v>81</v>
      </c>
      <c r="F49" s="95">
        <v>2</v>
      </c>
      <c r="G49" s="95">
        <v>10</v>
      </c>
      <c r="I49" s="95">
        <v>5.15625</v>
      </c>
      <c r="P49" s="95">
        <v>2023</v>
      </c>
      <c r="Q49" s="95" t="s">
        <v>199</v>
      </c>
      <c r="R49" s="95" t="s">
        <v>226</v>
      </c>
      <c r="S49" s="95" t="s">
        <v>99</v>
      </c>
      <c r="T49" s="95" t="s">
        <v>227</v>
      </c>
    </row>
    <row r="50" spans="1:20" x14ac:dyDescent="0.2">
      <c r="A50" s="95" t="s">
        <v>65</v>
      </c>
      <c r="B50" s="95" t="s">
        <v>66</v>
      </c>
      <c r="C50" s="95" t="s">
        <v>85</v>
      </c>
      <c r="D50" s="95" t="s">
        <v>68</v>
      </c>
      <c r="F50" s="95">
        <v>2.38</v>
      </c>
      <c r="G50" s="95">
        <v>10</v>
      </c>
      <c r="I50" s="95">
        <v>2.5821874999999999</v>
      </c>
      <c r="P50" s="95">
        <v>2023</v>
      </c>
      <c r="Q50" s="95" t="s">
        <v>228</v>
      </c>
      <c r="R50" s="95" t="s">
        <v>229</v>
      </c>
      <c r="S50" s="95" t="s">
        <v>99</v>
      </c>
      <c r="T50" s="95" t="s">
        <v>230</v>
      </c>
    </row>
  </sheetData>
  <hyperlinks>
    <hyperlink ref="A1" location="'Table of Contents'!A1" display="Table of Contents" xr:uid="{6B3B062B-FF14-4381-A446-874036B86FCA}"/>
  </hyperlink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0E548-55BF-4EE5-B250-DA0FD4D3D5D9}">
  <dimension ref="A1:T166"/>
  <sheetViews>
    <sheetView workbookViewId="0">
      <selection activeCell="A3" sqref="A3"/>
    </sheetView>
  </sheetViews>
  <sheetFormatPr baseColWidth="10" defaultColWidth="8.5" defaultRowHeight="15" x14ac:dyDescent="0.2"/>
  <cols>
    <col min="1" max="1" width="14.5" style="95" customWidth="1"/>
    <col min="2" max="2" width="13" style="95" customWidth="1"/>
    <col min="3" max="3" width="10.5" style="95" customWidth="1"/>
    <col min="4" max="4" width="8.5" style="95"/>
    <col min="5" max="5" width="12.5" style="95" customWidth="1"/>
    <col min="6" max="6" width="15.5" style="95" customWidth="1"/>
    <col min="7" max="7" width="9.5" style="95" customWidth="1"/>
    <col min="8" max="9" width="17.5" style="95" customWidth="1"/>
    <col min="10" max="10" width="19.5" style="95" customWidth="1"/>
    <col min="11" max="11" width="13.5" style="95" customWidth="1"/>
    <col min="12" max="12" width="25.5" style="95" customWidth="1"/>
    <col min="13" max="14" width="21.5" style="95" customWidth="1"/>
    <col min="15" max="15" width="10.5" style="95" customWidth="1"/>
    <col min="16" max="17" width="8.5" style="95"/>
    <col min="18" max="18" width="14.5" style="95" customWidth="1"/>
    <col min="19" max="19" width="8.5" style="95"/>
    <col min="20" max="20" width="13.5" style="95" customWidth="1"/>
    <col min="21" max="16384" width="8.5" style="95"/>
  </cols>
  <sheetData>
    <row r="1" spans="1:20" customFormat="1" x14ac:dyDescent="0.2">
      <c r="A1" s="4" t="s">
        <v>21</v>
      </c>
      <c r="K1" s="39"/>
      <c r="L1" s="39"/>
    </row>
    <row r="2" spans="1:20" customFormat="1" ht="19" x14ac:dyDescent="0.25">
      <c r="A2" s="24" t="s">
        <v>22</v>
      </c>
      <c r="K2" s="39"/>
      <c r="L2" s="39"/>
    </row>
    <row r="3" spans="1:20" x14ac:dyDescent="0.2">
      <c r="A3" s="96" t="s">
        <v>25</v>
      </c>
      <c r="B3" s="96" t="s">
        <v>26</v>
      </c>
      <c r="C3" s="96" t="s">
        <v>27</v>
      </c>
      <c r="D3" s="96" t="s">
        <v>28</v>
      </c>
      <c r="E3" s="96" t="s">
        <v>29</v>
      </c>
      <c r="F3" s="96" t="s">
        <v>30</v>
      </c>
      <c r="G3" s="96" t="s">
        <v>31</v>
      </c>
      <c r="H3" s="96" t="s">
        <v>32</v>
      </c>
      <c r="I3" s="96" t="s">
        <v>33</v>
      </c>
      <c r="J3" s="96" t="s">
        <v>34</v>
      </c>
      <c r="K3" s="96" t="s">
        <v>35</v>
      </c>
      <c r="L3" s="96" t="s">
        <v>36</v>
      </c>
      <c r="M3" s="96" t="s">
        <v>37</v>
      </c>
      <c r="N3" s="96" t="s">
        <v>38</v>
      </c>
      <c r="O3" s="96" t="s">
        <v>39</v>
      </c>
      <c r="P3" s="96" t="s">
        <v>40</v>
      </c>
      <c r="Q3" s="96" t="s">
        <v>41</v>
      </c>
      <c r="R3" s="96" t="s">
        <v>42</v>
      </c>
      <c r="S3" s="96" t="s">
        <v>43</v>
      </c>
      <c r="T3" s="96" t="s">
        <v>44</v>
      </c>
    </row>
    <row r="4" spans="1:20" x14ac:dyDescent="0.2">
      <c r="A4" s="95" t="s">
        <v>65</v>
      </c>
      <c r="B4" s="95" t="s">
        <v>66</v>
      </c>
      <c r="C4" s="95" t="s">
        <v>67</v>
      </c>
      <c r="D4" s="95" t="s">
        <v>68</v>
      </c>
      <c r="E4" s="95" t="s">
        <v>68</v>
      </c>
      <c r="F4" s="95">
        <v>1</v>
      </c>
      <c r="G4" s="95">
        <v>4.0999999999999996</v>
      </c>
      <c r="I4" s="95">
        <v>0.42</v>
      </c>
      <c r="J4" s="95">
        <v>8.0000000000000002E-3</v>
      </c>
      <c r="K4" s="95">
        <v>0.31</v>
      </c>
      <c r="L4" s="95">
        <v>0.96</v>
      </c>
      <c r="O4" s="95">
        <v>999</v>
      </c>
      <c r="P4" s="95">
        <v>2023</v>
      </c>
      <c r="R4" s="95" t="s">
        <v>69</v>
      </c>
      <c r="S4" s="95" t="s">
        <v>70</v>
      </c>
    </row>
    <row r="5" spans="1:20" x14ac:dyDescent="0.2">
      <c r="A5" s="95" t="s">
        <v>65</v>
      </c>
      <c r="B5" s="95" t="s">
        <v>66</v>
      </c>
      <c r="C5" s="95" t="s">
        <v>67</v>
      </c>
      <c r="D5" s="95" t="s">
        <v>68</v>
      </c>
      <c r="E5" s="95" t="s">
        <v>68</v>
      </c>
      <c r="F5" s="95">
        <v>1.5</v>
      </c>
      <c r="G5" s="95">
        <v>6.2</v>
      </c>
      <c r="I5" s="95">
        <v>1.32</v>
      </c>
      <c r="J5" s="95">
        <v>8.0000000000000002E-3</v>
      </c>
      <c r="K5" s="95">
        <v>0.31</v>
      </c>
      <c r="L5" s="95">
        <v>1.95</v>
      </c>
      <c r="O5" s="95">
        <v>999</v>
      </c>
      <c r="P5" s="95">
        <v>2023</v>
      </c>
      <c r="R5" s="95" t="s">
        <v>69</v>
      </c>
      <c r="S5" s="95" t="s">
        <v>70</v>
      </c>
    </row>
    <row r="6" spans="1:20" x14ac:dyDescent="0.2">
      <c r="A6" s="95" t="s">
        <v>65</v>
      </c>
      <c r="B6" s="95" t="s">
        <v>66</v>
      </c>
      <c r="C6" s="95" t="s">
        <v>67</v>
      </c>
      <c r="D6" s="95" t="s">
        <v>68</v>
      </c>
      <c r="E6" s="95" t="s">
        <v>68</v>
      </c>
      <c r="F6" s="95">
        <v>2</v>
      </c>
      <c r="G6" s="95">
        <v>8.3000000000000007</v>
      </c>
      <c r="I6" s="95">
        <v>0.67</v>
      </c>
      <c r="J6" s="95">
        <v>8.0000000000000002E-3</v>
      </c>
      <c r="K6" s="95">
        <v>0.31</v>
      </c>
      <c r="L6" s="95">
        <v>1.24</v>
      </c>
      <c r="O6" s="95">
        <v>999</v>
      </c>
      <c r="P6" s="95">
        <v>2023</v>
      </c>
      <c r="R6" s="95" t="s">
        <v>69</v>
      </c>
      <c r="S6" s="95" t="s">
        <v>70</v>
      </c>
    </row>
    <row r="7" spans="1:20" x14ac:dyDescent="0.2">
      <c r="A7" s="95" t="s">
        <v>65</v>
      </c>
      <c r="B7" s="95" t="s">
        <v>66</v>
      </c>
      <c r="C7" s="95" t="s">
        <v>67</v>
      </c>
      <c r="D7" s="95" t="s">
        <v>68</v>
      </c>
      <c r="E7" s="95" t="s">
        <v>68</v>
      </c>
      <c r="F7" s="95">
        <v>3</v>
      </c>
      <c r="G7" s="95">
        <v>12.4</v>
      </c>
      <c r="I7" s="95">
        <v>0.89</v>
      </c>
      <c r="J7" s="95">
        <v>0.01</v>
      </c>
      <c r="K7" s="95">
        <v>0.39</v>
      </c>
      <c r="L7" s="95">
        <v>1.61</v>
      </c>
      <c r="O7" s="95">
        <v>999</v>
      </c>
      <c r="P7" s="95">
        <v>2023</v>
      </c>
      <c r="R7" s="95" t="s">
        <v>69</v>
      </c>
      <c r="S7" s="95" t="s">
        <v>70</v>
      </c>
    </row>
    <row r="8" spans="1:20" x14ac:dyDescent="0.2">
      <c r="A8" s="95" t="s">
        <v>65</v>
      </c>
      <c r="B8" s="95" t="s">
        <v>66</v>
      </c>
      <c r="C8" s="95" t="s">
        <v>67</v>
      </c>
      <c r="D8" s="95" t="s">
        <v>68</v>
      </c>
      <c r="E8" s="95" t="s">
        <v>68</v>
      </c>
      <c r="F8" s="95">
        <v>1</v>
      </c>
      <c r="G8" s="95">
        <v>4.3</v>
      </c>
      <c r="I8" s="95">
        <v>0.87</v>
      </c>
      <c r="J8" s="95">
        <v>8.0000000000000002E-3</v>
      </c>
      <c r="K8" s="95">
        <v>0.31</v>
      </c>
      <c r="L8" s="95">
        <v>1.46</v>
      </c>
      <c r="O8" s="95">
        <v>999</v>
      </c>
      <c r="P8" s="95">
        <v>2023</v>
      </c>
      <c r="R8" s="95" t="s">
        <v>69</v>
      </c>
      <c r="S8" s="95" t="s">
        <v>70</v>
      </c>
    </row>
    <row r="9" spans="1:20" x14ac:dyDescent="0.2">
      <c r="A9" s="95" t="s">
        <v>65</v>
      </c>
      <c r="B9" s="95" t="s">
        <v>66</v>
      </c>
      <c r="C9" s="95" t="s">
        <v>67</v>
      </c>
      <c r="D9" s="95" t="s">
        <v>68</v>
      </c>
      <c r="E9" s="95" t="s">
        <v>68</v>
      </c>
      <c r="F9" s="95">
        <v>2</v>
      </c>
      <c r="G9" s="95">
        <v>8.6999999999999993</v>
      </c>
      <c r="I9" s="95">
        <v>1.78</v>
      </c>
      <c r="J9" s="95">
        <v>8.9999999999999993E-3</v>
      </c>
      <c r="K9" s="95">
        <v>0.35</v>
      </c>
      <c r="L9" s="95">
        <v>2.5299999999999998</v>
      </c>
      <c r="O9" s="95">
        <v>999</v>
      </c>
      <c r="P9" s="95">
        <v>2023</v>
      </c>
      <c r="R9" s="95" t="s">
        <v>69</v>
      </c>
      <c r="S9" s="95" t="s">
        <v>70</v>
      </c>
    </row>
    <row r="10" spans="1:20" x14ac:dyDescent="0.2">
      <c r="A10" s="95" t="s">
        <v>65</v>
      </c>
      <c r="B10" s="95" t="s">
        <v>66</v>
      </c>
      <c r="C10" s="95" t="s">
        <v>67</v>
      </c>
      <c r="D10" s="95" t="s">
        <v>68</v>
      </c>
      <c r="E10" s="95" t="s">
        <v>68</v>
      </c>
      <c r="F10" s="95">
        <v>2.5</v>
      </c>
      <c r="G10" s="95">
        <v>10.9</v>
      </c>
      <c r="I10" s="95">
        <v>1.57</v>
      </c>
      <c r="J10" s="95">
        <v>0.01</v>
      </c>
      <c r="K10" s="95">
        <v>0.39</v>
      </c>
      <c r="L10" s="95">
        <v>2.36</v>
      </c>
      <c r="O10" s="95">
        <v>999</v>
      </c>
      <c r="P10" s="95">
        <v>2023</v>
      </c>
      <c r="R10" s="95" t="s">
        <v>69</v>
      </c>
      <c r="S10" s="95" t="s">
        <v>70</v>
      </c>
    </row>
    <row r="11" spans="1:20" x14ac:dyDescent="0.2">
      <c r="A11" s="95" t="s">
        <v>65</v>
      </c>
      <c r="B11" s="95" t="s">
        <v>66</v>
      </c>
      <c r="C11" s="95" t="s">
        <v>67</v>
      </c>
      <c r="D11" s="95" t="s">
        <v>68</v>
      </c>
      <c r="E11" s="95" t="s">
        <v>68</v>
      </c>
      <c r="F11" s="95">
        <v>3</v>
      </c>
      <c r="G11" s="95">
        <v>13</v>
      </c>
      <c r="I11" s="95">
        <v>0.59</v>
      </c>
      <c r="J11" s="95">
        <v>0.01</v>
      </c>
      <c r="K11" s="95">
        <v>0.39</v>
      </c>
      <c r="L11" s="95">
        <v>1.28</v>
      </c>
      <c r="O11" s="95">
        <v>999</v>
      </c>
      <c r="P11" s="95">
        <v>2023</v>
      </c>
      <c r="R11" s="95" t="s">
        <v>69</v>
      </c>
      <c r="S11" s="95" t="s">
        <v>70</v>
      </c>
    </row>
    <row r="12" spans="1:20" x14ac:dyDescent="0.2">
      <c r="A12" s="95" t="s">
        <v>65</v>
      </c>
      <c r="B12" s="95" t="s">
        <v>66</v>
      </c>
      <c r="C12" s="95" t="s">
        <v>67</v>
      </c>
      <c r="D12" s="95" t="s">
        <v>81</v>
      </c>
      <c r="E12" s="95" t="s">
        <v>82</v>
      </c>
      <c r="F12" s="95">
        <v>0.5</v>
      </c>
      <c r="G12" s="95">
        <v>4.3</v>
      </c>
      <c r="I12" s="95">
        <v>1.21</v>
      </c>
      <c r="J12" s="95">
        <v>8.0000000000000002E-3</v>
      </c>
      <c r="K12" s="95">
        <v>0.31</v>
      </c>
      <c r="L12" s="95">
        <v>1.83</v>
      </c>
      <c r="O12" s="95">
        <v>999</v>
      </c>
      <c r="P12" s="95">
        <v>2023</v>
      </c>
      <c r="R12" s="95" t="s">
        <v>69</v>
      </c>
      <c r="S12" s="95" t="s">
        <v>70</v>
      </c>
    </row>
    <row r="13" spans="1:20" x14ac:dyDescent="0.2">
      <c r="A13" s="95" t="s">
        <v>65</v>
      </c>
      <c r="B13" s="95" t="s">
        <v>66</v>
      </c>
      <c r="C13" s="95" t="s">
        <v>67</v>
      </c>
      <c r="D13" s="95" t="s">
        <v>81</v>
      </c>
      <c r="E13" s="95" t="s">
        <v>82</v>
      </c>
      <c r="F13" s="95">
        <v>0.625</v>
      </c>
      <c r="G13" s="95">
        <v>6.5</v>
      </c>
      <c r="I13" s="95">
        <v>1.68</v>
      </c>
      <c r="J13" s="95">
        <v>8.0000000000000002E-3</v>
      </c>
      <c r="K13" s="95">
        <v>0.31</v>
      </c>
      <c r="L13" s="95">
        <v>2.35</v>
      </c>
      <c r="O13" s="95">
        <v>999</v>
      </c>
      <c r="P13" s="95">
        <v>2023</v>
      </c>
      <c r="R13" s="95" t="s">
        <v>69</v>
      </c>
      <c r="S13" s="95" t="s">
        <v>70</v>
      </c>
    </row>
    <row r="14" spans="1:20" x14ac:dyDescent="0.2">
      <c r="A14" s="95" t="s">
        <v>65</v>
      </c>
      <c r="B14" s="95" t="s">
        <v>66</v>
      </c>
      <c r="C14" s="95" t="s">
        <v>67</v>
      </c>
      <c r="D14" s="95" t="s">
        <v>81</v>
      </c>
      <c r="E14" s="95" t="s">
        <v>82</v>
      </c>
      <c r="F14" s="95">
        <v>0.75</v>
      </c>
      <c r="G14" s="95">
        <v>8.6999999999999993</v>
      </c>
      <c r="I14" s="95">
        <v>2.27</v>
      </c>
      <c r="J14" s="95">
        <v>8.9999999999999993E-3</v>
      </c>
      <c r="K14" s="95">
        <v>0.35</v>
      </c>
      <c r="L14" s="95">
        <v>3.07</v>
      </c>
      <c r="O14" s="95">
        <v>999</v>
      </c>
      <c r="P14" s="95">
        <v>2023</v>
      </c>
      <c r="R14" s="95" t="s">
        <v>69</v>
      </c>
      <c r="S14" s="95" t="s">
        <v>70</v>
      </c>
    </row>
    <row r="15" spans="1:20" x14ac:dyDescent="0.2">
      <c r="A15" s="95" t="s">
        <v>65</v>
      </c>
      <c r="B15" s="95" t="s">
        <v>66</v>
      </c>
      <c r="C15" s="95" t="s">
        <v>67</v>
      </c>
      <c r="D15" s="95" t="s">
        <v>81</v>
      </c>
      <c r="E15" s="95" t="s">
        <v>82</v>
      </c>
      <c r="F15" s="95">
        <v>1</v>
      </c>
      <c r="G15" s="95">
        <v>10.9</v>
      </c>
      <c r="I15" s="95">
        <v>2.64</v>
      </c>
      <c r="J15" s="95">
        <v>0.01</v>
      </c>
      <c r="K15" s="95">
        <v>0.39</v>
      </c>
      <c r="L15" s="95">
        <v>3.53</v>
      </c>
      <c r="O15" s="95">
        <v>999</v>
      </c>
      <c r="P15" s="95">
        <v>2023</v>
      </c>
      <c r="R15" s="95" t="s">
        <v>69</v>
      </c>
      <c r="S15" s="95" t="s">
        <v>70</v>
      </c>
    </row>
    <row r="16" spans="1:20" x14ac:dyDescent="0.2">
      <c r="A16" s="95" t="s">
        <v>65</v>
      </c>
      <c r="B16" s="95" t="s">
        <v>66</v>
      </c>
      <c r="C16" s="95" t="s">
        <v>67</v>
      </c>
      <c r="D16" s="95" t="s">
        <v>81</v>
      </c>
      <c r="E16" s="95" t="s">
        <v>82</v>
      </c>
      <c r="F16" s="95">
        <v>1.5</v>
      </c>
      <c r="G16" s="95">
        <v>13</v>
      </c>
      <c r="I16" s="95">
        <v>0.56999999999999995</v>
      </c>
      <c r="J16" s="95">
        <v>0.01</v>
      </c>
      <c r="K16" s="95">
        <v>0.39</v>
      </c>
      <c r="L16" s="95">
        <v>1.26</v>
      </c>
      <c r="O16" s="95">
        <v>999</v>
      </c>
      <c r="P16" s="95">
        <v>2023</v>
      </c>
      <c r="R16" s="95" t="s">
        <v>69</v>
      </c>
      <c r="S16" s="95" t="s">
        <v>70</v>
      </c>
    </row>
    <row r="17" spans="1:19" x14ac:dyDescent="0.2">
      <c r="A17" s="95" t="s">
        <v>65</v>
      </c>
      <c r="B17" s="95" t="s">
        <v>66</v>
      </c>
      <c r="C17" s="95" t="s">
        <v>84</v>
      </c>
      <c r="D17" s="95" t="s">
        <v>81</v>
      </c>
      <c r="E17" s="95" t="s">
        <v>82</v>
      </c>
      <c r="F17" s="95">
        <v>1</v>
      </c>
      <c r="G17" s="95">
        <v>2.77</v>
      </c>
      <c r="I17" s="95">
        <v>0.71</v>
      </c>
      <c r="J17" s="95">
        <v>0.01</v>
      </c>
      <c r="K17" s="95">
        <v>0.39</v>
      </c>
      <c r="L17" s="95">
        <v>1.41</v>
      </c>
      <c r="O17" s="95">
        <v>999</v>
      </c>
      <c r="P17" s="95">
        <v>2023</v>
      </c>
      <c r="R17" s="95" t="s">
        <v>69</v>
      </c>
      <c r="S17" s="95" t="s">
        <v>70</v>
      </c>
    </row>
    <row r="18" spans="1:19" x14ac:dyDescent="0.2">
      <c r="A18" s="95" t="s">
        <v>65</v>
      </c>
      <c r="B18" s="95" t="s">
        <v>66</v>
      </c>
      <c r="C18" s="95" t="s">
        <v>84</v>
      </c>
      <c r="D18" s="95" t="s">
        <v>81</v>
      </c>
      <c r="E18" s="95" t="s">
        <v>82</v>
      </c>
      <c r="F18" s="95">
        <v>2</v>
      </c>
      <c r="G18" s="95">
        <v>5.55</v>
      </c>
      <c r="I18" s="95">
        <v>1.26</v>
      </c>
      <c r="J18" s="95">
        <v>1.0999999999999999E-2</v>
      </c>
      <c r="K18" s="95">
        <v>0.42</v>
      </c>
      <c r="L18" s="95">
        <v>2.08</v>
      </c>
      <c r="O18" s="95">
        <v>999</v>
      </c>
      <c r="P18" s="95">
        <v>2023</v>
      </c>
      <c r="R18" s="95" t="s">
        <v>69</v>
      </c>
      <c r="S18" s="95" t="s">
        <v>70</v>
      </c>
    </row>
    <row r="19" spans="1:19" x14ac:dyDescent="0.2">
      <c r="A19" s="95" t="s">
        <v>65</v>
      </c>
      <c r="B19" s="95" t="s">
        <v>66</v>
      </c>
      <c r="C19" s="95" t="s">
        <v>84</v>
      </c>
      <c r="D19" s="95" t="s">
        <v>81</v>
      </c>
      <c r="E19" s="95" t="s">
        <v>82</v>
      </c>
      <c r="F19" s="95">
        <v>1</v>
      </c>
      <c r="G19" s="95">
        <v>5</v>
      </c>
      <c r="I19" s="95">
        <v>1.26</v>
      </c>
      <c r="J19" s="95">
        <v>0.01</v>
      </c>
      <c r="K19" s="95">
        <v>0.39</v>
      </c>
      <c r="L19" s="95">
        <v>2.02</v>
      </c>
      <c r="O19" s="95">
        <v>999</v>
      </c>
      <c r="P19" s="95">
        <v>2023</v>
      </c>
      <c r="R19" s="95" t="s">
        <v>69</v>
      </c>
      <c r="S19" s="95" t="s">
        <v>70</v>
      </c>
    </row>
    <row r="20" spans="1:19" x14ac:dyDescent="0.2">
      <c r="A20" s="95" t="s">
        <v>65</v>
      </c>
      <c r="B20" s="95" t="s">
        <v>66</v>
      </c>
      <c r="C20" s="95" t="s">
        <v>84</v>
      </c>
      <c r="D20" s="95" t="s">
        <v>81</v>
      </c>
      <c r="E20" s="95" t="s">
        <v>82</v>
      </c>
      <c r="F20" s="95">
        <v>2</v>
      </c>
      <c r="G20" s="95">
        <v>10</v>
      </c>
      <c r="I20" s="95">
        <v>1.91</v>
      </c>
      <c r="J20" s="95">
        <v>1.0999999999999999E-2</v>
      </c>
      <c r="K20" s="95">
        <v>0.42</v>
      </c>
      <c r="L20" s="95">
        <v>2.79</v>
      </c>
      <c r="O20" s="95">
        <v>999</v>
      </c>
      <c r="P20" s="95">
        <v>2023</v>
      </c>
      <c r="R20" s="95" t="s">
        <v>69</v>
      </c>
      <c r="S20" s="95" t="s">
        <v>70</v>
      </c>
    </row>
    <row r="21" spans="1:19" x14ac:dyDescent="0.2">
      <c r="A21" s="95" t="s">
        <v>65</v>
      </c>
      <c r="B21" s="95" t="s">
        <v>66</v>
      </c>
      <c r="C21" s="95" t="s">
        <v>84</v>
      </c>
      <c r="D21" s="95" t="s">
        <v>81</v>
      </c>
      <c r="E21" s="95" t="s">
        <v>82</v>
      </c>
      <c r="F21" s="95">
        <v>3</v>
      </c>
      <c r="G21" s="95">
        <v>15</v>
      </c>
      <c r="I21" s="95">
        <v>3.05</v>
      </c>
      <c r="J21" s="95">
        <v>1.0999999999999999E-2</v>
      </c>
      <c r="K21" s="95">
        <v>0.42</v>
      </c>
      <c r="L21" s="95">
        <v>4.05</v>
      </c>
      <c r="O21" s="95">
        <v>999</v>
      </c>
      <c r="P21" s="95">
        <v>2023</v>
      </c>
      <c r="R21" s="95" t="s">
        <v>69</v>
      </c>
      <c r="S21" s="95" t="s">
        <v>70</v>
      </c>
    </row>
    <row r="22" spans="1:19" x14ac:dyDescent="0.2">
      <c r="A22" s="95" t="s">
        <v>65</v>
      </c>
      <c r="B22" s="95" t="s">
        <v>66</v>
      </c>
      <c r="C22" s="95" t="s">
        <v>84</v>
      </c>
      <c r="D22" s="95" t="s">
        <v>81</v>
      </c>
      <c r="E22" s="95" t="s">
        <v>82</v>
      </c>
      <c r="F22" s="95">
        <v>1</v>
      </c>
      <c r="G22" s="95">
        <v>3.85</v>
      </c>
      <c r="I22" s="95">
        <v>0.34</v>
      </c>
      <c r="J22" s="95">
        <v>0.01</v>
      </c>
      <c r="K22" s="95">
        <v>0.39</v>
      </c>
      <c r="L22" s="95">
        <v>1</v>
      </c>
      <c r="O22" s="95">
        <v>999</v>
      </c>
      <c r="P22" s="95">
        <v>2023</v>
      </c>
      <c r="R22" s="95" t="s">
        <v>69</v>
      </c>
      <c r="S22" s="95" t="s">
        <v>70</v>
      </c>
    </row>
    <row r="23" spans="1:19" x14ac:dyDescent="0.2">
      <c r="A23" s="95" t="s">
        <v>65</v>
      </c>
      <c r="B23" s="95" t="s">
        <v>66</v>
      </c>
      <c r="C23" s="95" t="s">
        <v>84</v>
      </c>
      <c r="D23" s="95" t="s">
        <v>81</v>
      </c>
      <c r="E23" s="95" t="s">
        <v>82</v>
      </c>
      <c r="F23" s="95">
        <v>2</v>
      </c>
      <c r="G23" s="95">
        <v>7.69</v>
      </c>
      <c r="I23" s="95">
        <v>0.68</v>
      </c>
      <c r="J23" s="95">
        <v>1.0999999999999999E-2</v>
      </c>
      <c r="K23" s="95">
        <v>0.42</v>
      </c>
      <c r="L23" s="95">
        <v>1.44</v>
      </c>
      <c r="O23" s="95">
        <v>999</v>
      </c>
      <c r="P23" s="95">
        <v>2023</v>
      </c>
      <c r="R23" s="95" t="s">
        <v>69</v>
      </c>
      <c r="S23" s="95" t="s">
        <v>70</v>
      </c>
    </row>
    <row r="24" spans="1:19" x14ac:dyDescent="0.2">
      <c r="A24" s="95" t="s">
        <v>65</v>
      </c>
      <c r="B24" s="95" t="s">
        <v>66</v>
      </c>
      <c r="C24" s="95" t="s">
        <v>84</v>
      </c>
      <c r="D24" s="95" t="s">
        <v>81</v>
      </c>
      <c r="E24" s="95" t="s">
        <v>82</v>
      </c>
      <c r="F24" s="95">
        <v>3</v>
      </c>
      <c r="G24" s="95">
        <v>11.49</v>
      </c>
      <c r="I24" s="95">
        <v>1.02</v>
      </c>
      <c r="J24" s="95">
        <v>1.0999999999999999E-2</v>
      </c>
      <c r="K24" s="95">
        <v>0.42</v>
      </c>
      <c r="L24" s="95">
        <v>1.81</v>
      </c>
      <c r="O24" s="95">
        <v>999</v>
      </c>
      <c r="P24" s="95">
        <v>2023</v>
      </c>
      <c r="R24" s="95" t="s">
        <v>69</v>
      </c>
      <c r="S24" s="95" t="s">
        <v>70</v>
      </c>
    </row>
    <row r="25" spans="1:19" x14ac:dyDescent="0.2">
      <c r="A25" s="95" t="s">
        <v>65</v>
      </c>
      <c r="B25" s="95" t="s">
        <v>66</v>
      </c>
      <c r="C25" s="95" t="s">
        <v>85</v>
      </c>
      <c r="D25" s="95" t="s">
        <v>68</v>
      </c>
      <c r="E25" s="95" t="s">
        <v>68</v>
      </c>
      <c r="F25" s="95">
        <v>1</v>
      </c>
      <c r="G25" s="95">
        <v>4</v>
      </c>
      <c r="I25" s="95">
        <v>0.34</v>
      </c>
      <c r="J25" s="95">
        <v>1.2E-2</v>
      </c>
      <c r="K25" s="95">
        <v>0.45</v>
      </c>
      <c r="L25" s="95">
        <v>1.1100000000000001</v>
      </c>
      <c r="O25" s="95">
        <v>999</v>
      </c>
      <c r="P25" s="95">
        <v>2023</v>
      </c>
      <c r="R25" s="95" t="s">
        <v>69</v>
      </c>
      <c r="S25" s="95" t="s">
        <v>70</v>
      </c>
    </row>
    <row r="26" spans="1:19" x14ac:dyDescent="0.2">
      <c r="A26" s="95" t="s">
        <v>65</v>
      </c>
      <c r="B26" s="95" t="s">
        <v>66</v>
      </c>
      <c r="C26" s="95" t="s">
        <v>85</v>
      </c>
      <c r="D26" s="95" t="s">
        <v>68</v>
      </c>
      <c r="E26" s="95" t="s">
        <v>68</v>
      </c>
      <c r="F26" s="95">
        <v>2</v>
      </c>
      <c r="G26" s="95">
        <v>8</v>
      </c>
      <c r="I26" s="95">
        <v>0.68</v>
      </c>
      <c r="J26" s="95">
        <v>1.2E-2</v>
      </c>
      <c r="K26" s="95">
        <v>0.46</v>
      </c>
      <c r="L26" s="95">
        <v>1.5</v>
      </c>
      <c r="O26" s="95">
        <v>999</v>
      </c>
      <c r="P26" s="95">
        <v>2023</v>
      </c>
      <c r="R26" s="95" t="s">
        <v>69</v>
      </c>
      <c r="S26" s="95" t="s">
        <v>70</v>
      </c>
    </row>
    <row r="27" spans="1:19" x14ac:dyDescent="0.2">
      <c r="A27" s="95" t="s">
        <v>65</v>
      </c>
      <c r="B27" s="95" t="s">
        <v>66</v>
      </c>
      <c r="C27" s="95" t="s">
        <v>86</v>
      </c>
      <c r="D27" s="95" t="s">
        <v>68</v>
      </c>
      <c r="E27" s="95" t="s">
        <v>68</v>
      </c>
      <c r="F27" s="95">
        <v>1</v>
      </c>
      <c r="G27" s="95">
        <v>4</v>
      </c>
      <c r="I27" s="95">
        <v>0.34</v>
      </c>
      <c r="J27" s="95">
        <v>1.2E-2</v>
      </c>
      <c r="K27" s="95">
        <v>0.45</v>
      </c>
      <c r="L27" s="95">
        <v>1.1100000000000001</v>
      </c>
      <c r="O27" s="95">
        <v>999</v>
      </c>
      <c r="P27" s="95">
        <v>2023</v>
      </c>
      <c r="R27" s="95" t="s">
        <v>69</v>
      </c>
      <c r="S27" s="95" t="s">
        <v>70</v>
      </c>
    </row>
    <row r="28" spans="1:19" x14ac:dyDescent="0.2">
      <c r="A28" s="95" t="s">
        <v>65</v>
      </c>
      <c r="B28" s="95" t="s">
        <v>66</v>
      </c>
      <c r="C28" s="95" t="s">
        <v>86</v>
      </c>
      <c r="D28" s="95" t="s">
        <v>68</v>
      </c>
      <c r="E28" s="95" t="s">
        <v>68</v>
      </c>
      <c r="F28" s="95">
        <v>2</v>
      </c>
      <c r="G28" s="95">
        <v>8</v>
      </c>
      <c r="I28" s="95">
        <v>0.68</v>
      </c>
      <c r="J28" s="95">
        <v>1.2E-2</v>
      </c>
      <c r="K28" s="95">
        <v>0.46</v>
      </c>
      <c r="L28" s="95">
        <v>1.5</v>
      </c>
      <c r="O28" s="95">
        <v>999</v>
      </c>
      <c r="P28" s="95">
        <v>2023</v>
      </c>
      <c r="R28" s="95" t="s">
        <v>69</v>
      </c>
      <c r="S28" s="95" t="s">
        <v>70</v>
      </c>
    </row>
    <row r="29" spans="1:19" x14ac:dyDescent="0.2">
      <c r="A29" s="95" t="s">
        <v>73</v>
      </c>
      <c r="B29" s="95" t="s">
        <v>87</v>
      </c>
      <c r="C29" s="95" t="s">
        <v>67</v>
      </c>
      <c r="D29" s="95" t="s">
        <v>81</v>
      </c>
      <c r="E29" s="95" t="s">
        <v>88</v>
      </c>
      <c r="F29" s="95">
        <v>3.5</v>
      </c>
      <c r="G29" s="95">
        <v>13</v>
      </c>
      <c r="I29" s="95">
        <v>1</v>
      </c>
      <c r="J29" s="95">
        <v>1.0999999999999999E-2</v>
      </c>
      <c r="K29" s="95">
        <v>0.44</v>
      </c>
      <c r="L29" s="95">
        <v>1.82</v>
      </c>
      <c r="O29" s="95">
        <v>999</v>
      </c>
      <c r="P29" s="95">
        <v>2023</v>
      </c>
      <c r="R29" s="95" t="s">
        <v>87</v>
      </c>
      <c r="S29" s="95" t="s">
        <v>70</v>
      </c>
    </row>
    <row r="30" spans="1:19" x14ac:dyDescent="0.2">
      <c r="A30" s="95" t="s">
        <v>73</v>
      </c>
      <c r="B30" s="95" t="s">
        <v>87</v>
      </c>
      <c r="C30" s="95" t="s">
        <v>67</v>
      </c>
      <c r="D30" s="95" t="s">
        <v>81</v>
      </c>
      <c r="E30" s="95" t="s">
        <v>88</v>
      </c>
      <c r="F30" s="95">
        <v>6.25</v>
      </c>
      <c r="G30" s="95">
        <v>19</v>
      </c>
      <c r="I30" s="95">
        <v>1.1000000000000001</v>
      </c>
      <c r="J30" s="95">
        <v>1.2999999999999999E-2</v>
      </c>
      <c r="K30" s="95">
        <v>0.52</v>
      </c>
      <c r="L30" s="95">
        <v>2.0499999999999998</v>
      </c>
      <c r="O30" s="95">
        <v>999</v>
      </c>
      <c r="P30" s="95">
        <v>2023</v>
      </c>
      <c r="R30" s="95" t="s">
        <v>87</v>
      </c>
      <c r="S30" s="95" t="s">
        <v>70</v>
      </c>
    </row>
    <row r="31" spans="1:19" x14ac:dyDescent="0.2">
      <c r="A31" s="95" t="s">
        <v>73</v>
      </c>
      <c r="B31" s="95" t="s">
        <v>87</v>
      </c>
      <c r="C31" s="95" t="s">
        <v>67</v>
      </c>
      <c r="D31" s="95" t="s">
        <v>81</v>
      </c>
      <c r="E31" s="95" t="s">
        <v>88</v>
      </c>
      <c r="F31" s="95">
        <v>9.5</v>
      </c>
      <c r="G31" s="95">
        <v>30</v>
      </c>
      <c r="I31" s="95">
        <v>1</v>
      </c>
      <c r="J31" s="95">
        <v>1.6E-2</v>
      </c>
      <c r="K31" s="95">
        <v>0.62</v>
      </c>
      <c r="L31" s="95">
        <v>2.11</v>
      </c>
      <c r="O31" s="95">
        <v>999</v>
      </c>
      <c r="P31" s="95">
        <v>2023</v>
      </c>
      <c r="R31" s="95" t="s">
        <v>87</v>
      </c>
      <c r="S31" s="95" t="s">
        <v>70</v>
      </c>
    </row>
    <row r="32" spans="1:19" x14ac:dyDescent="0.2">
      <c r="A32" s="95" t="s">
        <v>73</v>
      </c>
      <c r="B32" s="95" t="s">
        <v>87</v>
      </c>
      <c r="C32" s="95" t="s">
        <v>67</v>
      </c>
      <c r="D32" s="95" t="s">
        <v>81</v>
      </c>
      <c r="E32" s="95" t="s">
        <v>88</v>
      </c>
      <c r="F32" s="95">
        <v>12</v>
      </c>
      <c r="G32" s="95">
        <v>38</v>
      </c>
      <c r="I32" s="95">
        <v>1.58</v>
      </c>
      <c r="J32" s="95">
        <v>1.7000000000000001E-2</v>
      </c>
      <c r="K32" s="95">
        <v>0.65</v>
      </c>
      <c r="L32" s="95">
        <v>2.8</v>
      </c>
      <c r="O32" s="95">
        <v>999</v>
      </c>
      <c r="P32" s="95">
        <v>2023</v>
      </c>
      <c r="R32" s="95" t="s">
        <v>87</v>
      </c>
      <c r="S32" s="95" t="s">
        <v>70</v>
      </c>
    </row>
    <row r="33" spans="1:19" x14ac:dyDescent="0.2">
      <c r="A33" s="95" t="s">
        <v>73</v>
      </c>
      <c r="B33" s="95" t="s">
        <v>87</v>
      </c>
      <c r="C33" s="95" t="s">
        <v>67</v>
      </c>
      <c r="D33" s="95" t="s">
        <v>68</v>
      </c>
      <c r="E33" s="95" t="s">
        <v>68</v>
      </c>
      <c r="F33" s="95">
        <v>3.5</v>
      </c>
      <c r="G33" s="95">
        <v>13</v>
      </c>
      <c r="I33" s="95">
        <v>0.59</v>
      </c>
      <c r="J33" s="95">
        <v>1.2999999999999999E-2</v>
      </c>
      <c r="K33" s="95">
        <v>0.52</v>
      </c>
      <c r="L33" s="95">
        <v>1.49</v>
      </c>
      <c r="O33" s="95">
        <v>999</v>
      </c>
      <c r="P33" s="95">
        <v>2023</v>
      </c>
      <c r="R33" s="95" t="s">
        <v>87</v>
      </c>
      <c r="S33" s="95" t="s">
        <v>70</v>
      </c>
    </row>
    <row r="34" spans="1:19" x14ac:dyDescent="0.2">
      <c r="A34" s="95" t="s">
        <v>73</v>
      </c>
      <c r="B34" s="95" t="s">
        <v>87</v>
      </c>
      <c r="C34" s="95" t="s">
        <v>67</v>
      </c>
      <c r="D34" s="95" t="s">
        <v>68</v>
      </c>
      <c r="E34" s="95" t="s">
        <v>68</v>
      </c>
      <c r="F34" s="95">
        <v>6.25</v>
      </c>
      <c r="G34" s="95">
        <v>19</v>
      </c>
      <c r="I34" s="95">
        <v>0.93</v>
      </c>
      <c r="J34" s="95">
        <v>1.6E-2</v>
      </c>
      <c r="K34" s="95">
        <v>0.62</v>
      </c>
      <c r="L34" s="95">
        <v>2.0299999999999998</v>
      </c>
      <c r="O34" s="95">
        <v>999</v>
      </c>
      <c r="P34" s="95">
        <v>2023</v>
      </c>
      <c r="R34" s="95" t="s">
        <v>87</v>
      </c>
      <c r="S34" s="95" t="s">
        <v>70</v>
      </c>
    </row>
    <row r="35" spans="1:19" x14ac:dyDescent="0.2">
      <c r="A35" s="95" t="s">
        <v>73</v>
      </c>
      <c r="B35" s="95" t="s">
        <v>87</v>
      </c>
      <c r="C35" s="95" t="s">
        <v>67</v>
      </c>
      <c r="D35" s="95" t="s">
        <v>68</v>
      </c>
      <c r="E35" s="95" t="s">
        <v>68</v>
      </c>
      <c r="F35" s="95">
        <v>9.5</v>
      </c>
      <c r="G35" s="95">
        <v>30</v>
      </c>
      <c r="I35" s="95">
        <v>1.56</v>
      </c>
      <c r="J35" s="95">
        <v>1.7999999999999999E-2</v>
      </c>
      <c r="K35" s="95">
        <v>0.69</v>
      </c>
      <c r="L35" s="95">
        <v>2.84</v>
      </c>
      <c r="O35" s="95">
        <v>999</v>
      </c>
      <c r="P35" s="95">
        <v>2023</v>
      </c>
      <c r="R35" s="95" t="s">
        <v>87</v>
      </c>
      <c r="S35" s="95" t="s">
        <v>70</v>
      </c>
    </row>
    <row r="36" spans="1:19" x14ac:dyDescent="0.2">
      <c r="A36" s="95" t="s">
        <v>73</v>
      </c>
      <c r="B36" s="95" t="s">
        <v>87</v>
      </c>
      <c r="C36" s="95" t="s">
        <v>67</v>
      </c>
      <c r="D36" s="95" t="s">
        <v>68</v>
      </c>
      <c r="E36" s="95" t="s">
        <v>68</v>
      </c>
      <c r="F36" s="95">
        <v>12</v>
      </c>
      <c r="G36" s="95">
        <v>38</v>
      </c>
      <c r="I36" s="95">
        <v>1.82</v>
      </c>
      <c r="J36" s="95">
        <v>1.9E-2</v>
      </c>
      <c r="K36" s="95">
        <v>0.73</v>
      </c>
      <c r="L36" s="95">
        <v>3.18</v>
      </c>
      <c r="O36" s="95">
        <v>999</v>
      </c>
      <c r="P36" s="95">
        <v>2023</v>
      </c>
      <c r="R36" s="95" t="s">
        <v>87</v>
      </c>
      <c r="S36" s="95" t="s">
        <v>70</v>
      </c>
    </row>
    <row r="37" spans="1:19" x14ac:dyDescent="0.2">
      <c r="A37" s="95" t="s">
        <v>73</v>
      </c>
      <c r="B37" s="95" t="s">
        <v>69</v>
      </c>
      <c r="C37" s="95" t="s">
        <v>67</v>
      </c>
      <c r="D37" s="95" t="s">
        <v>81</v>
      </c>
      <c r="E37" s="95" t="s">
        <v>89</v>
      </c>
      <c r="F37" s="95">
        <v>3.5</v>
      </c>
      <c r="G37" s="95">
        <v>11</v>
      </c>
      <c r="I37" s="95">
        <v>0.53</v>
      </c>
      <c r="J37" s="95">
        <v>6.0000000000000001E-3</v>
      </c>
      <c r="K37" s="95">
        <v>0.23</v>
      </c>
      <c r="L37" s="95">
        <v>0.95</v>
      </c>
      <c r="O37" s="95">
        <v>999</v>
      </c>
      <c r="P37" s="95">
        <v>2023</v>
      </c>
      <c r="R37" s="95" t="s">
        <v>69</v>
      </c>
      <c r="S37" s="95" t="s">
        <v>70</v>
      </c>
    </row>
    <row r="38" spans="1:19" x14ac:dyDescent="0.2">
      <c r="A38" s="95" t="s">
        <v>73</v>
      </c>
      <c r="B38" s="95" t="s">
        <v>69</v>
      </c>
      <c r="C38" s="95" t="s">
        <v>67</v>
      </c>
      <c r="D38" s="95" t="s">
        <v>81</v>
      </c>
      <c r="E38" s="95" t="s">
        <v>89</v>
      </c>
      <c r="F38" s="95">
        <v>3.5</v>
      </c>
      <c r="G38" s="95">
        <v>13</v>
      </c>
      <c r="I38" s="95">
        <v>0.85</v>
      </c>
      <c r="J38" s="95">
        <v>7.0000000000000001E-3</v>
      </c>
      <c r="K38" s="95">
        <v>0.27</v>
      </c>
      <c r="L38" s="95">
        <v>1.38</v>
      </c>
      <c r="O38" s="95">
        <v>999</v>
      </c>
      <c r="P38" s="95">
        <v>2023</v>
      </c>
      <c r="R38" s="95" t="s">
        <v>69</v>
      </c>
      <c r="S38" s="95" t="s">
        <v>70</v>
      </c>
    </row>
    <row r="39" spans="1:19" x14ac:dyDescent="0.2">
      <c r="A39" s="95" t="s">
        <v>73</v>
      </c>
      <c r="B39" s="95" t="s">
        <v>69</v>
      </c>
      <c r="C39" s="95" t="s">
        <v>67</v>
      </c>
      <c r="D39" s="95" t="s">
        <v>81</v>
      </c>
      <c r="E39" s="95" t="s">
        <v>89</v>
      </c>
      <c r="F39" s="95">
        <v>3.5</v>
      </c>
      <c r="G39" s="95">
        <v>15</v>
      </c>
      <c r="I39" s="95">
        <v>0.87</v>
      </c>
      <c r="J39" s="95">
        <v>7.0000000000000001E-3</v>
      </c>
      <c r="K39" s="95">
        <v>0.27</v>
      </c>
      <c r="L39" s="95">
        <v>1.4</v>
      </c>
      <c r="O39" s="95">
        <v>999</v>
      </c>
      <c r="P39" s="95">
        <v>2023</v>
      </c>
      <c r="R39" s="95" t="s">
        <v>69</v>
      </c>
      <c r="S39" s="95" t="s">
        <v>70</v>
      </c>
    </row>
    <row r="40" spans="1:19" x14ac:dyDescent="0.2">
      <c r="A40" s="95" t="s">
        <v>73</v>
      </c>
      <c r="B40" s="95" t="s">
        <v>69</v>
      </c>
      <c r="C40" s="95" t="s">
        <v>67</v>
      </c>
      <c r="D40" s="95" t="s">
        <v>81</v>
      </c>
      <c r="E40" s="95" t="s">
        <v>89</v>
      </c>
      <c r="F40" s="95">
        <v>6</v>
      </c>
      <c r="G40" s="95">
        <v>19</v>
      </c>
      <c r="I40" s="95">
        <v>0.95</v>
      </c>
      <c r="J40" s="95">
        <v>7.0000000000000001E-3</v>
      </c>
      <c r="K40" s="95">
        <v>0.27</v>
      </c>
      <c r="L40" s="95">
        <v>1.49</v>
      </c>
      <c r="O40" s="95">
        <v>999</v>
      </c>
      <c r="P40" s="95">
        <v>2023</v>
      </c>
      <c r="R40" s="95" t="s">
        <v>69</v>
      </c>
      <c r="S40" s="95" t="s">
        <v>70</v>
      </c>
    </row>
    <row r="41" spans="1:19" x14ac:dyDescent="0.2">
      <c r="A41" s="95" t="s">
        <v>73</v>
      </c>
      <c r="B41" s="95" t="s">
        <v>69</v>
      </c>
      <c r="C41" s="95" t="s">
        <v>67</v>
      </c>
      <c r="D41" s="95" t="s">
        <v>81</v>
      </c>
      <c r="E41" s="95" t="s">
        <v>89</v>
      </c>
      <c r="F41" s="95">
        <v>9</v>
      </c>
      <c r="G41" s="95">
        <v>30</v>
      </c>
      <c r="I41" s="95">
        <v>1</v>
      </c>
      <c r="J41" s="95">
        <v>6.0000000000000001E-3</v>
      </c>
      <c r="K41" s="95">
        <v>0.23</v>
      </c>
      <c r="L41" s="95">
        <v>1.47</v>
      </c>
      <c r="O41" s="95">
        <v>999</v>
      </c>
      <c r="P41" s="95">
        <v>2023</v>
      </c>
      <c r="R41" s="95" t="s">
        <v>69</v>
      </c>
      <c r="S41" s="95" t="s">
        <v>70</v>
      </c>
    </row>
    <row r="42" spans="1:19" x14ac:dyDescent="0.2">
      <c r="A42" s="95" t="s">
        <v>73</v>
      </c>
      <c r="B42" s="95" t="s">
        <v>69</v>
      </c>
      <c r="C42" s="95" t="s">
        <v>67</v>
      </c>
      <c r="D42" s="95" t="s">
        <v>81</v>
      </c>
      <c r="E42" s="95" t="s">
        <v>89</v>
      </c>
      <c r="F42" s="95">
        <v>12</v>
      </c>
      <c r="G42" s="95">
        <v>38</v>
      </c>
      <c r="I42" s="95">
        <v>1.58</v>
      </c>
      <c r="J42" s="95">
        <v>6.0000000000000001E-3</v>
      </c>
      <c r="K42" s="95">
        <v>0.23</v>
      </c>
      <c r="L42" s="95">
        <v>2.11</v>
      </c>
      <c r="O42" s="95">
        <v>999</v>
      </c>
      <c r="P42" s="95">
        <v>2023</v>
      </c>
      <c r="R42" s="95" t="s">
        <v>69</v>
      </c>
      <c r="S42" s="95" t="s">
        <v>70</v>
      </c>
    </row>
    <row r="43" spans="1:19" x14ac:dyDescent="0.2">
      <c r="A43" s="95" t="s">
        <v>73</v>
      </c>
      <c r="B43" s="95" t="s">
        <v>69</v>
      </c>
      <c r="C43" s="95" t="s">
        <v>67</v>
      </c>
      <c r="D43" s="95" t="s">
        <v>81</v>
      </c>
      <c r="E43" s="95" t="s">
        <v>90</v>
      </c>
      <c r="F43" s="95">
        <v>3.5</v>
      </c>
      <c r="G43" s="95">
        <v>13</v>
      </c>
      <c r="I43" s="95">
        <v>0.71</v>
      </c>
      <c r="J43" s="95">
        <v>7.0000000000000001E-3</v>
      </c>
      <c r="K43" s="95">
        <v>0.27</v>
      </c>
      <c r="L43" s="95">
        <v>1.22</v>
      </c>
      <c r="O43" s="95">
        <v>999</v>
      </c>
      <c r="P43" s="95">
        <v>2023</v>
      </c>
      <c r="R43" s="95" t="s">
        <v>69</v>
      </c>
      <c r="S43" s="95" t="s">
        <v>70</v>
      </c>
    </row>
    <row r="44" spans="1:19" x14ac:dyDescent="0.2">
      <c r="A44" s="95" t="s">
        <v>73</v>
      </c>
      <c r="B44" s="95" t="s">
        <v>69</v>
      </c>
      <c r="C44" s="95" t="s">
        <v>67</v>
      </c>
      <c r="D44" s="95" t="s">
        <v>81</v>
      </c>
      <c r="E44" s="95" t="s">
        <v>90</v>
      </c>
      <c r="F44" s="95">
        <v>3.5</v>
      </c>
      <c r="G44" s="95">
        <v>15</v>
      </c>
      <c r="I44" s="95">
        <v>0.53</v>
      </c>
      <c r="J44" s="95">
        <v>7.0000000000000001E-3</v>
      </c>
      <c r="K44" s="95">
        <v>0.27</v>
      </c>
      <c r="L44" s="95">
        <v>1.02</v>
      </c>
      <c r="O44" s="95">
        <v>999</v>
      </c>
      <c r="P44" s="95">
        <v>2023</v>
      </c>
      <c r="R44" s="95" t="s">
        <v>69</v>
      </c>
      <c r="S44" s="95" t="s">
        <v>70</v>
      </c>
    </row>
    <row r="45" spans="1:19" x14ac:dyDescent="0.2">
      <c r="A45" s="95" t="s">
        <v>73</v>
      </c>
      <c r="B45" s="95" t="s">
        <v>69</v>
      </c>
      <c r="C45" s="95" t="s">
        <v>67</v>
      </c>
      <c r="D45" s="95" t="s">
        <v>81</v>
      </c>
      <c r="E45" s="95" t="s">
        <v>90</v>
      </c>
      <c r="F45" s="95">
        <v>6</v>
      </c>
      <c r="G45" s="95">
        <v>19</v>
      </c>
      <c r="I45" s="95">
        <v>0.89</v>
      </c>
      <c r="J45" s="95">
        <v>5.0000000000000001E-3</v>
      </c>
      <c r="K45" s="95">
        <v>0.19</v>
      </c>
      <c r="L45" s="95">
        <v>1.29</v>
      </c>
      <c r="O45" s="95">
        <v>999</v>
      </c>
      <c r="P45" s="95">
        <v>2023</v>
      </c>
      <c r="R45" s="95" t="s">
        <v>69</v>
      </c>
      <c r="S45" s="95" t="s">
        <v>70</v>
      </c>
    </row>
    <row r="46" spans="1:19" x14ac:dyDescent="0.2">
      <c r="A46" s="95" t="s">
        <v>73</v>
      </c>
      <c r="B46" s="95" t="s">
        <v>69</v>
      </c>
      <c r="C46" s="95" t="s">
        <v>67</v>
      </c>
      <c r="D46" s="95" t="s">
        <v>81</v>
      </c>
      <c r="E46" s="95" t="s">
        <v>90</v>
      </c>
      <c r="F46" s="95">
        <v>6</v>
      </c>
      <c r="G46" s="95">
        <v>21</v>
      </c>
      <c r="I46" s="95">
        <v>1.26</v>
      </c>
      <c r="J46" s="95">
        <v>7.0000000000000001E-3</v>
      </c>
      <c r="K46" s="95">
        <v>0.27</v>
      </c>
      <c r="L46" s="95">
        <v>1.83</v>
      </c>
      <c r="O46" s="95">
        <v>999</v>
      </c>
      <c r="P46" s="95">
        <v>2023</v>
      </c>
      <c r="R46" s="95" t="s">
        <v>69</v>
      </c>
      <c r="S46" s="95" t="s">
        <v>70</v>
      </c>
    </row>
    <row r="47" spans="1:19" x14ac:dyDescent="0.2">
      <c r="A47" s="95" t="s">
        <v>73</v>
      </c>
      <c r="B47" s="95" t="s">
        <v>69</v>
      </c>
      <c r="C47" s="95" t="s">
        <v>67</v>
      </c>
      <c r="D47" s="95" t="s">
        <v>81</v>
      </c>
      <c r="E47" s="95" t="s">
        <v>90</v>
      </c>
      <c r="F47" s="95">
        <v>9</v>
      </c>
      <c r="G47" s="95">
        <v>30</v>
      </c>
      <c r="I47" s="95">
        <v>1.19</v>
      </c>
      <c r="J47" s="95">
        <v>6.0000000000000001E-3</v>
      </c>
      <c r="K47" s="95">
        <v>0.23</v>
      </c>
      <c r="L47" s="95">
        <v>1.68</v>
      </c>
      <c r="O47" s="95">
        <v>999</v>
      </c>
      <c r="P47" s="95">
        <v>2023</v>
      </c>
      <c r="R47" s="95" t="s">
        <v>69</v>
      </c>
      <c r="S47" s="95" t="s">
        <v>70</v>
      </c>
    </row>
    <row r="48" spans="1:19" x14ac:dyDescent="0.2">
      <c r="A48" s="95" t="s">
        <v>73</v>
      </c>
      <c r="B48" s="95" t="s">
        <v>69</v>
      </c>
      <c r="C48" s="95" t="s">
        <v>67</v>
      </c>
      <c r="D48" s="95" t="s">
        <v>68</v>
      </c>
      <c r="E48" s="95" t="s">
        <v>68</v>
      </c>
      <c r="F48" s="95">
        <v>3.5</v>
      </c>
      <c r="G48" s="95">
        <v>13</v>
      </c>
      <c r="I48" s="95">
        <v>0.59</v>
      </c>
      <c r="J48" s="95">
        <v>7.0000000000000001E-3</v>
      </c>
      <c r="K48" s="95">
        <v>0.27</v>
      </c>
      <c r="L48" s="95">
        <v>1.0900000000000001</v>
      </c>
      <c r="O48" s="95">
        <v>999</v>
      </c>
      <c r="P48" s="95">
        <v>2023</v>
      </c>
      <c r="R48" s="95" t="s">
        <v>69</v>
      </c>
      <c r="S48" s="95" t="s">
        <v>70</v>
      </c>
    </row>
    <row r="49" spans="1:20" x14ac:dyDescent="0.2">
      <c r="A49" s="95" t="s">
        <v>73</v>
      </c>
      <c r="B49" s="95" t="s">
        <v>69</v>
      </c>
      <c r="C49" s="95" t="s">
        <v>67</v>
      </c>
      <c r="D49" s="95" t="s">
        <v>68</v>
      </c>
      <c r="E49" s="95" t="s">
        <v>68</v>
      </c>
      <c r="F49" s="95">
        <v>3.5</v>
      </c>
      <c r="G49" s="95">
        <v>15</v>
      </c>
      <c r="I49" s="95">
        <v>0.92</v>
      </c>
      <c r="J49" s="95">
        <v>7.0000000000000001E-3</v>
      </c>
      <c r="K49" s="95">
        <v>0.27</v>
      </c>
      <c r="L49" s="95">
        <v>1.45</v>
      </c>
      <c r="O49" s="95">
        <v>999</v>
      </c>
      <c r="P49" s="95">
        <v>2023</v>
      </c>
      <c r="R49" s="95" t="s">
        <v>69</v>
      </c>
      <c r="S49" s="95" t="s">
        <v>70</v>
      </c>
    </row>
    <row r="50" spans="1:20" x14ac:dyDescent="0.2">
      <c r="A50" s="95" t="s">
        <v>73</v>
      </c>
      <c r="B50" s="95" t="s">
        <v>69</v>
      </c>
      <c r="C50" s="95" t="s">
        <v>67</v>
      </c>
      <c r="D50" s="95" t="s">
        <v>68</v>
      </c>
      <c r="E50" s="95" t="s">
        <v>68</v>
      </c>
      <c r="F50" s="95">
        <v>6</v>
      </c>
      <c r="G50" s="95">
        <v>19</v>
      </c>
      <c r="I50" s="95">
        <v>0.93</v>
      </c>
      <c r="J50" s="95">
        <v>6.0000000000000001E-3</v>
      </c>
      <c r="K50" s="95">
        <v>0.23</v>
      </c>
      <c r="L50" s="95">
        <v>1.39</v>
      </c>
      <c r="O50" s="95">
        <v>999</v>
      </c>
      <c r="P50" s="95">
        <v>2023</v>
      </c>
      <c r="R50" s="95" t="s">
        <v>69</v>
      </c>
      <c r="S50" s="95" t="s">
        <v>70</v>
      </c>
    </row>
    <row r="51" spans="1:20" x14ac:dyDescent="0.2">
      <c r="A51" s="95" t="s">
        <v>73</v>
      </c>
      <c r="B51" s="95" t="s">
        <v>69</v>
      </c>
      <c r="C51" s="95" t="s">
        <v>67</v>
      </c>
      <c r="D51" s="95" t="s">
        <v>68</v>
      </c>
      <c r="E51" s="95" t="s">
        <v>68</v>
      </c>
      <c r="F51" s="95">
        <v>9</v>
      </c>
      <c r="G51" s="95">
        <v>30</v>
      </c>
      <c r="I51" s="95">
        <v>1.5660000000000001</v>
      </c>
      <c r="J51" s="95">
        <v>7.0000000000000001E-3</v>
      </c>
      <c r="K51" s="95">
        <v>0.27</v>
      </c>
      <c r="L51" s="95">
        <v>2.16</v>
      </c>
      <c r="O51" s="95">
        <v>999</v>
      </c>
      <c r="P51" s="95">
        <v>2023</v>
      </c>
      <c r="R51" s="95" t="s">
        <v>69</v>
      </c>
      <c r="S51" s="95" t="s">
        <v>70</v>
      </c>
    </row>
    <row r="52" spans="1:20" x14ac:dyDescent="0.2">
      <c r="A52" s="95" t="s">
        <v>73</v>
      </c>
      <c r="B52" s="95" t="s">
        <v>69</v>
      </c>
      <c r="C52" s="95" t="s">
        <v>67</v>
      </c>
      <c r="D52" s="95" t="s">
        <v>68</v>
      </c>
      <c r="E52" s="95" t="s">
        <v>68</v>
      </c>
      <c r="F52" s="95">
        <v>12</v>
      </c>
      <c r="G52" s="95">
        <v>38</v>
      </c>
      <c r="I52" s="95">
        <v>1.82</v>
      </c>
      <c r="J52" s="95">
        <v>7.0000000000000001E-3</v>
      </c>
      <c r="K52" s="95">
        <v>0.27</v>
      </c>
      <c r="L52" s="95">
        <v>2.44</v>
      </c>
      <c r="O52" s="95">
        <v>999</v>
      </c>
      <c r="P52" s="95">
        <v>2023</v>
      </c>
      <c r="R52" s="95" t="s">
        <v>69</v>
      </c>
      <c r="S52" s="95" t="s">
        <v>70</v>
      </c>
    </row>
    <row r="53" spans="1:20" x14ac:dyDescent="0.2">
      <c r="A53" s="95" t="s">
        <v>73</v>
      </c>
      <c r="B53" s="95" t="s">
        <v>66</v>
      </c>
      <c r="C53" s="95" t="s">
        <v>91</v>
      </c>
      <c r="D53" s="95" t="s">
        <v>68</v>
      </c>
      <c r="E53" s="95" t="s">
        <v>68</v>
      </c>
      <c r="F53" s="95">
        <v>3.5</v>
      </c>
      <c r="G53" s="95">
        <v>15</v>
      </c>
      <c r="I53" s="95">
        <v>1.47</v>
      </c>
      <c r="J53" s="95">
        <v>5.0000000000000001E-3</v>
      </c>
      <c r="K53" s="95">
        <v>0.19</v>
      </c>
      <c r="L53" s="95">
        <v>1.93</v>
      </c>
      <c r="O53" s="95">
        <v>999</v>
      </c>
      <c r="P53" s="95">
        <v>2023</v>
      </c>
      <c r="R53" s="95" t="s">
        <v>92</v>
      </c>
      <c r="S53" s="95" t="s">
        <v>70</v>
      </c>
    </row>
    <row r="54" spans="1:20" x14ac:dyDescent="0.2">
      <c r="A54" s="95" t="s">
        <v>73</v>
      </c>
      <c r="B54" s="95" t="s">
        <v>66</v>
      </c>
      <c r="C54" s="95" t="s">
        <v>91</v>
      </c>
      <c r="D54" s="95" t="s">
        <v>68</v>
      </c>
      <c r="E54" s="95" t="s">
        <v>68</v>
      </c>
      <c r="F54" s="95">
        <v>5.5</v>
      </c>
      <c r="G54" s="95">
        <v>23</v>
      </c>
      <c r="I54" s="95">
        <v>2.31</v>
      </c>
      <c r="J54" s="95">
        <v>5.0000000000000001E-3</v>
      </c>
      <c r="K54" s="95">
        <v>0.19</v>
      </c>
      <c r="L54" s="95">
        <v>2.85</v>
      </c>
      <c r="O54" s="95">
        <v>999</v>
      </c>
      <c r="P54" s="95">
        <v>2023</v>
      </c>
      <c r="R54" s="95" t="s">
        <v>92</v>
      </c>
      <c r="S54" s="95" t="s">
        <v>70</v>
      </c>
    </row>
    <row r="55" spans="1:20" x14ac:dyDescent="0.2">
      <c r="A55" s="95" t="s">
        <v>73</v>
      </c>
      <c r="B55" s="95" t="s">
        <v>66</v>
      </c>
      <c r="C55" s="95" t="s">
        <v>91</v>
      </c>
      <c r="D55" s="95" t="s">
        <v>68</v>
      </c>
      <c r="E55" s="95" t="s">
        <v>68</v>
      </c>
      <c r="F55" s="95">
        <v>7.25</v>
      </c>
      <c r="G55" s="95">
        <v>30</v>
      </c>
      <c r="I55" s="95">
        <v>3.05</v>
      </c>
      <c r="J55" s="95">
        <v>6.0000000000000001E-3</v>
      </c>
      <c r="K55" s="95">
        <v>0.23</v>
      </c>
      <c r="L55" s="95">
        <v>3.72</v>
      </c>
      <c r="O55" s="95">
        <v>999</v>
      </c>
      <c r="P55" s="95">
        <v>2023</v>
      </c>
      <c r="R55" s="95" t="s">
        <v>92</v>
      </c>
      <c r="S55" s="95" t="s">
        <v>70</v>
      </c>
    </row>
    <row r="56" spans="1:20" x14ac:dyDescent="0.2">
      <c r="A56" s="95" t="s">
        <v>73</v>
      </c>
      <c r="B56" s="95" t="s">
        <v>66</v>
      </c>
      <c r="C56" s="95" t="s">
        <v>91</v>
      </c>
      <c r="D56" s="95" t="s">
        <v>68</v>
      </c>
      <c r="E56" s="95" t="s">
        <v>68</v>
      </c>
      <c r="G56" s="95">
        <v>13</v>
      </c>
      <c r="I56" s="95">
        <v>1.02</v>
      </c>
      <c r="J56" s="95">
        <v>5.0000000000000001E-3</v>
      </c>
      <c r="K56" s="95">
        <v>0.19</v>
      </c>
      <c r="L56" s="95">
        <v>1.43</v>
      </c>
      <c r="O56" s="95">
        <v>999</v>
      </c>
      <c r="P56" s="95">
        <v>2023</v>
      </c>
      <c r="R56" s="95" t="s">
        <v>92</v>
      </c>
      <c r="S56" s="95" t="s">
        <v>70</v>
      </c>
    </row>
    <row r="57" spans="1:20" x14ac:dyDescent="0.2">
      <c r="A57" s="95" t="s">
        <v>73</v>
      </c>
      <c r="B57" s="95" t="s">
        <v>66</v>
      </c>
      <c r="C57" s="95" t="s">
        <v>91</v>
      </c>
      <c r="D57" s="95" t="s">
        <v>68</v>
      </c>
      <c r="E57" s="95" t="s">
        <v>68</v>
      </c>
      <c r="G57" s="95">
        <v>19</v>
      </c>
      <c r="I57" s="95">
        <v>1.49</v>
      </c>
      <c r="J57" s="95">
        <v>5.0000000000000001E-3</v>
      </c>
      <c r="K57" s="95">
        <v>0.19</v>
      </c>
      <c r="L57" s="95">
        <v>1.95</v>
      </c>
      <c r="O57" s="95">
        <v>999</v>
      </c>
      <c r="P57" s="95">
        <v>2023</v>
      </c>
      <c r="R57" s="95" t="s">
        <v>92</v>
      </c>
      <c r="S57" s="95" t="s">
        <v>70</v>
      </c>
    </row>
    <row r="58" spans="1:20" x14ac:dyDescent="0.2">
      <c r="A58" s="95" t="s">
        <v>73</v>
      </c>
      <c r="B58" s="95" t="s">
        <v>66</v>
      </c>
      <c r="C58" s="95" t="s">
        <v>67</v>
      </c>
      <c r="D58" s="95" t="s">
        <v>81</v>
      </c>
      <c r="G58" s="95">
        <v>15</v>
      </c>
      <c r="I58" s="95">
        <v>0.79</v>
      </c>
      <c r="P58" s="95">
        <v>2023</v>
      </c>
      <c r="S58" s="95" t="s">
        <v>99</v>
      </c>
      <c r="T58" s="95" t="s">
        <v>100</v>
      </c>
    </row>
    <row r="59" spans="1:20" x14ac:dyDescent="0.2">
      <c r="A59" s="95" t="s">
        <v>73</v>
      </c>
      <c r="B59" s="95" t="s">
        <v>66</v>
      </c>
      <c r="C59" s="95" t="s">
        <v>67</v>
      </c>
      <c r="D59" s="95" t="s">
        <v>81</v>
      </c>
      <c r="G59" s="95">
        <v>21</v>
      </c>
      <c r="I59" s="95">
        <v>0.87</v>
      </c>
      <c r="P59" s="95">
        <v>2023</v>
      </c>
      <c r="S59" s="95" t="s">
        <v>99</v>
      </c>
      <c r="T59" s="95" t="s">
        <v>101</v>
      </c>
    </row>
    <row r="60" spans="1:20" x14ac:dyDescent="0.2">
      <c r="A60" s="95" t="s">
        <v>73</v>
      </c>
      <c r="B60" s="95" t="s">
        <v>66</v>
      </c>
      <c r="C60" s="95" t="s">
        <v>91</v>
      </c>
      <c r="G60" s="95">
        <v>13</v>
      </c>
      <c r="I60" s="95">
        <v>1.38</v>
      </c>
      <c r="P60" s="95">
        <v>2023</v>
      </c>
      <c r="S60" s="95" t="s">
        <v>99</v>
      </c>
      <c r="T60" s="95" t="s">
        <v>102</v>
      </c>
    </row>
    <row r="61" spans="1:20" x14ac:dyDescent="0.2">
      <c r="A61" s="95" t="s">
        <v>73</v>
      </c>
      <c r="B61" s="95" t="s">
        <v>66</v>
      </c>
      <c r="C61" s="95" t="s">
        <v>67</v>
      </c>
      <c r="D61" s="95" t="s">
        <v>81</v>
      </c>
      <c r="G61" s="95">
        <v>30</v>
      </c>
      <c r="I61" s="95">
        <v>1.08</v>
      </c>
      <c r="P61" s="95">
        <v>2023</v>
      </c>
      <c r="S61" s="95" t="s">
        <v>99</v>
      </c>
      <c r="T61" s="95" t="s">
        <v>103</v>
      </c>
    </row>
    <row r="62" spans="1:20" x14ac:dyDescent="0.2">
      <c r="A62" s="95" t="s">
        <v>73</v>
      </c>
      <c r="B62" s="95" t="s">
        <v>66</v>
      </c>
      <c r="C62" s="95" t="s">
        <v>67</v>
      </c>
      <c r="D62" s="95" t="s">
        <v>81</v>
      </c>
      <c r="G62" s="95">
        <v>38</v>
      </c>
      <c r="I62" s="95">
        <v>1.31</v>
      </c>
      <c r="P62" s="95">
        <v>2023</v>
      </c>
      <c r="S62" s="95" t="s">
        <v>99</v>
      </c>
      <c r="T62" s="95" t="s">
        <v>104</v>
      </c>
    </row>
    <row r="63" spans="1:20" x14ac:dyDescent="0.2">
      <c r="A63" s="95" t="s">
        <v>73</v>
      </c>
      <c r="B63" s="95" t="s">
        <v>66</v>
      </c>
      <c r="C63" s="95" t="s">
        <v>67</v>
      </c>
      <c r="D63" s="95" t="s">
        <v>81</v>
      </c>
      <c r="G63" s="95">
        <v>19</v>
      </c>
      <c r="I63" s="95">
        <v>0.73</v>
      </c>
      <c r="P63" s="95">
        <v>2023</v>
      </c>
      <c r="S63" s="95" t="s">
        <v>99</v>
      </c>
      <c r="T63" s="95" t="s">
        <v>105</v>
      </c>
    </row>
    <row r="64" spans="1:20" x14ac:dyDescent="0.2">
      <c r="A64" s="95" t="s">
        <v>73</v>
      </c>
      <c r="B64" s="95" t="s">
        <v>66</v>
      </c>
      <c r="C64" s="95" t="s">
        <v>91</v>
      </c>
      <c r="G64" s="95">
        <v>15</v>
      </c>
      <c r="I64" s="95">
        <v>1.58</v>
      </c>
      <c r="P64" s="95">
        <v>2023</v>
      </c>
      <c r="S64" s="95" t="s">
        <v>99</v>
      </c>
      <c r="T64" s="95" t="s">
        <v>106</v>
      </c>
    </row>
    <row r="65" spans="1:20" x14ac:dyDescent="0.2">
      <c r="A65" s="95" t="s">
        <v>73</v>
      </c>
      <c r="B65" s="95" t="s">
        <v>66</v>
      </c>
      <c r="C65" s="95" t="s">
        <v>67</v>
      </c>
      <c r="D65" s="95" t="s">
        <v>81</v>
      </c>
      <c r="G65" s="95">
        <v>13</v>
      </c>
      <c r="I65" s="95">
        <v>0.56999999999999995</v>
      </c>
      <c r="P65" s="95">
        <v>2023</v>
      </c>
      <c r="S65" s="95" t="s">
        <v>99</v>
      </c>
      <c r="T65" s="95" t="s">
        <v>107</v>
      </c>
    </row>
    <row r="66" spans="1:20" x14ac:dyDescent="0.2">
      <c r="A66" s="95" t="s">
        <v>73</v>
      </c>
      <c r="B66" s="95" t="s">
        <v>66</v>
      </c>
      <c r="C66" s="95" t="s">
        <v>67</v>
      </c>
      <c r="D66" s="95" t="s">
        <v>81</v>
      </c>
      <c r="G66" s="95">
        <v>13</v>
      </c>
      <c r="I66" s="95">
        <v>0.56999999999999995</v>
      </c>
      <c r="P66" s="95">
        <v>2023</v>
      </c>
      <c r="S66" s="95" t="s">
        <v>99</v>
      </c>
      <c r="T66" s="95" t="s">
        <v>108</v>
      </c>
    </row>
    <row r="67" spans="1:20" x14ac:dyDescent="0.2">
      <c r="A67" s="95" t="s">
        <v>73</v>
      </c>
      <c r="B67" s="95" t="s">
        <v>66</v>
      </c>
      <c r="C67" s="95" t="s">
        <v>67</v>
      </c>
      <c r="D67" s="95" t="s">
        <v>81</v>
      </c>
      <c r="G67" s="95">
        <v>13</v>
      </c>
      <c r="I67" s="95">
        <v>0.56999999999999995</v>
      </c>
      <c r="P67" s="95">
        <v>2023</v>
      </c>
      <c r="S67" s="95" t="s">
        <v>99</v>
      </c>
      <c r="T67" s="95" t="s">
        <v>109</v>
      </c>
    </row>
    <row r="68" spans="1:20" x14ac:dyDescent="0.2">
      <c r="A68" s="95" t="s">
        <v>73</v>
      </c>
      <c r="B68" s="95" t="s">
        <v>66</v>
      </c>
      <c r="C68" s="95" t="s">
        <v>91</v>
      </c>
      <c r="G68" s="95">
        <v>15</v>
      </c>
      <c r="I68" s="95">
        <v>1.31</v>
      </c>
      <c r="P68" s="95">
        <v>2023</v>
      </c>
      <c r="S68" s="95" t="s">
        <v>99</v>
      </c>
      <c r="T68" s="95" t="s">
        <v>110</v>
      </c>
    </row>
    <row r="69" spans="1:20" x14ac:dyDescent="0.2">
      <c r="A69" s="95" t="s">
        <v>73</v>
      </c>
      <c r="B69" s="95" t="s">
        <v>66</v>
      </c>
      <c r="C69" s="95" t="s">
        <v>67</v>
      </c>
      <c r="D69" s="95" t="s">
        <v>68</v>
      </c>
      <c r="G69" s="95">
        <v>13</v>
      </c>
      <c r="I69" s="95">
        <v>0.49</v>
      </c>
      <c r="P69" s="95">
        <v>2023</v>
      </c>
      <c r="S69" s="95" t="s">
        <v>99</v>
      </c>
      <c r="T69" s="95" t="s">
        <v>111</v>
      </c>
    </row>
    <row r="70" spans="1:20" x14ac:dyDescent="0.2">
      <c r="A70" s="95" t="s">
        <v>73</v>
      </c>
      <c r="B70" s="95" t="s">
        <v>66</v>
      </c>
      <c r="C70" s="95" t="s">
        <v>67</v>
      </c>
      <c r="D70" s="95" t="s">
        <v>81</v>
      </c>
      <c r="G70" s="95">
        <v>19</v>
      </c>
      <c r="I70" s="95">
        <v>0.99</v>
      </c>
      <c r="P70" s="95">
        <v>2023</v>
      </c>
      <c r="S70" s="95" t="s">
        <v>99</v>
      </c>
      <c r="T70" s="95" t="s">
        <v>112</v>
      </c>
    </row>
    <row r="71" spans="1:20" x14ac:dyDescent="0.2">
      <c r="A71" s="95" t="s">
        <v>73</v>
      </c>
      <c r="B71" s="95" t="s">
        <v>66</v>
      </c>
      <c r="C71" s="95" t="s">
        <v>67</v>
      </c>
      <c r="D71" s="95" t="s">
        <v>68</v>
      </c>
      <c r="G71" s="95">
        <v>19</v>
      </c>
      <c r="I71" s="95">
        <v>0.66</v>
      </c>
      <c r="P71" s="95">
        <v>2023</v>
      </c>
      <c r="S71" s="95" t="s">
        <v>99</v>
      </c>
      <c r="T71" s="95" t="s">
        <v>113</v>
      </c>
    </row>
    <row r="72" spans="1:20" x14ac:dyDescent="0.2">
      <c r="A72" s="95" t="s">
        <v>73</v>
      </c>
      <c r="B72" s="95" t="s">
        <v>66</v>
      </c>
      <c r="C72" s="95" t="s">
        <v>67</v>
      </c>
      <c r="D72" s="95" t="s">
        <v>68</v>
      </c>
      <c r="G72" s="95">
        <v>19</v>
      </c>
      <c r="I72" s="95">
        <v>7.52</v>
      </c>
      <c r="P72" s="95">
        <v>2023</v>
      </c>
      <c r="S72" s="95" t="s">
        <v>99</v>
      </c>
      <c r="T72" s="95" t="s">
        <v>114</v>
      </c>
    </row>
    <row r="73" spans="1:20" x14ac:dyDescent="0.2">
      <c r="A73" s="95" t="s">
        <v>73</v>
      </c>
      <c r="B73" s="95" t="s">
        <v>66</v>
      </c>
      <c r="C73" s="95" t="s">
        <v>67</v>
      </c>
      <c r="D73" s="95" t="s">
        <v>81</v>
      </c>
      <c r="G73" s="95">
        <v>49</v>
      </c>
      <c r="I73" s="95">
        <v>2.56</v>
      </c>
      <c r="P73" s="95">
        <v>2023</v>
      </c>
      <c r="S73" s="95" t="s">
        <v>99</v>
      </c>
      <c r="T73" s="95" t="s">
        <v>115</v>
      </c>
    </row>
    <row r="74" spans="1:20" x14ac:dyDescent="0.2">
      <c r="A74" s="95" t="s">
        <v>73</v>
      </c>
      <c r="B74" s="95" t="s">
        <v>66</v>
      </c>
      <c r="C74" s="95" t="s">
        <v>67</v>
      </c>
      <c r="D74" s="95" t="s">
        <v>81</v>
      </c>
      <c r="G74" s="95">
        <v>30</v>
      </c>
      <c r="I74" s="95">
        <v>1.17</v>
      </c>
      <c r="P74" s="95">
        <v>2023</v>
      </c>
      <c r="S74" s="95" t="s">
        <v>99</v>
      </c>
      <c r="T74" s="95" t="s">
        <v>116</v>
      </c>
    </row>
    <row r="75" spans="1:20" x14ac:dyDescent="0.2">
      <c r="A75" s="95" t="s">
        <v>73</v>
      </c>
      <c r="B75" s="95" t="s">
        <v>66</v>
      </c>
      <c r="C75" s="95" t="s">
        <v>91</v>
      </c>
      <c r="G75" s="95">
        <v>30</v>
      </c>
      <c r="I75" s="95">
        <v>3.75</v>
      </c>
      <c r="P75" s="95">
        <v>2023</v>
      </c>
      <c r="S75" s="95" t="s">
        <v>99</v>
      </c>
      <c r="T75" s="95" t="s">
        <v>117</v>
      </c>
    </row>
    <row r="76" spans="1:20" x14ac:dyDescent="0.2">
      <c r="A76" s="95" t="s">
        <v>73</v>
      </c>
      <c r="B76" s="95" t="s">
        <v>66</v>
      </c>
      <c r="C76" s="95" t="s">
        <v>91</v>
      </c>
      <c r="G76" s="95">
        <v>23</v>
      </c>
      <c r="I76" s="95">
        <v>1.52</v>
      </c>
      <c r="P76" s="95">
        <v>2023</v>
      </c>
      <c r="S76" s="95" t="s">
        <v>99</v>
      </c>
      <c r="T76" s="95" t="s">
        <v>118</v>
      </c>
    </row>
    <row r="77" spans="1:20" x14ac:dyDescent="0.2">
      <c r="A77" s="95" t="s">
        <v>73</v>
      </c>
      <c r="B77" s="95" t="s">
        <v>66</v>
      </c>
      <c r="C77" s="95" t="s">
        <v>91</v>
      </c>
      <c r="G77" s="95">
        <v>21</v>
      </c>
      <c r="I77" s="95">
        <v>2.65</v>
      </c>
      <c r="P77" s="95">
        <v>2023</v>
      </c>
      <c r="S77" s="95" t="s">
        <v>99</v>
      </c>
      <c r="T77" s="95" t="s">
        <v>119</v>
      </c>
    </row>
    <row r="78" spans="1:20" x14ac:dyDescent="0.2">
      <c r="A78" s="95" t="s">
        <v>73</v>
      </c>
      <c r="B78" s="95" t="s">
        <v>66</v>
      </c>
      <c r="C78" s="95" t="s">
        <v>67</v>
      </c>
      <c r="D78" s="95" t="s">
        <v>81</v>
      </c>
      <c r="G78" s="95">
        <v>38</v>
      </c>
      <c r="I78" s="95">
        <v>2.09</v>
      </c>
      <c r="P78" s="95">
        <v>2023</v>
      </c>
      <c r="S78" s="95" t="s">
        <v>99</v>
      </c>
      <c r="T78" s="95" t="s">
        <v>120</v>
      </c>
    </row>
    <row r="79" spans="1:20" x14ac:dyDescent="0.2">
      <c r="A79" s="95" t="s">
        <v>73</v>
      </c>
      <c r="B79" s="95" t="s">
        <v>66</v>
      </c>
      <c r="C79" s="95" t="s">
        <v>67</v>
      </c>
      <c r="D79" s="95" t="s">
        <v>81</v>
      </c>
      <c r="G79" s="95">
        <v>38</v>
      </c>
      <c r="I79" s="95">
        <v>2.23</v>
      </c>
      <c r="P79" s="95">
        <v>2023</v>
      </c>
      <c r="S79" s="95" t="s">
        <v>99</v>
      </c>
      <c r="T79" s="95" t="s">
        <v>121</v>
      </c>
    </row>
    <row r="80" spans="1:20" x14ac:dyDescent="0.2">
      <c r="A80" s="95" t="s">
        <v>73</v>
      </c>
      <c r="B80" s="95" t="s">
        <v>66</v>
      </c>
      <c r="C80" s="95" t="s">
        <v>67</v>
      </c>
      <c r="D80" s="95" t="s">
        <v>81</v>
      </c>
      <c r="G80" s="95">
        <v>21</v>
      </c>
      <c r="I80" s="95">
        <v>1.03</v>
      </c>
      <c r="P80" s="95">
        <v>2023</v>
      </c>
      <c r="S80" s="95" t="s">
        <v>99</v>
      </c>
      <c r="T80" s="95" t="s">
        <v>122</v>
      </c>
    </row>
    <row r="81" spans="1:20" x14ac:dyDescent="0.2">
      <c r="A81" s="95" t="s">
        <v>73</v>
      </c>
      <c r="B81" s="95" t="s">
        <v>66</v>
      </c>
      <c r="C81" s="95" t="s">
        <v>91</v>
      </c>
      <c r="G81" s="95">
        <v>30</v>
      </c>
      <c r="I81" s="95">
        <v>3.47</v>
      </c>
      <c r="P81" s="95">
        <v>2023</v>
      </c>
      <c r="S81" s="95" t="s">
        <v>99</v>
      </c>
      <c r="T81" s="95" t="s">
        <v>123</v>
      </c>
    </row>
    <row r="82" spans="1:20" x14ac:dyDescent="0.2">
      <c r="A82" s="95" t="s">
        <v>73</v>
      </c>
      <c r="B82" s="95" t="s">
        <v>66</v>
      </c>
      <c r="C82" s="95" t="s">
        <v>67</v>
      </c>
      <c r="D82" s="95" t="s">
        <v>81</v>
      </c>
      <c r="G82" s="95">
        <v>19</v>
      </c>
      <c r="I82" s="95">
        <v>0.65</v>
      </c>
      <c r="P82" s="95">
        <v>2023</v>
      </c>
      <c r="S82" s="95" t="s">
        <v>99</v>
      </c>
      <c r="T82" s="95" t="s">
        <v>124</v>
      </c>
    </row>
    <row r="83" spans="1:20" x14ac:dyDescent="0.2">
      <c r="A83" s="95" t="s">
        <v>73</v>
      </c>
      <c r="B83" s="95" t="s">
        <v>66</v>
      </c>
      <c r="C83" s="95" t="s">
        <v>67</v>
      </c>
      <c r="D83" s="95" t="s">
        <v>81</v>
      </c>
      <c r="G83" s="95">
        <v>38</v>
      </c>
      <c r="I83" s="95">
        <v>1.65</v>
      </c>
      <c r="P83" s="95">
        <v>2023</v>
      </c>
      <c r="S83" s="95" t="s">
        <v>99</v>
      </c>
      <c r="T83" s="95" t="s">
        <v>125</v>
      </c>
    </row>
    <row r="84" spans="1:20" x14ac:dyDescent="0.2">
      <c r="A84" s="95" t="s">
        <v>73</v>
      </c>
      <c r="B84" s="95" t="s">
        <v>66</v>
      </c>
      <c r="C84" s="95" t="s">
        <v>67</v>
      </c>
      <c r="D84" s="95" t="s">
        <v>81</v>
      </c>
      <c r="G84" s="95">
        <v>30</v>
      </c>
      <c r="I84" s="95">
        <v>1.44</v>
      </c>
      <c r="P84" s="95">
        <v>2023</v>
      </c>
      <c r="S84" s="95" t="s">
        <v>99</v>
      </c>
      <c r="T84" s="95" t="s">
        <v>126</v>
      </c>
    </row>
    <row r="85" spans="1:20" x14ac:dyDescent="0.2">
      <c r="A85" s="95" t="s">
        <v>73</v>
      </c>
      <c r="B85" s="95" t="s">
        <v>66</v>
      </c>
      <c r="C85" s="95" t="s">
        <v>67</v>
      </c>
      <c r="D85" s="95" t="s">
        <v>81</v>
      </c>
      <c r="G85" s="95">
        <v>21</v>
      </c>
      <c r="I85" s="95">
        <v>1.31</v>
      </c>
      <c r="P85" s="95">
        <v>2023</v>
      </c>
      <c r="S85" s="95" t="s">
        <v>99</v>
      </c>
      <c r="T85" s="95" t="s">
        <v>127</v>
      </c>
    </row>
    <row r="86" spans="1:20" x14ac:dyDescent="0.2">
      <c r="A86" s="95" t="s">
        <v>73</v>
      </c>
      <c r="B86" s="95" t="s">
        <v>66</v>
      </c>
      <c r="C86" s="95" t="s">
        <v>67</v>
      </c>
      <c r="D86" s="95" t="s">
        <v>81</v>
      </c>
      <c r="G86" s="95">
        <v>21</v>
      </c>
      <c r="I86" s="95">
        <v>1.33</v>
      </c>
      <c r="P86" s="95">
        <v>2023</v>
      </c>
      <c r="S86" s="95" t="s">
        <v>99</v>
      </c>
      <c r="T86" s="95" t="s">
        <v>128</v>
      </c>
    </row>
    <row r="87" spans="1:20" x14ac:dyDescent="0.2">
      <c r="A87" s="95" t="s">
        <v>73</v>
      </c>
      <c r="B87" s="95" t="s">
        <v>66</v>
      </c>
      <c r="C87" s="95" t="s">
        <v>67</v>
      </c>
      <c r="D87" s="95" t="s">
        <v>68</v>
      </c>
      <c r="G87" s="95">
        <v>13</v>
      </c>
      <c r="I87" s="95">
        <v>0.68</v>
      </c>
      <c r="P87" s="95">
        <v>2023</v>
      </c>
      <c r="S87" s="95" t="s">
        <v>99</v>
      </c>
      <c r="T87" s="95" t="s">
        <v>129</v>
      </c>
    </row>
    <row r="88" spans="1:20" x14ac:dyDescent="0.2">
      <c r="A88" s="95" t="s">
        <v>73</v>
      </c>
      <c r="B88" s="95" t="s">
        <v>66</v>
      </c>
      <c r="D88" s="95" t="s">
        <v>81</v>
      </c>
      <c r="G88" s="95">
        <v>49</v>
      </c>
      <c r="I88" s="95">
        <v>2.5099999999999998</v>
      </c>
      <c r="P88" s="95">
        <v>2023</v>
      </c>
      <c r="S88" s="95" t="s">
        <v>99</v>
      </c>
      <c r="T88" s="95" t="s">
        <v>130</v>
      </c>
    </row>
    <row r="89" spans="1:20" x14ac:dyDescent="0.2">
      <c r="A89" s="95" t="s">
        <v>73</v>
      </c>
      <c r="B89" s="95" t="s">
        <v>66</v>
      </c>
      <c r="C89" s="95" t="s">
        <v>67</v>
      </c>
      <c r="D89" s="95" t="s">
        <v>81</v>
      </c>
      <c r="G89" s="95">
        <v>15</v>
      </c>
      <c r="I89" s="95">
        <v>1.1499999999999999</v>
      </c>
      <c r="P89" s="95">
        <v>2023</v>
      </c>
      <c r="S89" s="95" t="s">
        <v>99</v>
      </c>
      <c r="T89" s="95" t="s">
        <v>131</v>
      </c>
    </row>
    <row r="90" spans="1:20" x14ac:dyDescent="0.2">
      <c r="A90" s="95" t="s">
        <v>73</v>
      </c>
      <c r="B90" s="95" t="s">
        <v>66</v>
      </c>
      <c r="C90" s="95" t="s">
        <v>67</v>
      </c>
      <c r="D90" s="95" t="s">
        <v>68</v>
      </c>
      <c r="G90" s="95">
        <v>19</v>
      </c>
      <c r="I90" s="95">
        <v>0.98</v>
      </c>
      <c r="P90" s="95">
        <v>2023</v>
      </c>
      <c r="S90" s="95" t="s">
        <v>99</v>
      </c>
      <c r="T90" s="95" t="s">
        <v>132</v>
      </c>
    </row>
    <row r="91" spans="1:20" x14ac:dyDescent="0.2">
      <c r="A91" s="95" t="s">
        <v>73</v>
      </c>
      <c r="B91" s="95" t="s">
        <v>66</v>
      </c>
      <c r="C91" s="95" t="s">
        <v>67</v>
      </c>
      <c r="D91" s="95" t="s">
        <v>81</v>
      </c>
      <c r="G91" s="95">
        <v>15</v>
      </c>
      <c r="I91" s="95">
        <v>1.1299999999999999</v>
      </c>
      <c r="P91" s="95">
        <v>2023</v>
      </c>
      <c r="S91" s="95" t="s">
        <v>99</v>
      </c>
      <c r="T91" s="95" t="s">
        <v>133</v>
      </c>
    </row>
    <row r="92" spans="1:20" x14ac:dyDescent="0.2">
      <c r="A92" s="95" t="s">
        <v>73</v>
      </c>
      <c r="B92" s="95" t="s">
        <v>66</v>
      </c>
      <c r="C92" s="95" t="s">
        <v>67</v>
      </c>
      <c r="D92" s="95" t="s">
        <v>68</v>
      </c>
      <c r="G92" s="95">
        <v>49</v>
      </c>
      <c r="I92" s="95">
        <v>2.37</v>
      </c>
      <c r="P92" s="95">
        <v>2023</v>
      </c>
      <c r="S92" s="95" t="s">
        <v>99</v>
      </c>
      <c r="T92" s="95" t="s">
        <v>134</v>
      </c>
    </row>
    <row r="93" spans="1:20" x14ac:dyDescent="0.2">
      <c r="A93" s="95" t="s">
        <v>73</v>
      </c>
      <c r="B93" s="95" t="s">
        <v>66</v>
      </c>
      <c r="C93" s="95" t="s">
        <v>67</v>
      </c>
      <c r="D93" s="95" t="s">
        <v>81</v>
      </c>
      <c r="G93" s="95">
        <v>30</v>
      </c>
      <c r="I93" s="95">
        <v>1.72</v>
      </c>
      <c r="P93" s="95">
        <v>2023</v>
      </c>
      <c r="S93" s="95" t="s">
        <v>99</v>
      </c>
      <c r="T93" s="95" t="s">
        <v>135</v>
      </c>
    </row>
    <row r="94" spans="1:20" x14ac:dyDescent="0.2">
      <c r="A94" s="95" t="s">
        <v>73</v>
      </c>
      <c r="B94" s="95" t="s">
        <v>66</v>
      </c>
      <c r="C94" s="95" t="s">
        <v>67</v>
      </c>
      <c r="D94" s="95" t="s">
        <v>68</v>
      </c>
      <c r="G94" s="95">
        <v>13</v>
      </c>
      <c r="I94" s="95">
        <v>0.68</v>
      </c>
      <c r="P94" s="95">
        <v>2023</v>
      </c>
      <c r="S94" s="95" t="s">
        <v>99</v>
      </c>
      <c r="T94" s="95" t="s">
        <v>136</v>
      </c>
    </row>
    <row r="95" spans="1:20" x14ac:dyDescent="0.2">
      <c r="A95" s="95" t="s">
        <v>73</v>
      </c>
      <c r="B95" s="95" t="s">
        <v>66</v>
      </c>
      <c r="C95" s="95" t="s">
        <v>67</v>
      </c>
      <c r="D95" s="95" t="s">
        <v>68</v>
      </c>
      <c r="G95" s="95">
        <v>19</v>
      </c>
      <c r="I95" s="95">
        <v>0.86</v>
      </c>
      <c r="P95" s="95">
        <v>2023</v>
      </c>
      <c r="S95" s="95" t="s">
        <v>99</v>
      </c>
      <c r="T95" s="95" t="s">
        <v>137</v>
      </c>
    </row>
    <row r="96" spans="1:20" x14ac:dyDescent="0.2">
      <c r="A96" s="95" t="s">
        <v>73</v>
      </c>
      <c r="B96" s="95" t="s">
        <v>66</v>
      </c>
      <c r="C96" s="95" t="s">
        <v>67</v>
      </c>
      <c r="D96" s="95" t="s">
        <v>68</v>
      </c>
      <c r="G96" s="95">
        <v>19</v>
      </c>
      <c r="I96" s="95">
        <v>1.1200000000000001</v>
      </c>
      <c r="P96" s="95">
        <v>2023</v>
      </c>
      <c r="S96" s="95" t="s">
        <v>99</v>
      </c>
      <c r="T96" s="95" t="s">
        <v>138</v>
      </c>
    </row>
    <row r="97" spans="1:20" x14ac:dyDescent="0.2">
      <c r="A97" s="95" t="s">
        <v>73</v>
      </c>
      <c r="B97" s="95" t="s">
        <v>66</v>
      </c>
      <c r="C97" s="95" t="s">
        <v>91</v>
      </c>
      <c r="G97" s="95">
        <v>21</v>
      </c>
      <c r="I97" s="95">
        <v>42.61</v>
      </c>
      <c r="P97" s="95">
        <v>2023</v>
      </c>
      <c r="S97" s="95" t="s">
        <v>99</v>
      </c>
      <c r="T97" s="95" t="s">
        <v>139</v>
      </c>
    </row>
    <row r="98" spans="1:20" x14ac:dyDescent="0.2">
      <c r="A98" s="95" t="s">
        <v>73</v>
      </c>
      <c r="B98" s="95" t="s">
        <v>66</v>
      </c>
      <c r="C98" s="95" t="s">
        <v>67</v>
      </c>
      <c r="D98" s="95" t="s">
        <v>68</v>
      </c>
      <c r="G98" s="95">
        <v>30</v>
      </c>
      <c r="I98" s="95">
        <v>1.36</v>
      </c>
      <c r="P98" s="95">
        <v>2023</v>
      </c>
      <c r="S98" s="95" t="s">
        <v>99</v>
      </c>
      <c r="T98" s="95" t="s">
        <v>140</v>
      </c>
    </row>
    <row r="99" spans="1:20" x14ac:dyDescent="0.2">
      <c r="A99" s="95" t="s">
        <v>73</v>
      </c>
      <c r="B99" s="95" t="s">
        <v>66</v>
      </c>
      <c r="C99" s="95" t="s">
        <v>67</v>
      </c>
      <c r="D99" s="95" t="s">
        <v>81</v>
      </c>
      <c r="G99" s="95">
        <v>13</v>
      </c>
      <c r="I99" s="95">
        <v>0.57999999999999996</v>
      </c>
      <c r="P99" s="95">
        <v>2023</v>
      </c>
      <c r="S99" s="95" t="s">
        <v>99</v>
      </c>
      <c r="T99" s="95" t="s">
        <v>141</v>
      </c>
    </row>
    <row r="100" spans="1:20" x14ac:dyDescent="0.2">
      <c r="A100" s="95" t="s">
        <v>73</v>
      </c>
      <c r="B100" s="95" t="s">
        <v>66</v>
      </c>
      <c r="C100" s="95" t="s">
        <v>67</v>
      </c>
      <c r="D100" s="95" t="s">
        <v>68</v>
      </c>
      <c r="G100" s="95">
        <v>13</v>
      </c>
      <c r="I100" s="95">
        <v>0.75</v>
      </c>
      <c r="P100" s="95">
        <v>2023</v>
      </c>
      <c r="S100" s="95" t="s">
        <v>99</v>
      </c>
      <c r="T100" s="95" t="s">
        <v>142</v>
      </c>
    </row>
    <row r="101" spans="1:20" x14ac:dyDescent="0.2">
      <c r="A101" s="95" t="s">
        <v>73</v>
      </c>
      <c r="B101" s="95" t="s">
        <v>66</v>
      </c>
      <c r="C101" s="95" t="s">
        <v>67</v>
      </c>
      <c r="D101" s="95" t="s">
        <v>81</v>
      </c>
      <c r="G101" s="95">
        <v>19</v>
      </c>
      <c r="I101" s="95">
        <v>1.02</v>
      </c>
      <c r="P101" s="95">
        <v>2023</v>
      </c>
      <c r="S101" s="95" t="s">
        <v>99</v>
      </c>
      <c r="T101" s="95" t="s">
        <v>143</v>
      </c>
    </row>
    <row r="102" spans="1:20" x14ac:dyDescent="0.2">
      <c r="A102" s="95" t="s">
        <v>73</v>
      </c>
      <c r="B102" s="95" t="s">
        <v>66</v>
      </c>
      <c r="C102" s="95" t="s">
        <v>67</v>
      </c>
      <c r="D102" s="95" t="s">
        <v>81</v>
      </c>
      <c r="G102" s="95">
        <v>19</v>
      </c>
      <c r="I102" s="95">
        <v>0.87</v>
      </c>
      <c r="P102" s="95">
        <v>2023</v>
      </c>
      <c r="S102" s="95" t="s">
        <v>99</v>
      </c>
      <c r="T102" s="95" t="s">
        <v>144</v>
      </c>
    </row>
    <row r="103" spans="1:20" x14ac:dyDescent="0.2">
      <c r="A103" s="95" t="s">
        <v>73</v>
      </c>
      <c r="B103" s="95" t="s">
        <v>66</v>
      </c>
      <c r="C103" s="95" t="s">
        <v>67</v>
      </c>
      <c r="D103" s="95" t="s">
        <v>81</v>
      </c>
      <c r="G103" s="95">
        <v>30</v>
      </c>
      <c r="I103" s="95">
        <v>1.33</v>
      </c>
      <c r="P103" s="95">
        <v>2023</v>
      </c>
      <c r="S103" s="95" t="s">
        <v>99</v>
      </c>
      <c r="T103" s="95" t="s">
        <v>145</v>
      </c>
    </row>
    <row r="104" spans="1:20" x14ac:dyDescent="0.2">
      <c r="A104" s="95" t="s">
        <v>73</v>
      </c>
      <c r="B104" s="95" t="s">
        <v>66</v>
      </c>
      <c r="C104" s="95" t="s">
        <v>91</v>
      </c>
      <c r="G104" s="95">
        <v>13</v>
      </c>
      <c r="I104" s="95">
        <v>23.26</v>
      </c>
      <c r="P104" s="95">
        <v>2023</v>
      </c>
      <c r="S104" s="95" t="s">
        <v>99</v>
      </c>
      <c r="T104" s="95" t="s">
        <v>146</v>
      </c>
    </row>
    <row r="105" spans="1:20" x14ac:dyDescent="0.2">
      <c r="A105" s="95" t="s">
        <v>73</v>
      </c>
      <c r="B105" s="95" t="s">
        <v>66</v>
      </c>
      <c r="C105" s="95" t="s">
        <v>67</v>
      </c>
      <c r="D105" s="95" t="s">
        <v>81</v>
      </c>
      <c r="G105" s="95">
        <v>19</v>
      </c>
      <c r="I105" s="95">
        <v>0.99</v>
      </c>
      <c r="P105" s="95">
        <v>2023</v>
      </c>
      <c r="S105" s="95" t="s">
        <v>99</v>
      </c>
      <c r="T105" s="95" t="s">
        <v>147</v>
      </c>
    </row>
    <row r="106" spans="1:20" x14ac:dyDescent="0.2">
      <c r="A106" s="95" t="s">
        <v>73</v>
      </c>
      <c r="B106" s="95" t="s">
        <v>66</v>
      </c>
      <c r="C106" s="95" t="s">
        <v>67</v>
      </c>
      <c r="D106" s="95" t="s">
        <v>68</v>
      </c>
      <c r="G106" s="95">
        <v>15</v>
      </c>
      <c r="I106" s="95">
        <v>1.27</v>
      </c>
      <c r="P106" s="95">
        <v>2023</v>
      </c>
      <c r="S106" s="95" t="s">
        <v>99</v>
      </c>
      <c r="T106" s="95" t="s">
        <v>148</v>
      </c>
    </row>
    <row r="107" spans="1:20" x14ac:dyDescent="0.2">
      <c r="A107" s="95" t="s">
        <v>73</v>
      </c>
      <c r="B107" s="95" t="s">
        <v>66</v>
      </c>
      <c r="C107" s="95" t="s">
        <v>67</v>
      </c>
      <c r="D107" s="95" t="s">
        <v>81</v>
      </c>
      <c r="G107" s="95">
        <v>13</v>
      </c>
      <c r="I107" s="95">
        <v>0.78</v>
      </c>
      <c r="P107" s="95">
        <v>2023</v>
      </c>
      <c r="S107" s="95" t="s">
        <v>99</v>
      </c>
      <c r="T107" s="95" t="s">
        <v>149</v>
      </c>
    </row>
    <row r="108" spans="1:20" x14ac:dyDescent="0.2">
      <c r="A108" s="95" t="s">
        <v>73</v>
      </c>
      <c r="B108" s="95" t="s">
        <v>66</v>
      </c>
      <c r="C108" s="95" t="s">
        <v>67</v>
      </c>
      <c r="D108" s="95" t="s">
        <v>68</v>
      </c>
      <c r="G108" s="95">
        <v>30</v>
      </c>
      <c r="I108" s="95">
        <v>1.74</v>
      </c>
      <c r="P108" s="95">
        <v>2023</v>
      </c>
      <c r="S108" s="95" t="s">
        <v>99</v>
      </c>
      <c r="T108" s="95" t="s">
        <v>150</v>
      </c>
    </row>
    <row r="109" spans="1:20" x14ac:dyDescent="0.2">
      <c r="A109" s="95" t="s">
        <v>73</v>
      </c>
      <c r="B109" s="95" t="s">
        <v>66</v>
      </c>
      <c r="G109" s="95">
        <v>19</v>
      </c>
      <c r="I109" s="95">
        <v>15.29</v>
      </c>
      <c r="P109" s="95">
        <v>2023</v>
      </c>
      <c r="S109" s="95" t="s">
        <v>99</v>
      </c>
      <c r="T109" s="95" t="s">
        <v>151</v>
      </c>
    </row>
    <row r="110" spans="1:20" x14ac:dyDescent="0.2">
      <c r="A110" s="95" t="s">
        <v>73</v>
      </c>
      <c r="B110" s="95" t="s">
        <v>66</v>
      </c>
      <c r="C110" s="95" t="s">
        <v>67</v>
      </c>
      <c r="D110" s="95" t="s">
        <v>81</v>
      </c>
      <c r="G110" s="95">
        <v>13</v>
      </c>
      <c r="I110" s="95">
        <v>0.42</v>
      </c>
      <c r="P110" s="95">
        <v>2023</v>
      </c>
      <c r="S110" s="95" t="s">
        <v>99</v>
      </c>
      <c r="T110" s="95" t="s">
        <v>152</v>
      </c>
    </row>
    <row r="111" spans="1:20" x14ac:dyDescent="0.2">
      <c r="A111" s="95" t="s">
        <v>73</v>
      </c>
      <c r="B111" s="95" t="s">
        <v>66</v>
      </c>
      <c r="C111" s="95" t="s">
        <v>67</v>
      </c>
      <c r="D111" s="95" t="s">
        <v>81</v>
      </c>
      <c r="G111" s="95">
        <v>19</v>
      </c>
      <c r="I111" s="95">
        <v>0.76</v>
      </c>
      <c r="P111" s="95">
        <v>2023</v>
      </c>
      <c r="S111" s="95" t="s">
        <v>99</v>
      </c>
      <c r="T111" s="95" t="s">
        <v>153</v>
      </c>
    </row>
    <row r="112" spans="1:20" x14ac:dyDescent="0.2">
      <c r="A112" s="95" t="s">
        <v>73</v>
      </c>
      <c r="B112" s="95" t="s">
        <v>66</v>
      </c>
      <c r="C112" s="95" t="s">
        <v>67</v>
      </c>
      <c r="D112" s="95" t="s">
        <v>68</v>
      </c>
      <c r="G112" s="95">
        <v>30</v>
      </c>
      <c r="I112" s="95">
        <v>1.1599999999999999</v>
      </c>
      <c r="P112" s="95">
        <v>2023</v>
      </c>
      <c r="S112" s="95" t="s">
        <v>99</v>
      </c>
      <c r="T112" s="95" t="s">
        <v>154</v>
      </c>
    </row>
    <row r="113" spans="1:20" x14ac:dyDescent="0.2">
      <c r="A113" s="95" t="s">
        <v>73</v>
      </c>
      <c r="B113" s="95" t="s">
        <v>66</v>
      </c>
      <c r="C113" s="95" t="s">
        <v>67</v>
      </c>
      <c r="D113" s="95" t="s">
        <v>81</v>
      </c>
      <c r="G113" s="95">
        <v>15</v>
      </c>
      <c r="I113" s="95">
        <v>1.1200000000000001</v>
      </c>
      <c r="P113" s="95">
        <v>2023</v>
      </c>
      <c r="S113" s="95" t="s">
        <v>99</v>
      </c>
      <c r="T113" s="95" t="s">
        <v>155</v>
      </c>
    </row>
    <row r="114" spans="1:20" x14ac:dyDescent="0.2">
      <c r="A114" s="95" t="s">
        <v>73</v>
      </c>
      <c r="B114" s="95" t="s">
        <v>66</v>
      </c>
      <c r="C114" s="95" t="s">
        <v>67</v>
      </c>
      <c r="D114" s="95" t="s">
        <v>68</v>
      </c>
      <c r="G114" s="95">
        <v>30</v>
      </c>
      <c r="I114" s="95">
        <v>1.47</v>
      </c>
      <c r="P114" s="95">
        <v>2023</v>
      </c>
      <c r="S114" s="95" t="s">
        <v>99</v>
      </c>
      <c r="T114" s="95" t="s">
        <v>156</v>
      </c>
    </row>
    <row r="115" spans="1:20" x14ac:dyDescent="0.2">
      <c r="A115" s="95" t="s">
        <v>73</v>
      </c>
      <c r="B115" s="95" t="s">
        <v>66</v>
      </c>
      <c r="C115" s="95" t="s">
        <v>67</v>
      </c>
      <c r="D115" s="95" t="s">
        <v>81</v>
      </c>
      <c r="G115" s="95">
        <v>19</v>
      </c>
      <c r="I115" s="95">
        <v>0.87</v>
      </c>
      <c r="P115" s="95">
        <v>2023</v>
      </c>
      <c r="S115" s="95" t="s">
        <v>99</v>
      </c>
      <c r="T115" s="95" t="s">
        <v>157</v>
      </c>
    </row>
    <row r="116" spans="1:20" x14ac:dyDescent="0.2">
      <c r="A116" s="95" t="s">
        <v>73</v>
      </c>
      <c r="B116" s="95" t="s">
        <v>66</v>
      </c>
      <c r="C116" s="95" t="s">
        <v>67</v>
      </c>
      <c r="D116" s="95" t="s">
        <v>81</v>
      </c>
      <c r="G116" s="95">
        <v>19</v>
      </c>
      <c r="I116" s="95">
        <v>0.97</v>
      </c>
      <c r="P116" s="95">
        <v>2023</v>
      </c>
      <c r="S116" s="95" t="s">
        <v>99</v>
      </c>
      <c r="T116" s="95" t="s">
        <v>158</v>
      </c>
    </row>
    <row r="117" spans="1:20" x14ac:dyDescent="0.2">
      <c r="A117" s="95" t="s">
        <v>73</v>
      </c>
      <c r="B117" s="95" t="s">
        <v>66</v>
      </c>
      <c r="C117" s="95" t="s">
        <v>67</v>
      </c>
      <c r="D117" s="95" t="s">
        <v>81</v>
      </c>
      <c r="G117" s="95">
        <v>13</v>
      </c>
      <c r="I117" s="95">
        <v>0.63</v>
      </c>
      <c r="P117" s="95">
        <v>2023</v>
      </c>
      <c r="S117" s="95" t="s">
        <v>99</v>
      </c>
      <c r="T117" s="95" t="s">
        <v>159</v>
      </c>
    </row>
    <row r="118" spans="1:20" x14ac:dyDescent="0.2">
      <c r="A118" s="95" t="s">
        <v>73</v>
      </c>
      <c r="B118" s="95" t="s">
        <v>66</v>
      </c>
      <c r="C118" s="95" t="s">
        <v>67</v>
      </c>
      <c r="D118" s="95" t="s">
        <v>68</v>
      </c>
      <c r="G118" s="95">
        <v>6</v>
      </c>
      <c r="I118" s="95">
        <v>1.87</v>
      </c>
      <c r="P118" s="95">
        <v>2023</v>
      </c>
      <c r="S118" s="95" t="s">
        <v>99</v>
      </c>
      <c r="T118" s="95" t="s">
        <v>160</v>
      </c>
    </row>
    <row r="119" spans="1:20" x14ac:dyDescent="0.2">
      <c r="A119" s="95" t="s">
        <v>73</v>
      </c>
      <c r="B119" s="95" t="s">
        <v>66</v>
      </c>
      <c r="C119" s="95" t="s">
        <v>67</v>
      </c>
      <c r="D119" s="95" t="s">
        <v>68</v>
      </c>
      <c r="G119" s="95">
        <v>30</v>
      </c>
      <c r="I119" s="95">
        <v>1.24</v>
      </c>
      <c r="P119" s="95">
        <v>2023</v>
      </c>
      <c r="S119" s="95" t="s">
        <v>99</v>
      </c>
      <c r="T119" s="95" t="s">
        <v>161</v>
      </c>
    </row>
    <row r="120" spans="1:20" x14ac:dyDescent="0.2">
      <c r="A120" s="95" t="s">
        <v>73</v>
      </c>
      <c r="B120" s="95" t="s">
        <v>66</v>
      </c>
      <c r="C120" s="95" t="s">
        <v>67</v>
      </c>
      <c r="D120" s="95" t="s">
        <v>68</v>
      </c>
      <c r="G120" s="95">
        <v>30</v>
      </c>
      <c r="I120" s="95">
        <v>19.57</v>
      </c>
      <c r="P120" s="95">
        <v>2023</v>
      </c>
      <c r="S120" s="95" t="s">
        <v>99</v>
      </c>
      <c r="T120" s="95" t="s">
        <v>162</v>
      </c>
    </row>
    <row r="121" spans="1:20" x14ac:dyDescent="0.2">
      <c r="A121" s="95" t="s">
        <v>73</v>
      </c>
      <c r="B121" s="95" t="s">
        <v>66</v>
      </c>
      <c r="C121" s="95" t="s">
        <v>67</v>
      </c>
      <c r="D121" s="95" t="s">
        <v>81</v>
      </c>
      <c r="G121" s="95">
        <v>13</v>
      </c>
      <c r="I121" s="95">
        <v>0.82</v>
      </c>
      <c r="P121" s="95">
        <v>2023</v>
      </c>
      <c r="S121" s="95" t="s">
        <v>99</v>
      </c>
      <c r="T121" s="95" t="s">
        <v>163</v>
      </c>
    </row>
    <row r="122" spans="1:20" x14ac:dyDescent="0.2">
      <c r="A122" s="95" t="s">
        <v>73</v>
      </c>
      <c r="B122" s="95" t="s">
        <v>66</v>
      </c>
      <c r="C122" s="95" t="s">
        <v>67</v>
      </c>
      <c r="D122" s="95" t="s">
        <v>81</v>
      </c>
      <c r="G122" s="95">
        <v>30</v>
      </c>
      <c r="I122" s="95">
        <v>1.43</v>
      </c>
      <c r="P122" s="95">
        <v>2023</v>
      </c>
      <c r="S122" s="95" t="s">
        <v>99</v>
      </c>
      <c r="T122" s="95" t="s">
        <v>164</v>
      </c>
    </row>
    <row r="123" spans="1:20" x14ac:dyDescent="0.2">
      <c r="A123" s="95" t="s">
        <v>73</v>
      </c>
      <c r="B123" s="95" t="s">
        <v>66</v>
      </c>
      <c r="C123" s="95" t="s">
        <v>67</v>
      </c>
      <c r="D123" s="95" t="s">
        <v>81</v>
      </c>
      <c r="G123" s="95">
        <v>13</v>
      </c>
      <c r="I123" s="95">
        <v>0.84</v>
      </c>
      <c r="P123" s="95">
        <v>2023</v>
      </c>
      <c r="S123" s="95" t="s">
        <v>99</v>
      </c>
      <c r="T123" s="95" t="s">
        <v>165</v>
      </c>
    </row>
    <row r="124" spans="1:20" x14ac:dyDescent="0.2">
      <c r="A124" s="95" t="s">
        <v>73</v>
      </c>
      <c r="B124" s="95" t="s">
        <v>66</v>
      </c>
      <c r="C124" s="95" t="s">
        <v>67</v>
      </c>
      <c r="D124" s="95" t="s">
        <v>81</v>
      </c>
      <c r="G124" s="95">
        <v>19</v>
      </c>
      <c r="I124" s="95">
        <v>0.85</v>
      </c>
      <c r="P124" s="95">
        <v>2023</v>
      </c>
      <c r="S124" s="95" t="s">
        <v>99</v>
      </c>
      <c r="T124" s="95" t="s">
        <v>166</v>
      </c>
    </row>
    <row r="125" spans="1:20" x14ac:dyDescent="0.2">
      <c r="A125" s="95" t="s">
        <v>73</v>
      </c>
      <c r="B125" s="95" t="s">
        <v>66</v>
      </c>
      <c r="C125" s="95" t="s">
        <v>67</v>
      </c>
      <c r="D125" s="95" t="s">
        <v>81</v>
      </c>
      <c r="G125" s="95">
        <v>19</v>
      </c>
      <c r="I125" s="95">
        <v>1.26</v>
      </c>
      <c r="P125" s="95">
        <v>2023</v>
      </c>
      <c r="S125" s="95" t="s">
        <v>99</v>
      </c>
      <c r="T125" s="95" t="s">
        <v>167</v>
      </c>
    </row>
    <row r="126" spans="1:20" x14ac:dyDescent="0.2">
      <c r="A126" s="95" t="s">
        <v>73</v>
      </c>
      <c r="B126" s="95" t="s">
        <v>66</v>
      </c>
      <c r="C126" s="95" t="s">
        <v>67</v>
      </c>
      <c r="D126" s="95" t="s">
        <v>68</v>
      </c>
      <c r="G126" s="95">
        <v>30</v>
      </c>
      <c r="I126" s="95">
        <v>1.48</v>
      </c>
      <c r="P126" s="95">
        <v>2023</v>
      </c>
      <c r="S126" s="95" t="s">
        <v>99</v>
      </c>
      <c r="T126" s="95" t="s">
        <v>168</v>
      </c>
    </row>
    <row r="127" spans="1:20" x14ac:dyDescent="0.2">
      <c r="A127" s="95" t="s">
        <v>73</v>
      </c>
      <c r="B127" s="95" t="s">
        <v>66</v>
      </c>
      <c r="C127" s="95" t="s">
        <v>67</v>
      </c>
      <c r="D127" s="95" t="s">
        <v>81</v>
      </c>
      <c r="G127" s="95">
        <v>19</v>
      </c>
      <c r="I127" s="95">
        <v>1.1499999999999999</v>
      </c>
      <c r="P127" s="95">
        <v>2023</v>
      </c>
      <c r="S127" s="95" t="s">
        <v>99</v>
      </c>
      <c r="T127" s="95" t="s">
        <v>169</v>
      </c>
    </row>
    <row r="128" spans="1:20" x14ac:dyDescent="0.2">
      <c r="A128" s="95" t="s">
        <v>73</v>
      </c>
      <c r="B128" s="95" t="s">
        <v>66</v>
      </c>
      <c r="C128" s="95" t="s">
        <v>67</v>
      </c>
      <c r="D128" s="95" t="s">
        <v>81</v>
      </c>
      <c r="G128" s="95">
        <v>13</v>
      </c>
      <c r="I128" s="95">
        <v>0.96</v>
      </c>
      <c r="P128" s="95">
        <v>2023</v>
      </c>
      <c r="S128" s="95" t="s">
        <v>99</v>
      </c>
      <c r="T128" s="95" t="s">
        <v>170</v>
      </c>
    </row>
    <row r="129" spans="1:20" x14ac:dyDescent="0.2">
      <c r="A129" s="95" t="s">
        <v>73</v>
      </c>
      <c r="B129" s="95" t="s">
        <v>66</v>
      </c>
      <c r="C129" s="95" t="s">
        <v>67</v>
      </c>
      <c r="D129" s="95" t="s">
        <v>81</v>
      </c>
      <c r="G129" s="95">
        <v>19</v>
      </c>
      <c r="I129" s="95">
        <v>1.08</v>
      </c>
      <c r="P129" s="95">
        <v>2023</v>
      </c>
      <c r="S129" s="95" t="s">
        <v>99</v>
      </c>
      <c r="T129" s="95" t="s">
        <v>171</v>
      </c>
    </row>
    <row r="130" spans="1:20" x14ac:dyDescent="0.2">
      <c r="A130" s="95" t="s">
        <v>73</v>
      </c>
      <c r="B130" s="95" t="s">
        <v>66</v>
      </c>
      <c r="C130" s="95" t="s">
        <v>67</v>
      </c>
      <c r="D130" s="95" t="s">
        <v>68</v>
      </c>
      <c r="G130" s="95">
        <v>13</v>
      </c>
      <c r="I130" s="95">
        <v>0.93</v>
      </c>
      <c r="P130" s="95">
        <v>2023</v>
      </c>
      <c r="S130" s="95" t="s">
        <v>99</v>
      </c>
      <c r="T130" s="95" t="s">
        <v>172</v>
      </c>
    </row>
    <row r="131" spans="1:20" x14ac:dyDescent="0.2">
      <c r="A131" s="95" t="s">
        <v>73</v>
      </c>
      <c r="B131" s="95" t="s">
        <v>66</v>
      </c>
      <c r="C131" s="95" t="s">
        <v>67</v>
      </c>
      <c r="D131" s="95" t="s">
        <v>68</v>
      </c>
      <c r="G131" s="95">
        <v>7</v>
      </c>
      <c r="I131" s="95">
        <v>1.99</v>
      </c>
      <c r="P131" s="95">
        <v>2023</v>
      </c>
      <c r="S131" s="95" t="s">
        <v>99</v>
      </c>
      <c r="T131" s="95" t="s">
        <v>173</v>
      </c>
    </row>
    <row r="132" spans="1:20" x14ac:dyDescent="0.2">
      <c r="A132" s="95" t="s">
        <v>73</v>
      </c>
      <c r="B132" s="95" t="s">
        <v>66</v>
      </c>
      <c r="C132" s="95" t="s">
        <v>67</v>
      </c>
      <c r="D132" s="95" t="s">
        <v>68</v>
      </c>
      <c r="G132" s="95">
        <v>6</v>
      </c>
      <c r="I132" s="95">
        <v>95.58</v>
      </c>
      <c r="P132" s="95">
        <v>2023</v>
      </c>
      <c r="S132" s="95" t="s">
        <v>99</v>
      </c>
      <c r="T132" s="95" t="s">
        <v>174</v>
      </c>
    </row>
    <row r="133" spans="1:20" x14ac:dyDescent="0.2">
      <c r="A133" s="95" t="s">
        <v>73</v>
      </c>
      <c r="B133" s="95" t="s">
        <v>66</v>
      </c>
      <c r="C133" s="95" t="s">
        <v>67</v>
      </c>
      <c r="D133" s="95" t="s">
        <v>81</v>
      </c>
      <c r="G133" s="95">
        <v>13</v>
      </c>
      <c r="I133" s="95">
        <v>0.75</v>
      </c>
      <c r="P133" s="95">
        <v>2023</v>
      </c>
      <c r="S133" s="95" t="s">
        <v>99</v>
      </c>
      <c r="T133" s="95" t="s">
        <v>175</v>
      </c>
    </row>
    <row r="134" spans="1:20" x14ac:dyDescent="0.2">
      <c r="A134" s="95" t="s">
        <v>65</v>
      </c>
      <c r="B134" s="95" t="s">
        <v>66</v>
      </c>
      <c r="C134" s="95" t="s">
        <v>86</v>
      </c>
      <c r="D134" s="95" t="s">
        <v>68</v>
      </c>
      <c r="F134" s="95">
        <v>0.5</v>
      </c>
      <c r="G134" s="95">
        <v>3</v>
      </c>
      <c r="I134" s="95">
        <v>0.43687500000000001</v>
      </c>
      <c r="P134" s="95">
        <v>2023</v>
      </c>
      <c r="Q134" s="95" t="s">
        <v>176</v>
      </c>
      <c r="R134" s="95" t="s">
        <v>177</v>
      </c>
      <c r="S134" s="95" t="s">
        <v>99</v>
      </c>
      <c r="T134" s="95" t="s">
        <v>178</v>
      </c>
    </row>
    <row r="135" spans="1:20" x14ac:dyDescent="0.2">
      <c r="A135" s="95" t="s">
        <v>65</v>
      </c>
      <c r="B135" s="95" t="s">
        <v>66</v>
      </c>
      <c r="C135" s="95" t="s">
        <v>84</v>
      </c>
      <c r="D135" s="95" t="s">
        <v>81</v>
      </c>
      <c r="F135" s="95">
        <v>0.5</v>
      </c>
      <c r="G135" s="95">
        <v>3.2</v>
      </c>
      <c r="I135" s="95">
        <v>0.62250000000000005</v>
      </c>
      <c r="P135" s="95">
        <v>2023</v>
      </c>
      <c r="Q135" s="95" t="s">
        <v>179</v>
      </c>
      <c r="R135" s="95" t="s">
        <v>180</v>
      </c>
      <c r="S135" s="95" t="s">
        <v>99</v>
      </c>
      <c r="T135" s="95" t="s">
        <v>181</v>
      </c>
    </row>
    <row r="136" spans="1:20" x14ac:dyDescent="0.2">
      <c r="A136" s="95" t="s">
        <v>65</v>
      </c>
      <c r="B136" s="95" t="s">
        <v>66</v>
      </c>
      <c r="C136" s="95" t="s">
        <v>85</v>
      </c>
      <c r="D136" s="95" t="s">
        <v>81</v>
      </c>
      <c r="F136" s="95">
        <v>0.63</v>
      </c>
      <c r="G136" s="95">
        <v>3</v>
      </c>
      <c r="I136" s="95">
        <v>0.83250000000000002</v>
      </c>
      <c r="P136" s="95">
        <v>2023</v>
      </c>
      <c r="Q136" s="95" t="s">
        <v>182</v>
      </c>
      <c r="R136" s="95" t="s">
        <v>183</v>
      </c>
      <c r="S136" s="95" t="s">
        <v>99</v>
      </c>
      <c r="T136" s="95" t="s">
        <v>184</v>
      </c>
    </row>
    <row r="137" spans="1:20" x14ac:dyDescent="0.2">
      <c r="A137" s="95" t="s">
        <v>65</v>
      </c>
      <c r="B137" s="95" t="s">
        <v>66</v>
      </c>
      <c r="C137" s="95" t="s">
        <v>85</v>
      </c>
      <c r="D137" s="95" t="s">
        <v>68</v>
      </c>
      <c r="F137" s="95">
        <v>0.75</v>
      </c>
      <c r="G137" s="95">
        <v>2.65</v>
      </c>
      <c r="I137" s="95">
        <v>2.5950000000000002</v>
      </c>
      <c r="P137" s="95">
        <v>2023</v>
      </c>
      <c r="Q137" s="95" t="s">
        <v>185</v>
      </c>
      <c r="R137" s="95" t="s">
        <v>186</v>
      </c>
      <c r="S137" s="95" t="s">
        <v>99</v>
      </c>
      <c r="T137" s="95" t="s">
        <v>187</v>
      </c>
    </row>
    <row r="138" spans="1:20" x14ac:dyDescent="0.2">
      <c r="A138" s="95" t="s">
        <v>65</v>
      </c>
      <c r="B138" s="95" t="s">
        <v>66</v>
      </c>
      <c r="C138" s="95" t="s">
        <v>86</v>
      </c>
      <c r="D138" s="95" t="s">
        <v>68</v>
      </c>
      <c r="F138" s="95">
        <v>1</v>
      </c>
      <c r="G138" s="95">
        <v>5</v>
      </c>
      <c r="I138" s="95">
        <v>0.97875000000000001</v>
      </c>
      <c r="P138" s="95">
        <v>2023</v>
      </c>
      <c r="Q138" s="95" t="s">
        <v>188</v>
      </c>
      <c r="R138" s="95" t="s">
        <v>189</v>
      </c>
      <c r="S138" s="95" t="s">
        <v>99</v>
      </c>
      <c r="T138" s="95" t="s">
        <v>190</v>
      </c>
    </row>
    <row r="139" spans="1:20" x14ac:dyDescent="0.2">
      <c r="A139" s="95" t="s">
        <v>65</v>
      </c>
      <c r="B139" s="95" t="s">
        <v>66</v>
      </c>
      <c r="C139" s="95" t="s">
        <v>85</v>
      </c>
      <c r="D139" s="95" t="s">
        <v>81</v>
      </c>
      <c r="F139" s="95">
        <v>1</v>
      </c>
      <c r="G139" s="95">
        <v>3.85</v>
      </c>
      <c r="I139" s="95">
        <v>0.48781249999999998</v>
      </c>
      <c r="P139" s="95">
        <v>2023</v>
      </c>
      <c r="Q139" s="95" t="s">
        <v>191</v>
      </c>
      <c r="R139" s="95" t="s">
        <v>192</v>
      </c>
      <c r="S139" s="95" t="s">
        <v>99</v>
      </c>
      <c r="T139" s="95" t="s">
        <v>193</v>
      </c>
    </row>
    <row r="140" spans="1:20" x14ac:dyDescent="0.2">
      <c r="A140" s="95" t="s">
        <v>65</v>
      </c>
      <c r="B140" s="95" t="s">
        <v>66</v>
      </c>
      <c r="C140" s="95" t="s">
        <v>85</v>
      </c>
      <c r="D140" s="95" t="s">
        <v>81</v>
      </c>
      <c r="F140" s="95">
        <v>1</v>
      </c>
      <c r="G140" s="95">
        <v>5</v>
      </c>
      <c r="I140" s="95">
        <v>1.3891666666666669</v>
      </c>
      <c r="P140" s="95">
        <v>2023</v>
      </c>
      <c r="Q140" s="95" t="s">
        <v>194</v>
      </c>
      <c r="R140" s="95" t="s">
        <v>195</v>
      </c>
      <c r="S140" s="95" t="s">
        <v>99</v>
      </c>
      <c r="T140" s="95" t="s">
        <v>196</v>
      </c>
    </row>
    <row r="141" spans="1:20" x14ac:dyDescent="0.2">
      <c r="A141" s="95" t="s">
        <v>65</v>
      </c>
      <c r="B141" s="95" t="s">
        <v>66</v>
      </c>
      <c r="C141" s="95" t="s">
        <v>86</v>
      </c>
      <c r="D141" s="95" t="s">
        <v>68</v>
      </c>
      <c r="F141" s="95">
        <v>1</v>
      </c>
      <c r="G141" s="95">
        <v>5</v>
      </c>
      <c r="I141" s="95">
        <v>1.7450000000000001</v>
      </c>
      <c r="P141" s="95">
        <v>2023</v>
      </c>
      <c r="Q141" s="95" t="s">
        <v>16</v>
      </c>
      <c r="R141" s="95" t="s">
        <v>197</v>
      </c>
      <c r="S141" s="95" t="s">
        <v>99</v>
      </c>
      <c r="T141" s="95" t="s">
        <v>198</v>
      </c>
    </row>
    <row r="142" spans="1:20" x14ac:dyDescent="0.2">
      <c r="A142" s="95" t="s">
        <v>65</v>
      </c>
      <c r="B142" s="95" t="s">
        <v>66</v>
      </c>
      <c r="C142" s="95" t="s">
        <v>86</v>
      </c>
      <c r="D142" s="95" t="s">
        <v>81</v>
      </c>
      <c r="F142" s="95">
        <v>1</v>
      </c>
      <c r="G142" s="95">
        <v>5</v>
      </c>
      <c r="I142" s="95">
        <v>3.85</v>
      </c>
      <c r="P142" s="95">
        <v>2023</v>
      </c>
      <c r="Q142" s="95" t="s">
        <v>199</v>
      </c>
      <c r="R142" s="95" t="s">
        <v>200</v>
      </c>
      <c r="S142" s="95" t="s">
        <v>99</v>
      </c>
      <c r="T142" s="95" t="s">
        <v>201</v>
      </c>
    </row>
    <row r="143" spans="1:20" x14ac:dyDescent="0.2">
      <c r="A143" s="95" t="s">
        <v>65</v>
      </c>
      <c r="B143" s="95" t="s">
        <v>66</v>
      </c>
      <c r="C143" s="95" t="s">
        <v>86</v>
      </c>
      <c r="D143" s="95" t="s">
        <v>81</v>
      </c>
      <c r="F143" s="95">
        <v>1</v>
      </c>
      <c r="G143" s="95">
        <v>5</v>
      </c>
      <c r="I143" s="95">
        <v>3.66</v>
      </c>
      <c r="P143" s="95">
        <v>2023</v>
      </c>
      <c r="Q143" s="95" t="s">
        <v>199</v>
      </c>
      <c r="R143" s="95" t="s">
        <v>202</v>
      </c>
      <c r="S143" s="95" t="s">
        <v>99</v>
      </c>
      <c r="T143" s="95" t="s">
        <v>203</v>
      </c>
    </row>
    <row r="144" spans="1:20" x14ac:dyDescent="0.2">
      <c r="A144" s="95" t="s">
        <v>65</v>
      </c>
      <c r="B144" s="95" t="s">
        <v>66</v>
      </c>
      <c r="C144" s="95" t="s">
        <v>86</v>
      </c>
      <c r="D144" s="95" t="s">
        <v>81</v>
      </c>
      <c r="F144" s="95">
        <v>1</v>
      </c>
      <c r="G144" s="95">
        <v>5</v>
      </c>
      <c r="I144" s="95">
        <v>3.9950000000000001</v>
      </c>
      <c r="P144" s="95">
        <v>2023</v>
      </c>
      <c r="Q144" s="95" t="s">
        <v>199</v>
      </c>
      <c r="R144" s="95" t="s">
        <v>204</v>
      </c>
      <c r="S144" s="95" t="s">
        <v>99</v>
      </c>
      <c r="T144" s="95" t="s">
        <v>205</v>
      </c>
    </row>
    <row r="145" spans="1:20" x14ac:dyDescent="0.2">
      <c r="A145" s="95" t="s">
        <v>65</v>
      </c>
      <c r="B145" s="95" t="s">
        <v>66</v>
      </c>
      <c r="C145" s="95" t="s">
        <v>86</v>
      </c>
      <c r="D145" s="95" t="s">
        <v>68</v>
      </c>
      <c r="F145" s="95">
        <v>1.5</v>
      </c>
      <c r="G145" s="95">
        <v>7.5</v>
      </c>
      <c r="I145" s="95">
        <v>1.1131249999999999</v>
      </c>
      <c r="P145" s="95">
        <v>2023</v>
      </c>
      <c r="Q145" s="95" t="s">
        <v>199</v>
      </c>
      <c r="R145" s="95" t="s">
        <v>206</v>
      </c>
      <c r="S145" s="95" t="s">
        <v>99</v>
      </c>
      <c r="T145" s="95" t="s">
        <v>207</v>
      </c>
    </row>
    <row r="146" spans="1:20" x14ac:dyDescent="0.2">
      <c r="A146" s="95" t="s">
        <v>65</v>
      </c>
      <c r="B146" s="95" t="s">
        <v>66</v>
      </c>
      <c r="C146" s="95" t="s">
        <v>85</v>
      </c>
      <c r="D146" s="95" t="s">
        <v>81</v>
      </c>
      <c r="F146" s="95">
        <v>1.5</v>
      </c>
      <c r="G146" s="95">
        <v>5.78</v>
      </c>
      <c r="I146" s="95">
        <v>0.65187499999999998</v>
      </c>
      <c r="P146" s="95">
        <v>2023</v>
      </c>
      <c r="Q146" s="95" t="s">
        <v>191</v>
      </c>
      <c r="R146" s="95" t="s">
        <v>208</v>
      </c>
      <c r="S146" s="95" t="s">
        <v>99</v>
      </c>
      <c r="T146" s="95" t="s">
        <v>209</v>
      </c>
    </row>
    <row r="147" spans="1:20" x14ac:dyDescent="0.2">
      <c r="A147" s="95" t="s">
        <v>65</v>
      </c>
      <c r="B147" s="95" t="s">
        <v>66</v>
      </c>
      <c r="C147" s="95" t="s">
        <v>86</v>
      </c>
      <c r="D147" s="95" t="s">
        <v>68</v>
      </c>
      <c r="F147" s="95">
        <v>2</v>
      </c>
      <c r="G147" s="95">
        <v>10</v>
      </c>
      <c r="I147" s="95">
        <v>1.89</v>
      </c>
      <c r="P147" s="95">
        <v>2023</v>
      </c>
      <c r="Q147" s="95" t="s">
        <v>210</v>
      </c>
      <c r="R147" s="95" t="s">
        <v>211</v>
      </c>
      <c r="S147" s="95" t="s">
        <v>99</v>
      </c>
      <c r="T147" s="95" t="s">
        <v>212</v>
      </c>
    </row>
    <row r="148" spans="1:20" x14ac:dyDescent="0.2">
      <c r="A148" s="95" t="s">
        <v>65</v>
      </c>
      <c r="B148" s="95" t="s">
        <v>66</v>
      </c>
      <c r="C148" s="95" t="s">
        <v>85</v>
      </c>
      <c r="D148" s="95" t="s">
        <v>81</v>
      </c>
      <c r="F148" s="95">
        <v>2</v>
      </c>
      <c r="G148" s="95">
        <v>7.7</v>
      </c>
      <c r="I148" s="95">
        <v>0.83218749999999997</v>
      </c>
      <c r="P148" s="95">
        <v>2023</v>
      </c>
      <c r="Q148" s="95" t="s">
        <v>191</v>
      </c>
      <c r="R148" s="95" t="s">
        <v>213</v>
      </c>
      <c r="S148" s="95" t="s">
        <v>99</v>
      </c>
      <c r="T148" s="95" t="s">
        <v>214</v>
      </c>
    </row>
    <row r="149" spans="1:20" x14ac:dyDescent="0.2">
      <c r="A149" s="95" t="s">
        <v>65</v>
      </c>
      <c r="B149" s="95" t="s">
        <v>66</v>
      </c>
      <c r="C149" s="95" t="s">
        <v>86</v>
      </c>
      <c r="D149" s="95" t="s">
        <v>68</v>
      </c>
      <c r="F149" s="95">
        <v>2</v>
      </c>
      <c r="G149" s="95">
        <v>10</v>
      </c>
      <c r="I149" s="95">
        <v>1.85625</v>
      </c>
      <c r="P149" s="95">
        <v>2023</v>
      </c>
      <c r="Q149" s="95" t="s">
        <v>176</v>
      </c>
      <c r="R149" s="95" t="s">
        <v>215</v>
      </c>
      <c r="S149" s="95" t="s">
        <v>99</v>
      </c>
      <c r="T149" s="95" t="s">
        <v>216</v>
      </c>
    </row>
    <row r="150" spans="1:20" x14ac:dyDescent="0.2">
      <c r="A150" s="95" t="s">
        <v>65</v>
      </c>
      <c r="B150" s="95" t="s">
        <v>66</v>
      </c>
      <c r="C150" s="95" t="s">
        <v>86</v>
      </c>
      <c r="D150" s="95" t="s">
        <v>68</v>
      </c>
      <c r="F150" s="95">
        <v>2</v>
      </c>
      <c r="G150" s="95">
        <v>10</v>
      </c>
      <c r="I150" s="95">
        <v>1.85625</v>
      </c>
      <c r="P150" s="95">
        <v>2023</v>
      </c>
      <c r="Q150" s="95" t="s">
        <v>217</v>
      </c>
      <c r="R150" s="95" t="s">
        <v>218</v>
      </c>
      <c r="S150" s="95" t="s">
        <v>99</v>
      </c>
      <c r="T150" s="95" t="s">
        <v>219</v>
      </c>
    </row>
    <row r="151" spans="1:20" x14ac:dyDescent="0.2">
      <c r="A151" s="95" t="s">
        <v>65</v>
      </c>
      <c r="B151" s="95" t="s">
        <v>66</v>
      </c>
      <c r="C151" s="95" t="s">
        <v>85</v>
      </c>
      <c r="D151" s="95" t="s">
        <v>81</v>
      </c>
      <c r="F151" s="95">
        <v>2</v>
      </c>
      <c r="G151" s="95">
        <v>10</v>
      </c>
      <c r="I151" s="95">
        <v>2.875</v>
      </c>
      <c r="P151" s="95">
        <v>2023</v>
      </c>
      <c r="Q151" s="95" t="s">
        <v>182</v>
      </c>
      <c r="R151" s="95" t="s">
        <v>220</v>
      </c>
      <c r="S151" s="95" t="s">
        <v>99</v>
      </c>
      <c r="T151" s="95" t="s">
        <v>221</v>
      </c>
    </row>
    <row r="152" spans="1:20" x14ac:dyDescent="0.2">
      <c r="A152" s="95" t="s">
        <v>65</v>
      </c>
      <c r="B152" s="95" t="s">
        <v>66</v>
      </c>
      <c r="C152" s="95" t="s">
        <v>86</v>
      </c>
      <c r="D152" s="95" t="s">
        <v>81</v>
      </c>
      <c r="F152" s="95">
        <v>2</v>
      </c>
      <c r="G152" s="95">
        <v>10</v>
      </c>
      <c r="I152" s="95">
        <v>5.2262500000000003</v>
      </c>
      <c r="P152" s="95">
        <v>2023</v>
      </c>
      <c r="Q152" s="95" t="s">
        <v>199</v>
      </c>
      <c r="R152" s="95" t="s">
        <v>222</v>
      </c>
      <c r="S152" s="95" t="s">
        <v>99</v>
      </c>
      <c r="T152" s="95" t="s">
        <v>223</v>
      </c>
    </row>
    <row r="153" spans="1:20" x14ac:dyDescent="0.2">
      <c r="A153" s="95" t="s">
        <v>65</v>
      </c>
      <c r="B153" s="95" t="s">
        <v>66</v>
      </c>
      <c r="C153" s="95" t="s">
        <v>86</v>
      </c>
      <c r="D153" s="95" t="s">
        <v>81</v>
      </c>
      <c r="F153" s="95">
        <v>2</v>
      </c>
      <c r="G153" s="95">
        <v>10</v>
      </c>
      <c r="I153" s="95">
        <v>4.9924999999999997</v>
      </c>
      <c r="P153" s="95">
        <v>2023</v>
      </c>
      <c r="Q153" s="95" t="s">
        <v>199</v>
      </c>
      <c r="R153" s="95" t="s">
        <v>224</v>
      </c>
      <c r="S153" s="95" t="s">
        <v>99</v>
      </c>
      <c r="T153" s="95" t="s">
        <v>225</v>
      </c>
    </row>
    <row r="154" spans="1:20" x14ac:dyDescent="0.2">
      <c r="A154" s="95" t="s">
        <v>65</v>
      </c>
      <c r="B154" s="95" t="s">
        <v>66</v>
      </c>
      <c r="C154" s="95" t="s">
        <v>86</v>
      </c>
      <c r="D154" s="95" t="s">
        <v>81</v>
      </c>
      <c r="F154" s="95">
        <v>2</v>
      </c>
      <c r="G154" s="95">
        <v>10</v>
      </c>
      <c r="I154" s="95">
        <v>5.15625</v>
      </c>
      <c r="P154" s="95">
        <v>2023</v>
      </c>
      <c r="Q154" s="95" t="s">
        <v>199</v>
      </c>
      <c r="R154" s="95" t="s">
        <v>226</v>
      </c>
      <c r="S154" s="95" t="s">
        <v>99</v>
      </c>
      <c r="T154" s="95" t="s">
        <v>227</v>
      </c>
    </row>
    <row r="155" spans="1:20" x14ac:dyDescent="0.2">
      <c r="A155" s="95" t="s">
        <v>65</v>
      </c>
      <c r="B155" s="95" t="s">
        <v>66</v>
      </c>
      <c r="C155" s="95" t="s">
        <v>85</v>
      </c>
      <c r="D155" s="95" t="s">
        <v>68</v>
      </c>
      <c r="F155" s="95">
        <v>2.38</v>
      </c>
      <c r="G155" s="95">
        <v>10</v>
      </c>
      <c r="I155" s="95">
        <v>2.5821874999999999</v>
      </c>
      <c r="P155" s="95">
        <v>2023</v>
      </c>
      <c r="Q155" s="95" t="s">
        <v>228</v>
      </c>
      <c r="R155" s="95" t="s">
        <v>229</v>
      </c>
      <c r="S155" s="95" t="s">
        <v>99</v>
      </c>
      <c r="T155" s="95" t="s">
        <v>230</v>
      </c>
    </row>
    <row r="156" spans="1:20" x14ac:dyDescent="0.2">
      <c r="A156" s="95" t="s">
        <v>73</v>
      </c>
      <c r="B156" s="95" t="s">
        <v>66</v>
      </c>
      <c r="C156" s="95" t="s">
        <v>91</v>
      </c>
      <c r="D156" s="95" t="s">
        <v>68</v>
      </c>
      <c r="F156" s="95">
        <v>2</v>
      </c>
      <c r="G156" s="95">
        <v>8.4</v>
      </c>
      <c r="I156" s="95">
        <v>3.6652473958333331</v>
      </c>
      <c r="P156" s="95">
        <v>2023</v>
      </c>
      <c r="Q156" s="95" t="s">
        <v>176</v>
      </c>
      <c r="R156" s="95" t="s">
        <v>285</v>
      </c>
      <c r="S156" s="95" t="s">
        <v>99</v>
      </c>
      <c r="T156" s="95" t="s">
        <v>286</v>
      </c>
    </row>
    <row r="157" spans="1:20" x14ac:dyDescent="0.2">
      <c r="A157" s="95" t="s">
        <v>73</v>
      </c>
      <c r="B157" s="95" t="s">
        <v>66</v>
      </c>
      <c r="C157" s="95" t="s">
        <v>287</v>
      </c>
      <c r="D157" s="95" t="s">
        <v>68</v>
      </c>
      <c r="I157" s="95">
        <v>1.1765886287625418</v>
      </c>
      <c r="P157" s="95">
        <v>2023</v>
      </c>
      <c r="Q157" s="95" t="s">
        <v>288</v>
      </c>
      <c r="R157" s="95" t="s">
        <v>289</v>
      </c>
      <c r="S157" s="95" t="s">
        <v>99</v>
      </c>
      <c r="T157" s="95" t="s">
        <v>290</v>
      </c>
    </row>
    <row r="158" spans="1:20" x14ac:dyDescent="0.2">
      <c r="A158" s="95" t="s">
        <v>73</v>
      </c>
      <c r="B158" s="95" t="s">
        <v>66</v>
      </c>
      <c r="C158" s="95" t="s">
        <v>291</v>
      </c>
      <c r="D158" s="95" t="s">
        <v>68</v>
      </c>
      <c r="F158" s="95">
        <v>3.5</v>
      </c>
      <c r="G158" s="95">
        <v>13</v>
      </c>
      <c r="I158" s="95">
        <v>1.3846938775510202</v>
      </c>
      <c r="P158" s="95">
        <v>2023</v>
      </c>
      <c r="Q158" s="95" t="s">
        <v>292</v>
      </c>
      <c r="R158" s="95" t="s">
        <v>293</v>
      </c>
      <c r="S158" s="95" t="s">
        <v>99</v>
      </c>
      <c r="T158" s="95" t="s">
        <v>102</v>
      </c>
    </row>
    <row r="159" spans="1:20" x14ac:dyDescent="0.2">
      <c r="A159" s="95" t="s">
        <v>73</v>
      </c>
      <c r="B159" s="95" t="s">
        <v>66</v>
      </c>
      <c r="C159" s="95" t="s">
        <v>291</v>
      </c>
      <c r="D159" s="95" t="s">
        <v>68</v>
      </c>
      <c r="F159" s="95">
        <v>3.5</v>
      </c>
      <c r="G159" s="95">
        <v>15</v>
      </c>
      <c r="I159" s="95">
        <v>1.5803571428571428</v>
      </c>
      <c r="P159" s="95">
        <v>2023</v>
      </c>
      <c r="Q159" s="95" t="s">
        <v>292</v>
      </c>
      <c r="R159" s="95" t="s">
        <v>294</v>
      </c>
      <c r="S159" s="95" t="s">
        <v>99</v>
      </c>
      <c r="T159" s="95" t="s">
        <v>106</v>
      </c>
    </row>
    <row r="160" spans="1:20" x14ac:dyDescent="0.2">
      <c r="A160" s="95" t="s">
        <v>73</v>
      </c>
      <c r="B160" s="95" t="s">
        <v>66</v>
      </c>
      <c r="C160" s="95" t="s">
        <v>295</v>
      </c>
      <c r="D160" s="95" t="s">
        <v>68</v>
      </c>
      <c r="F160" s="95">
        <v>3.5</v>
      </c>
      <c r="G160" s="95">
        <v>15</v>
      </c>
      <c r="I160" s="95">
        <v>1.3144053601340033</v>
      </c>
      <c r="P160" s="95">
        <v>2023</v>
      </c>
      <c r="Q160" s="95" t="s">
        <v>296</v>
      </c>
      <c r="R160" s="95" t="s">
        <v>297</v>
      </c>
      <c r="S160" s="95" t="s">
        <v>99</v>
      </c>
      <c r="T160" s="95" t="s">
        <v>110</v>
      </c>
    </row>
    <row r="161" spans="1:20" x14ac:dyDescent="0.2">
      <c r="A161" s="95" t="s">
        <v>73</v>
      </c>
      <c r="B161" s="95" t="s">
        <v>66</v>
      </c>
      <c r="C161" s="95" t="s">
        <v>291</v>
      </c>
      <c r="D161" s="95" t="s">
        <v>68</v>
      </c>
      <c r="F161" s="95">
        <v>7.125</v>
      </c>
      <c r="G161" s="95">
        <v>30</v>
      </c>
      <c r="I161" s="95">
        <v>3.7503401360544215</v>
      </c>
      <c r="P161" s="95">
        <v>2023</v>
      </c>
      <c r="Q161" s="95" t="s">
        <v>298</v>
      </c>
      <c r="R161" s="95" t="s">
        <v>299</v>
      </c>
      <c r="S161" s="95" t="s">
        <v>99</v>
      </c>
      <c r="T161" s="95" t="s">
        <v>117</v>
      </c>
    </row>
    <row r="162" spans="1:20" x14ac:dyDescent="0.2">
      <c r="A162" s="95" t="s">
        <v>73</v>
      </c>
      <c r="B162" s="95" t="s">
        <v>66</v>
      </c>
      <c r="C162" s="95" t="s">
        <v>291</v>
      </c>
      <c r="D162" s="95" t="s">
        <v>68</v>
      </c>
      <c r="F162" s="95">
        <v>5.5</v>
      </c>
      <c r="G162" s="95">
        <v>23</v>
      </c>
      <c r="I162" s="95">
        <v>2.0020483613109512</v>
      </c>
      <c r="P162" s="95">
        <v>2023</v>
      </c>
      <c r="Q162" s="95" t="s">
        <v>300</v>
      </c>
      <c r="R162" s="95" t="s">
        <v>301</v>
      </c>
      <c r="S162" s="95" t="s">
        <v>99</v>
      </c>
      <c r="T162" s="95" t="s">
        <v>302</v>
      </c>
    </row>
    <row r="163" spans="1:20" x14ac:dyDescent="0.2">
      <c r="A163" s="95" t="s">
        <v>73</v>
      </c>
      <c r="B163" s="95" t="s">
        <v>66</v>
      </c>
      <c r="C163" s="95" t="s">
        <v>291</v>
      </c>
      <c r="D163" s="95" t="s">
        <v>68</v>
      </c>
      <c r="F163" s="95">
        <v>7.125</v>
      </c>
      <c r="G163" s="95">
        <v>30</v>
      </c>
      <c r="I163" s="95">
        <v>3.3362777777777777</v>
      </c>
      <c r="P163" s="95">
        <v>2023</v>
      </c>
      <c r="Q163" s="95" t="s">
        <v>298</v>
      </c>
      <c r="R163" s="95" t="s">
        <v>303</v>
      </c>
      <c r="S163" s="95" t="s">
        <v>99</v>
      </c>
      <c r="T163" s="95" t="s">
        <v>123</v>
      </c>
    </row>
    <row r="164" spans="1:20" x14ac:dyDescent="0.2">
      <c r="A164" s="95" t="s">
        <v>73</v>
      </c>
      <c r="B164" s="95" t="s">
        <v>66</v>
      </c>
      <c r="C164" s="95" t="s">
        <v>291</v>
      </c>
      <c r="D164" s="95" t="s">
        <v>68</v>
      </c>
      <c r="F164" s="95">
        <v>5.5</v>
      </c>
      <c r="G164" s="95">
        <v>21</v>
      </c>
      <c r="I164" s="95">
        <v>2.6538701622971286</v>
      </c>
      <c r="P164" s="95">
        <v>2023</v>
      </c>
      <c r="Q164" s="95" t="s">
        <v>304</v>
      </c>
      <c r="R164" s="95" t="s">
        <v>305</v>
      </c>
      <c r="S164" s="95" t="s">
        <v>99</v>
      </c>
      <c r="T164" s="95" t="s">
        <v>119</v>
      </c>
    </row>
    <row r="165" spans="1:20" x14ac:dyDescent="0.2">
      <c r="A165" s="95" t="s">
        <v>73</v>
      </c>
      <c r="B165" s="95" t="s">
        <v>66</v>
      </c>
      <c r="C165" s="95" t="s">
        <v>291</v>
      </c>
      <c r="D165" s="95" t="s">
        <v>68</v>
      </c>
      <c r="F165" s="95">
        <v>5.5</v>
      </c>
      <c r="G165" s="95">
        <v>21</v>
      </c>
      <c r="I165" s="95">
        <v>2.6630356349911191</v>
      </c>
      <c r="P165" s="95">
        <v>2023</v>
      </c>
      <c r="Q165" s="95" t="s">
        <v>300</v>
      </c>
      <c r="R165" s="95" t="s">
        <v>306</v>
      </c>
      <c r="S165" s="95" t="s">
        <v>99</v>
      </c>
      <c r="T165" s="95" t="s">
        <v>139</v>
      </c>
    </row>
    <row r="166" spans="1:20" x14ac:dyDescent="0.2">
      <c r="A166" s="95" t="s">
        <v>73</v>
      </c>
      <c r="B166" s="95" t="s">
        <v>66</v>
      </c>
      <c r="C166" s="95" t="s">
        <v>291</v>
      </c>
      <c r="D166" s="95" t="s">
        <v>68</v>
      </c>
      <c r="F166" s="95">
        <v>3.5</v>
      </c>
      <c r="G166" s="95">
        <v>13</v>
      </c>
      <c r="I166" s="95">
        <v>1.4539939227439227</v>
      </c>
      <c r="P166" s="95">
        <v>2023</v>
      </c>
      <c r="Q166" s="95" t="s">
        <v>300</v>
      </c>
      <c r="R166" s="95" t="s">
        <v>307</v>
      </c>
      <c r="S166" s="95" t="s">
        <v>99</v>
      </c>
      <c r="T166" s="95" t="s">
        <v>146</v>
      </c>
    </row>
  </sheetData>
  <hyperlinks>
    <hyperlink ref="A1" location="'Table of Contents'!A1" display="Table of Contents" xr:uid="{EE6EBC6C-21CA-41EB-9349-944AAD7A81EF}"/>
  </hyperlink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D6B1-84CB-4FE5-A453-FB1C2885C332}">
  <dimension ref="A1:T158"/>
  <sheetViews>
    <sheetView workbookViewId="0">
      <selection activeCell="A3" sqref="A3"/>
    </sheetView>
  </sheetViews>
  <sheetFormatPr baseColWidth="10" defaultColWidth="8.5" defaultRowHeight="15" x14ac:dyDescent="0.2"/>
  <cols>
    <col min="1" max="1" width="14.5" style="95" customWidth="1"/>
    <col min="2" max="2" width="13" style="95" customWidth="1"/>
    <col min="3" max="3" width="10.5" style="95" customWidth="1"/>
    <col min="4" max="4" width="8.5" style="95"/>
    <col min="5" max="5" width="12.5" style="95" customWidth="1"/>
    <col min="6" max="6" width="15.5" style="95" customWidth="1"/>
    <col min="7" max="7" width="9.5" style="95" customWidth="1"/>
    <col min="8" max="9" width="17.5" style="95" customWidth="1"/>
    <col min="10" max="10" width="19.5" style="95" customWidth="1"/>
    <col min="11" max="11" width="13.5" style="95" customWidth="1"/>
    <col min="12" max="12" width="25.5" style="95" customWidth="1"/>
    <col min="13" max="14" width="21.5" style="95" customWidth="1"/>
    <col min="15" max="15" width="10.5" style="95" customWidth="1"/>
    <col min="16" max="17" width="8.5" style="95"/>
    <col min="18" max="18" width="14.5" style="95" customWidth="1"/>
    <col min="19" max="19" width="8.5" style="95"/>
    <col min="20" max="20" width="13.5" style="95" customWidth="1"/>
    <col min="21" max="16384" width="8.5" style="95"/>
  </cols>
  <sheetData>
    <row r="1" spans="1:20" customFormat="1" x14ac:dyDescent="0.2">
      <c r="A1" s="4" t="s">
        <v>21</v>
      </c>
      <c r="K1" s="39"/>
      <c r="L1" s="39"/>
    </row>
    <row r="2" spans="1:20" customFormat="1" ht="19" x14ac:dyDescent="0.25">
      <c r="A2" s="24" t="s">
        <v>22</v>
      </c>
      <c r="K2" s="39"/>
      <c r="L2" s="39"/>
    </row>
    <row r="3" spans="1:20" s="96" customFormat="1" x14ac:dyDescent="0.2">
      <c r="A3" s="96" t="s">
        <v>25</v>
      </c>
      <c r="B3" s="96" t="s">
        <v>26</v>
      </c>
      <c r="C3" s="96" t="s">
        <v>27</v>
      </c>
      <c r="D3" s="96" t="s">
        <v>28</v>
      </c>
      <c r="E3" s="96" t="s">
        <v>29</v>
      </c>
      <c r="F3" s="96" t="s">
        <v>30</v>
      </c>
      <c r="G3" s="96" t="s">
        <v>31</v>
      </c>
      <c r="H3" s="96" t="s">
        <v>32</v>
      </c>
      <c r="I3" s="96" t="s">
        <v>33</v>
      </c>
      <c r="J3" s="96" t="s">
        <v>34</v>
      </c>
      <c r="K3" s="96" t="s">
        <v>35</v>
      </c>
      <c r="L3" s="96" t="s">
        <v>36</v>
      </c>
      <c r="M3" s="96" t="s">
        <v>37</v>
      </c>
      <c r="N3" s="96" t="s">
        <v>38</v>
      </c>
      <c r="O3" s="96" t="s">
        <v>39</v>
      </c>
      <c r="P3" s="96" t="s">
        <v>40</v>
      </c>
      <c r="Q3" s="96" t="s">
        <v>41</v>
      </c>
      <c r="R3" s="96" t="s">
        <v>42</v>
      </c>
      <c r="S3" s="96" t="s">
        <v>43</v>
      </c>
      <c r="T3" s="96" t="s">
        <v>44</v>
      </c>
    </row>
    <row r="4" spans="1:20" x14ac:dyDescent="0.2">
      <c r="A4" s="95" t="s">
        <v>65</v>
      </c>
      <c r="B4" s="95" t="s">
        <v>66</v>
      </c>
      <c r="C4" s="95" t="s">
        <v>67</v>
      </c>
      <c r="D4" s="95" t="s">
        <v>68</v>
      </c>
      <c r="E4" s="95" t="s">
        <v>68</v>
      </c>
      <c r="F4" s="95">
        <v>1</v>
      </c>
      <c r="G4" s="95">
        <v>4.0999999999999996</v>
      </c>
      <c r="I4" s="95">
        <v>0.42</v>
      </c>
      <c r="J4" s="95">
        <v>8.0000000000000002E-3</v>
      </c>
      <c r="K4" s="95">
        <v>0.31</v>
      </c>
      <c r="L4" s="95">
        <v>0.96</v>
      </c>
      <c r="O4" s="95">
        <v>999</v>
      </c>
      <c r="P4" s="95">
        <v>2023</v>
      </c>
      <c r="R4" s="95" t="s">
        <v>69</v>
      </c>
      <c r="S4" s="95" t="s">
        <v>70</v>
      </c>
    </row>
    <row r="5" spans="1:20" x14ac:dyDescent="0.2">
      <c r="A5" s="95" t="s">
        <v>65</v>
      </c>
      <c r="B5" s="95" t="s">
        <v>66</v>
      </c>
      <c r="C5" s="95" t="s">
        <v>67</v>
      </c>
      <c r="D5" s="95" t="s">
        <v>68</v>
      </c>
      <c r="E5" s="95" t="s">
        <v>68</v>
      </c>
      <c r="F5" s="95">
        <v>1.5</v>
      </c>
      <c r="G5" s="95">
        <v>6.2</v>
      </c>
      <c r="I5" s="95">
        <v>1.32</v>
      </c>
      <c r="J5" s="95">
        <v>8.0000000000000002E-3</v>
      </c>
      <c r="K5" s="95">
        <v>0.31</v>
      </c>
      <c r="L5" s="95">
        <v>1.95</v>
      </c>
      <c r="O5" s="95">
        <v>999</v>
      </c>
      <c r="P5" s="95">
        <v>2023</v>
      </c>
      <c r="R5" s="95" t="s">
        <v>69</v>
      </c>
      <c r="S5" s="95" t="s">
        <v>70</v>
      </c>
    </row>
    <row r="6" spans="1:20" x14ac:dyDescent="0.2">
      <c r="A6" s="95" t="s">
        <v>65</v>
      </c>
      <c r="B6" s="95" t="s">
        <v>66</v>
      </c>
      <c r="C6" s="95" t="s">
        <v>67</v>
      </c>
      <c r="D6" s="95" t="s">
        <v>68</v>
      </c>
      <c r="E6" s="95" t="s">
        <v>68</v>
      </c>
      <c r="F6" s="95">
        <v>2</v>
      </c>
      <c r="G6" s="95">
        <v>8.3000000000000007</v>
      </c>
      <c r="I6" s="95">
        <v>0.67</v>
      </c>
      <c r="J6" s="95">
        <v>8.0000000000000002E-3</v>
      </c>
      <c r="K6" s="95">
        <v>0.31</v>
      </c>
      <c r="L6" s="95">
        <v>1.24</v>
      </c>
      <c r="O6" s="95">
        <v>999</v>
      </c>
      <c r="P6" s="95">
        <v>2023</v>
      </c>
      <c r="R6" s="95" t="s">
        <v>69</v>
      </c>
      <c r="S6" s="95" t="s">
        <v>70</v>
      </c>
    </row>
    <row r="7" spans="1:20" x14ac:dyDescent="0.2">
      <c r="A7" s="95" t="s">
        <v>65</v>
      </c>
      <c r="B7" s="95" t="s">
        <v>66</v>
      </c>
      <c r="C7" s="95" t="s">
        <v>67</v>
      </c>
      <c r="D7" s="95" t="s">
        <v>68</v>
      </c>
      <c r="E7" s="95" t="s">
        <v>68</v>
      </c>
      <c r="F7" s="95">
        <v>3</v>
      </c>
      <c r="G7" s="95">
        <v>12.4</v>
      </c>
      <c r="I7" s="95">
        <v>0.89</v>
      </c>
      <c r="J7" s="95">
        <v>0.01</v>
      </c>
      <c r="K7" s="95">
        <v>0.39</v>
      </c>
      <c r="L7" s="95">
        <v>1.61</v>
      </c>
      <c r="O7" s="95">
        <v>999</v>
      </c>
      <c r="P7" s="95">
        <v>2023</v>
      </c>
      <c r="R7" s="95" t="s">
        <v>69</v>
      </c>
      <c r="S7" s="95" t="s">
        <v>70</v>
      </c>
    </row>
    <row r="8" spans="1:20" x14ac:dyDescent="0.2">
      <c r="A8" s="95" t="s">
        <v>65</v>
      </c>
      <c r="B8" s="95" t="s">
        <v>66</v>
      </c>
      <c r="C8" s="95" t="s">
        <v>67</v>
      </c>
      <c r="D8" s="95" t="s">
        <v>68</v>
      </c>
      <c r="E8" s="95" t="s">
        <v>68</v>
      </c>
      <c r="F8" s="95">
        <v>1</v>
      </c>
      <c r="G8" s="95">
        <v>4.3</v>
      </c>
      <c r="I8" s="95">
        <v>0.87</v>
      </c>
      <c r="J8" s="95">
        <v>8.0000000000000002E-3</v>
      </c>
      <c r="K8" s="95">
        <v>0.31</v>
      </c>
      <c r="L8" s="95">
        <v>1.46</v>
      </c>
      <c r="O8" s="95">
        <v>999</v>
      </c>
      <c r="P8" s="95">
        <v>2023</v>
      </c>
      <c r="R8" s="95" t="s">
        <v>69</v>
      </c>
      <c r="S8" s="95" t="s">
        <v>70</v>
      </c>
    </row>
    <row r="9" spans="1:20" x14ac:dyDescent="0.2">
      <c r="A9" s="95" t="s">
        <v>65</v>
      </c>
      <c r="B9" s="95" t="s">
        <v>66</v>
      </c>
      <c r="C9" s="95" t="s">
        <v>67</v>
      </c>
      <c r="D9" s="95" t="s">
        <v>68</v>
      </c>
      <c r="E9" s="95" t="s">
        <v>68</v>
      </c>
      <c r="F9" s="95">
        <v>2</v>
      </c>
      <c r="G9" s="95">
        <v>8.6999999999999993</v>
      </c>
      <c r="I9" s="95">
        <v>1.78</v>
      </c>
      <c r="J9" s="95">
        <v>8.9999999999999993E-3</v>
      </c>
      <c r="K9" s="95">
        <v>0.35</v>
      </c>
      <c r="L9" s="95">
        <v>2.5299999999999998</v>
      </c>
      <c r="O9" s="95">
        <v>999</v>
      </c>
      <c r="P9" s="95">
        <v>2023</v>
      </c>
      <c r="R9" s="95" t="s">
        <v>69</v>
      </c>
      <c r="S9" s="95" t="s">
        <v>70</v>
      </c>
    </row>
    <row r="10" spans="1:20" x14ac:dyDescent="0.2">
      <c r="A10" s="95" t="s">
        <v>65</v>
      </c>
      <c r="B10" s="95" t="s">
        <v>66</v>
      </c>
      <c r="C10" s="95" t="s">
        <v>67</v>
      </c>
      <c r="D10" s="95" t="s">
        <v>68</v>
      </c>
      <c r="E10" s="95" t="s">
        <v>68</v>
      </c>
      <c r="F10" s="95">
        <v>2.5</v>
      </c>
      <c r="G10" s="95">
        <v>10.9</v>
      </c>
      <c r="I10" s="95">
        <v>1.57</v>
      </c>
      <c r="J10" s="95">
        <v>0.01</v>
      </c>
      <c r="K10" s="95">
        <v>0.39</v>
      </c>
      <c r="L10" s="95">
        <v>2.36</v>
      </c>
      <c r="O10" s="95">
        <v>999</v>
      </c>
      <c r="P10" s="95">
        <v>2023</v>
      </c>
      <c r="R10" s="95" t="s">
        <v>69</v>
      </c>
      <c r="S10" s="95" t="s">
        <v>70</v>
      </c>
    </row>
    <row r="11" spans="1:20" x14ac:dyDescent="0.2">
      <c r="A11" s="95" t="s">
        <v>65</v>
      </c>
      <c r="B11" s="95" t="s">
        <v>66</v>
      </c>
      <c r="C11" s="95" t="s">
        <v>67</v>
      </c>
      <c r="D11" s="95" t="s">
        <v>68</v>
      </c>
      <c r="E11" s="95" t="s">
        <v>68</v>
      </c>
      <c r="F11" s="95">
        <v>3</v>
      </c>
      <c r="G11" s="95">
        <v>13</v>
      </c>
      <c r="I11" s="95">
        <v>0.59</v>
      </c>
      <c r="J11" s="95">
        <v>0.01</v>
      </c>
      <c r="K11" s="95">
        <v>0.39</v>
      </c>
      <c r="L11" s="95">
        <v>1.28</v>
      </c>
      <c r="O11" s="95">
        <v>999</v>
      </c>
      <c r="P11" s="95">
        <v>2023</v>
      </c>
      <c r="R11" s="95" t="s">
        <v>69</v>
      </c>
      <c r="S11" s="95" t="s">
        <v>70</v>
      </c>
    </row>
    <row r="12" spans="1:20" x14ac:dyDescent="0.2">
      <c r="A12" s="95" t="s">
        <v>65</v>
      </c>
      <c r="B12" s="95" t="s">
        <v>66</v>
      </c>
      <c r="C12" s="95" t="s">
        <v>67</v>
      </c>
      <c r="D12" s="95" t="s">
        <v>81</v>
      </c>
      <c r="E12" s="95" t="s">
        <v>82</v>
      </c>
      <c r="F12" s="95">
        <v>0.5</v>
      </c>
      <c r="G12" s="95">
        <v>4.3</v>
      </c>
      <c r="I12" s="95">
        <v>1.21</v>
      </c>
      <c r="J12" s="95">
        <v>8.0000000000000002E-3</v>
      </c>
      <c r="K12" s="95">
        <v>0.31</v>
      </c>
      <c r="L12" s="95">
        <v>1.83</v>
      </c>
      <c r="O12" s="95">
        <v>999</v>
      </c>
      <c r="P12" s="95">
        <v>2023</v>
      </c>
      <c r="R12" s="95" t="s">
        <v>69</v>
      </c>
      <c r="S12" s="95" t="s">
        <v>70</v>
      </c>
    </row>
    <row r="13" spans="1:20" x14ac:dyDescent="0.2">
      <c r="A13" s="95" t="s">
        <v>65</v>
      </c>
      <c r="B13" s="95" t="s">
        <v>66</v>
      </c>
      <c r="C13" s="95" t="s">
        <v>67</v>
      </c>
      <c r="D13" s="95" t="s">
        <v>81</v>
      </c>
      <c r="E13" s="95" t="s">
        <v>82</v>
      </c>
      <c r="F13" s="95">
        <v>0.625</v>
      </c>
      <c r="G13" s="95">
        <v>6.5</v>
      </c>
      <c r="I13" s="95">
        <v>1.68</v>
      </c>
      <c r="J13" s="95">
        <v>8.0000000000000002E-3</v>
      </c>
      <c r="K13" s="95">
        <v>0.31</v>
      </c>
      <c r="L13" s="95">
        <v>2.35</v>
      </c>
      <c r="O13" s="95">
        <v>999</v>
      </c>
      <c r="P13" s="95">
        <v>2023</v>
      </c>
      <c r="R13" s="95" t="s">
        <v>69</v>
      </c>
      <c r="S13" s="95" t="s">
        <v>70</v>
      </c>
    </row>
    <row r="14" spans="1:20" x14ac:dyDescent="0.2">
      <c r="A14" s="95" t="s">
        <v>65</v>
      </c>
      <c r="B14" s="95" t="s">
        <v>66</v>
      </c>
      <c r="C14" s="95" t="s">
        <v>67</v>
      </c>
      <c r="D14" s="95" t="s">
        <v>81</v>
      </c>
      <c r="E14" s="95" t="s">
        <v>82</v>
      </c>
      <c r="F14" s="95">
        <v>0.75</v>
      </c>
      <c r="G14" s="95">
        <v>8.6999999999999993</v>
      </c>
      <c r="I14" s="95">
        <v>2.27</v>
      </c>
      <c r="J14" s="95">
        <v>8.9999999999999993E-3</v>
      </c>
      <c r="K14" s="95">
        <v>0.35</v>
      </c>
      <c r="L14" s="95">
        <v>3.07</v>
      </c>
      <c r="O14" s="95">
        <v>999</v>
      </c>
      <c r="P14" s="95">
        <v>2023</v>
      </c>
      <c r="R14" s="95" t="s">
        <v>69</v>
      </c>
      <c r="S14" s="95" t="s">
        <v>70</v>
      </c>
    </row>
    <row r="15" spans="1:20" x14ac:dyDescent="0.2">
      <c r="A15" s="95" t="s">
        <v>65</v>
      </c>
      <c r="B15" s="95" t="s">
        <v>66</v>
      </c>
      <c r="C15" s="95" t="s">
        <v>67</v>
      </c>
      <c r="D15" s="95" t="s">
        <v>81</v>
      </c>
      <c r="E15" s="95" t="s">
        <v>82</v>
      </c>
      <c r="F15" s="95">
        <v>1</v>
      </c>
      <c r="G15" s="95">
        <v>10.9</v>
      </c>
      <c r="I15" s="95">
        <v>2.64</v>
      </c>
      <c r="J15" s="95">
        <v>0.01</v>
      </c>
      <c r="K15" s="95">
        <v>0.39</v>
      </c>
      <c r="L15" s="95">
        <v>3.53</v>
      </c>
      <c r="O15" s="95">
        <v>999</v>
      </c>
      <c r="P15" s="95">
        <v>2023</v>
      </c>
      <c r="R15" s="95" t="s">
        <v>69</v>
      </c>
      <c r="S15" s="95" t="s">
        <v>70</v>
      </c>
    </row>
    <row r="16" spans="1:20" x14ac:dyDescent="0.2">
      <c r="A16" s="95" t="s">
        <v>65</v>
      </c>
      <c r="B16" s="95" t="s">
        <v>66</v>
      </c>
      <c r="C16" s="95" t="s">
        <v>67</v>
      </c>
      <c r="D16" s="95" t="s">
        <v>81</v>
      </c>
      <c r="E16" s="95" t="s">
        <v>82</v>
      </c>
      <c r="F16" s="95">
        <v>1.5</v>
      </c>
      <c r="G16" s="95">
        <v>13</v>
      </c>
      <c r="I16" s="95">
        <v>0.56999999999999995</v>
      </c>
      <c r="J16" s="95">
        <v>0.01</v>
      </c>
      <c r="K16" s="95">
        <v>0.39</v>
      </c>
      <c r="L16" s="95">
        <v>1.26</v>
      </c>
      <c r="O16" s="95">
        <v>999</v>
      </c>
      <c r="P16" s="95">
        <v>2023</v>
      </c>
      <c r="R16" s="95" t="s">
        <v>69</v>
      </c>
      <c r="S16" s="95" t="s">
        <v>70</v>
      </c>
    </row>
    <row r="17" spans="1:19" x14ac:dyDescent="0.2">
      <c r="A17" s="95" t="s">
        <v>65</v>
      </c>
      <c r="B17" s="95" t="s">
        <v>66</v>
      </c>
      <c r="C17" s="95" t="s">
        <v>84</v>
      </c>
      <c r="D17" s="95" t="s">
        <v>81</v>
      </c>
      <c r="E17" s="95" t="s">
        <v>82</v>
      </c>
      <c r="F17" s="95">
        <v>1</v>
      </c>
      <c r="G17" s="95">
        <v>2.77</v>
      </c>
      <c r="I17" s="95">
        <v>0.71</v>
      </c>
      <c r="J17" s="95">
        <v>0.01</v>
      </c>
      <c r="K17" s="95">
        <v>0.39</v>
      </c>
      <c r="L17" s="95">
        <v>1.41</v>
      </c>
      <c r="O17" s="95">
        <v>999</v>
      </c>
      <c r="P17" s="95">
        <v>2023</v>
      </c>
      <c r="R17" s="95" t="s">
        <v>69</v>
      </c>
      <c r="S17" s="95" t="s">
        <v>70</v>
      </c>
    </row>
    <row r="18" spans="1:19" x14ac:dyDescent="0.2">
      <c r="A18" s="95" t="s">
        <v>65</v>
      </c>
      <c r="B18" s="95" t="s">
        <v>66</v>
      </c>
      <c r="C18" s="95" t="s">
        <v>84</v>
      </c>
      <c r="D18" s="95" t="s">
        <v>81</v>
      </c>
      <c r="E18" s="95" t="s">
        <v>82</v>
      </c>
      <c r="F18" s="95">
        <v>2</v>
      </c>
      <c r="G18" s="95">
        <v>5.55</v>
      </c>
      <c r="I18" s="95">
        <v>1.26</v>
      </c>
      <c r="J18" s="95">
        <v>1.0999999999999999E-2</v>
      </c>
      <c r="K18" s="95">
        <v>0.42</v>
      </c>
      <c r="L18" s="95">
        <v>2.08</v>
      </c>
      <c r="O18" s="95">
        <v>999</v>
      </c>
      <c r="P18" s="95">
        <v>2023</v>
      </c>
      <c r="R18" s="95" t="s">
        <v>69</v>
      </c>
      <c r="S18" s="95" t="s">
        <v>70</v>
      </c>
    </row>
    <row r="19" spans="1:19" x14ac:dyDescent="0.2">
      <c r="A19" s="95" t="s">
        <v>65</v>
      </c>
      <c r="B19" s="95" t="s">
        <v>66</v>
      </c>
      <c r="C19" s="95" t="s">
        <v>84</v>
      </c>
      <c r="D19" s="95" t="s">
        <v>81</v>
      </c>
      <c r="E19" s="95" t="s">
        <v>82</v>
      </c>
      <c r="F19" s="95">
        <v>1</v>
      </c>
      <c r="G19" s="95">
        <v>5</v>
      </c>
      <c r="I19" s="95">
        <v>1.26</v>
      </c>
      <c r="J19" s="95">
        <v>0.01</v>
      </c>
      <c r="K19" s="95">
        <v>0.39</v>
      </c>
      <c r="L19" s="95">
        <v>2.02</v>
      </c>
      <c r="O19" s="95">
        <v>999</v>
      </c>
      <c r="P19" s="95">
        <v>2023</v>
      </c>
      <c r="R19" s="95" t="s">
        <v>69</v>
      </c>
      <c r="S19" s="95" t="s">
        <v>70</v>
      </c>
    </row>
    <row r="20" spans="1:19" x14ac:dyDescent="0.2">
      <c r="A20" s="95" t="s">
        <v>65</v>
      </c>
      <c r="B20" s="95" t="s">
        <v>66</v>
      </c>
      <c r="C20" s="95" t="s">
        <v>84</v>
      </c>
      <c r="D20" s="95" t="s">
        <v>81</v>
      </c>
      <c r="E20" s="95" t="s">
        <v>82</v>
      </c>
      <c r="F20" s="95">
        <v>2</v>
      </c>
      <c r="G20" s="95">
        <v>10</v>
      </c>
      <c r="I20" s="95">
        <v>1.91</v>
      </c>
      <c r="J20" s="95">
        <v>1.0999999999999999E-2</v>
      </c>
      <c r="K20" s="95">
        <v>0.42</v>
      </c>
      <c r="L20" s="95">
        <v>2.79</v>
      </c>
      <c r="O20" s="95">
        <v>999</v>
      </c>
      <c r="P20" s="95">
        <v>2023</v>
      </c>
      <c r="R20" s="95" t="s">
        <v>69</v>
      </c>
      <c r="S20" s="95" t="s">
        <v>70</v>
      </c>
    </row>
    <row r="21" spans="1:19" x14ac:dyDescent="0.2">
      <c r="A21" s="95" t="s">
        <v>65</v>
      </c>
      <c r="B21" s="95" t="s">
        <v>66</v>
      </c>
      <c r="C21" s="95" t="s">
        <v>84</v>
      </c>
      <c r="D21" s="95" t="s">
        <v>81</v>
      </c>
      <c r="E21" s="95" t="s">
        <v>82</v>
      </c>
      <c r="F21" s="95">
        <v>3</v>
      </c>
      <c r="G21" s="95">
        <v>15</v>
      </c>
      <c r="I21" s="95">
        <v>3.05</v>
      </c>
      <c r="J21" s="95">
        <v>1.0999999999999999E-2</v>
      </c>
      <c r="K21" s="95">
        <v>0.42</v>
      </c>
      <c r="L21" s="95">
        <v>4.05</v>
      </c>
      <c r="O21" s="95">
        <v>999</v>
      </c>
      <c r="P21" s="95">
        <v>2023</v>
      </c>
      <c r="R21" s="95" t="s">
        <v>69</v>
      </c>
      <c r="S21" s="95" t="s">
        <v>70</v>
      </c>
    </row>
    <row r="22" spans="1:19" x14ac:dyDescent="0.2">
      <c r="A22" s="95" t="s">
        <v>65</v>
      </c>
      <c r="B22" s="95" t="s">
        <v>66</v>
      </c>
      <c r="C22" s="95" t="s">
        <v>84</v>
      </c>
      <c r="D22" s="95" t="s">
        <v>81</v>
      </c>
      <c r="E22" s="95" t="s">
        <v>82</v>
      </c>
      <c r="F22" s="95">
        <v>1</v>
      </c>
      <c r="G22" s="95">
        <v>3.85</v>
      </c>
      <c r="I22" s="95">
        <v>0.34</v>
      </c>
      <c r="J22" s="95">
        <v>0.01</v>
      </c>
      <c r="K22" s="95">
        <v>0.39</v>
      </c>
      <c r="L22" s="95">
        <v>1</v>
      </c>
      <c r="O22" s="95">
        <v>999</v>
      </c>
      <c r="P22" s="95">
        <v>2023</v>
      </c>
      <c r="R22" s="95" t="s">
        <v>69</v>
      </c>
      <c r="S22" s="95" t="s">
        <v>70</v>
      </c>
    </row>
    <row r="23" spans="1:19" x14ac:dyDescent="0.2">
      <c r="A23" s="95" t="s">
        <v>65</v>
      </c>
      <c r="B23" s="95" t="s">
        <v>66</v>
      </c>
      <c r="C23" s="95" t="s">
        <v>84</v>
      </c>
      <c r="D23" s="95" t="s">
        <v>81</v>
      </c>
      <c r="E23" s="95" t="s">
        <v>82</v>
      </c>
      <c r="F23" s="95">
        <v>2</v>
      </c>
      <c r="G23" s="95">
        <v>7.69</v>
      </c>
      <c r="I23" s="95">
        <v>0.68</v>
      </c>
      <c r="J23" s="95">
        <v>1.0999999999999999E-2</v>
      </c>
      <c r="K23" s="95">
        <v>0.42</v>
      </c>
      <c r="L23" s="95">
        <v>1.44</v>
      </c>
      <c r="O23" s="95">
        <v>999</v>
      </c>
      <c r="P23" s="95">
        <v>2023</v>
      </c>
      <c r="R23" s="95" t="s">
        <v>69</v>
      </c>
      <c r="S23" s="95" t="s">
        <v>70</v>
      </c>
    </row>
    <row r="24" spans="1:19" x14ac:dyDescent="0.2">
      <c r="A24" s="95" t="s">
        <v>65</v>
      </c>
      <c r="B24" s="95" t="s">
        <v>66</v>
      </c>
      <c r="C24" s="95" t="s">
        <v>84</v>
      </c>
      <c r="D24" s="95" t="s">
        <v>81</v>
      </c>
      <c r="E24" s="95" t="s">
        <v>82</v>
      </c>
      <c r="F24" s="95">
        <v>3</v>
      </c>
      <c r="G24" s="95">
        <v>11.49</v>
      </c>
      <c r="I24" s="95">
        <v>1.02</v>
      </c>
      <c r="J24" s="95">
        <v>1.0999999999999999E-2</v>
      </c>
      <c r="K24" s="95">
        <v>0.42</v>
      </c>
      <c r="L24" s="95">
        <v>1.81</v>
      </c>
      <c r="O24" s="95">
        <v>999</v>
      </c>
      <c r="P24" s="95">
        <v>2023</v>
      </c>
      <c r="R24" s="95" t="s">
        <v>69</v>
      </c>
      <c r="S24" s="95" t="s">
        <v>70</v>
      </c>
    </row>
    <row r="25" spans="1:19" x14ac:dyDescent="0.2">
      <c r="A25" s="95" t="s">
        <v>65</v>
      </c>
      <c r="B25" s="95" t="s">
        <v>66</v>
      </c>
      <c r="C25" s="95" t="s">
        <v>85</v>
      </c>
      <c r="D25" s="95" t="s">
        <v>68</v>
      </c>
      <c r="E25" s="95" t="s">
        <v>68</v>
      </c>
      <c r="F25" s="95">
        <v>1</v>
      </c>
      <c r="G25" s="95">
        <v>4</v>
      </c>
      <c r="I25" s="95">
        <v>0.34</v>
      </c>
      <c r="J25" s="95">
        <v>1.2E-2</v>
      </c>
      <c r="K25" s="95">
        <v>0.45</v>
      </c>
      <c r="L25" s="95">
        <v>1.1100000000000001</v>
      </c>
      <c r="O25" s="95">
        <v>999</v>
      </c>
      <c r="P25" s="95">
        <v>2023</v>
      </c>
      <c r="R25" s="95" t="s">
        <v>69</v>
      </c>
      <c r="S25" s="95" t="s">
        <v>70</v>
      </c>
    </row>
    <row r="26" spans="1:19" x14ac:dyDescent="0.2">
      <c r="A26" s="95" t="s">
        <v>65</v>
      </c>
      <c r="B26" s="95" t="s">
        <v>66</v>
      </c>
      <c r="C26" s="95" t="s">
        <v>85</v>
      </c>
      <c r="D26" s="95" t="s">
        <v>68</v>
      </c>
      <c r="E26" s="95" t="s">
        <v>68</v>
      </c>
      <c r="F26" s="95">
        <v>2</v>
      </c>
      <c r="G26" s="95">
        <v>8</v>
      </c>
      <c r="I26" s="95">
        <v>0.68</v>
      </c>
      <c r="J26" s="95">
        <v>1.2E-2</v>
      </c>
      <c r="K26" s="95">
        <v>0.46</v>
      </c>
      <c r="L26" s="95">
        <v>1.5</v>
      </c>
      <c r="O26" s="95">
        <v>999</v>
      </c>
      <c r="P26" s="95">
        <v>2023</v>
      </c>
      <c r="R26" s="95" t="s">
        <v>69</v>
      </c>
      <c r="S26" s="95" t="s">
        <v>70</v>
      </c>
    </row>
    <row r="27" spans="1:19" x14ac:dyDescent="0.2">
      <c r="A27" s="95" t="s">
        <v>65</v>
      </c>
      <c r="B27" s="95" t="s">
        <v>66</v>
      </c>
      <c r="C27" s="95" t="s">
        <v>86</v>
      </c>
      <c r="D27" s="95" t="s">
        <v>68</v>
      </c>
      <c r="E27" s="95" t="s">
        <v>68</v>
      </c>
      <c r="F27" s="95">
        <v>1</v>
      </c>
      <c r="G27" s="95">
        <v>4</v>
      </c>
      <c r="I27" s="95">
        <v>0.34</v>
      </c>
      <c r="J27" s="95">
        <v>1.2E-2</v>
      </c>
      <c r="K27" s="95">
        <v>0.45</v>
      </c>
      <c r="L27" s="95">
        <v>1.1100000000000001</v>
      </c>
      <c r="O27" s="95">
        <v>999</v>
      </c>
      <c r="P27" s="95">
        <v>2023</v>
      </c>
      <c r="R27" s="95" t="s">
        <v>69</v>
      </c>
      <c r="S27" s="95" t="s">
        <v>70</v>
      </c>
    </row>
    <row r="28" spans="1:19" x14ac:dyDescent="0.2">
      <c r="A28" s="95" t="s">
        <v>65</v>
      </c>
      <c r="B28" s="95" t="s">
        <v>66</v>
      </c>
      <c r="C28" s="95" t="s">
        <v>86</v>
      </c>
      <c r="D28" s="95" t="s">
        <v>68</v>
      </c>
      <c r="E28" s="95" t="s">
        <v>68</v>
      </c>
      <c r="F28" s="95">
        <v>2</v>
      </c>
      <c r="G28" s="95">
        <v>8</v>
      </c>
      <c r="I28" s="95">
        <v>0.68</v>
      </c>
      <c r="J28" s="95">
        <v>1.2E-2</v>
      </c>
      <c r="K28" s="95">
        <v>0.46</v>
      </c>
      <c r="L28" s="95">
        <v>1.5</v>
      </c>
      <c r="O28" s="95">
        <v>999</v>
      </c>
      <c r="P28" s="95">
        <v>2023</v>
      </c>
      <c r="R28" s="95" t="s">
        <v>69</v>
      </c>
      <c r="S28" s="95" t="s">
        <v>70</v>
      </c>
    </row>
    <row r="29" spans="1:19" x14ac:dyDescent="0.2">
      <c r="A29" s="95" t="s">
        <v>73</v>
      </c>
      <c r="B29" s="95" t="s">
        <v>69</v>
      </c>
      <c r="C29" s="95" t="s">
        <v>67</v>
      </c>
      <c r="D29" s="95" t="s">
        <v>81</v>
      </c>
      <c r="E29" s="95" t="s">
        <v>89</v>
      </c>
      <c r="F29" s="95">
        <v>3.5</v>
      </c>
      <c r="G29" s="95">
        <v>11</v>
      </c>
      <c r="I29" s="95">
        <v>0.53</v>
      </c>
      <c r="J29" s="95">
        <v>6.0000000000000001E-3</v>
      </c>
      <c r="K29" s="95">
        <v>0.23</v>
      </c>
      <c r="L29" s="95">
        <v>0.95</v>
      </c>
      <c r="O29" s="95">
        <v>999</v>
      </c>
      <c r="P29" s="95">
        <v>2023</v>
      </c>
      <c r="R29" s="95" t="s">
        <v>69</v>
      </c>
      <c r="S29" s="95" t="s">
        <v>70</v>
      </c>
    </row>
    <row r="30" spans="1:19" x14ac:dyDescent="0.2">
      <c r="A30" s="95" t="s">
        <v>73</v>
      </c>
      <c r="B30" s="95" t="s">
        <v>69</v>
      </c>
      <c r="C30" s="95" t="s">
        <v>67</v>
      </c>
      <c r="D30" s="95" t="s">
        <v>81</v>
      </c>
      <c r="E30" s="95" t="s">
        <v>89</v>
      </c>
      <c r="F30" s="95">
        <v>3.5</v>
      </c>
      <c r="G30" s="95">
        <v>13</v>
      </c>
      <c r="I30" s="95">
        <v>0.85</v>
      </c>
      <c r="J30" s="95">
        <v>7.0000000000000001E-3</v>
      </c>
      <c r="K30" s="95">
        <v>0.27</v>
      </c>
      <c r="L30" s="95">
        <v>1.38</v>
      </c>
      <c r="O30" s="95">
        <v>999</v>
      </c>
      <c r="P30" s="95">
        <v>2023</v>
      </c>
      <c r="R30" s="95" t="s">
        <v>69</v>
      </c>
      <c r="S30" s="95" t="s">
        <v>70</v>
      </c>
    </row>
    <row r="31" spans="1:19" x14ac:dyDescent="0.2">
      <c r="A31" s="95" t="s">
        <v>73</v>
      </c>
      <c r="B31" s="95" t="s">
        <v>69</v>
      </c>
      <c r="C31" s="95" t="s">
        <v>67</v>
      </c>
      <c r="D31" s="95" t="s">
        <v>81</v>
      </c>
      <c r="E31" s="95" t="s">
        <v>89</v>
      </c>
      <c r="F31" s="95">
        <v>3.5</v>
      </c>
      <c r="G31" s="95">
        <v>15</v>
      </c>
      <c r="I31" s="95">
        <v>0.87</v>
      </c>
      <c r="J31" s="95">
        <v>7.0000000000000001E-3</v>
      </c>
      <c r="K31" s="95">
        <v>0.27</v>
      </c>
      <c r="L31" s="95">
        <v>1.4</v>
      </c>
      <c r="O31" s="95">
        <v>999</v>
      </c>
      <c r="P31" s="95">
        <v>2023</v>
      </c>
      <c r="R31" s="95" t="s">
        <v>69</v>
      </c>
      <c r="S31" s="95" t="s">
        <v>70</v>
      </c>
    </row>
    <row r="32" spans="1:19" x14ac:dyDescent="0.2">
      <c r="A32" s="95" t="s">
        <v>73</v>
      </c>
      <c r="B32" s="95" t="s">
        <v>69</v>
      </c>
      <c r="C32" s="95" t="s">
        <v>67</v>
      </c>
      <c r="D32" s="95" t="s">
        <v>81</v>
      </c>
      <c r="E32" s="95" t="s">
        <v>89</v>
      </c>
      <c r="F32" s="95">
        <v>6</v>
      </c>
      <c r="G32" s="95">
        <v>19</v>
      </c>
      <c r="I32" s="95">
        <v>0.95</v>
      </c>
      <c r="J32" s="95">
        <v>7.0000000000000001E-3</v>
      </c>
      <c r="K32" s="95">
        <v>0.27</v>
      </c>
      <c r="L32" s="95">
        <v>1.49</v>
      </c>
      <c r="O32" s="95">
        <v>999</v>
      </c>
      <c r="P32" s="95">
        <v>2023</v>
      </c>
      <c r="R32" s="95" t="s">
        <v>69</v>
      </c>
      <c r="S32" s="95" t="s">
        <v>70</v>
      </c>
    </row>
    <row r="33" spans="1:19" x14ac:dyDescent="0.2">
      <c r="A33" s="95" t="s">
        <v>73</v>
      </c>
      <c r="B33" s="95" t="s">
        <v>69</v>
      </c>
      <c r="C33" s="95" t="s">
        <v>67</v>
      </c>
      <c r="D33" s="95" t="s">
        <v>81</v>
      </c>
      <c r="E33" s="95" t="s">
        <v>89</v>
      </c>
      <c r="F33" s="95">
        <v>9</v>
      </c>
      <c r="G33" s="95">
        <v>30</v>
      </c>
      <c r="I33" s="95">
        <v>1</v>
      </c>
      <c r="J33" s="95">
        <v>6.0000000000000001E-3</v>
      </c>
      <c r="K33" s="95">
        <v>0.23</v>
      </c>
      <c r="L33" s="95">
        <v>1.47</v>
      </c>
      <c r="O33" s="95">
        <v>999</v>
      </c>
      <c r="P33" s="95">
        <v>2023</v>
      </c>
      <c r="R33" s="95" t="s">
        <v>69</v>
      </c>
      <c r="S33" s="95" t="s">
        <v>70</v>
      </c>
    </row>
    <row r="34" spans="1:19" x14ac:dyDescent="0.2">
      <c r="A34" s="95" t="s">
        <v>73</v>
      </c>
      <c r="B34" s="95" t="s">
        <v>69</v>
      </c>
      <c r="C34" s="95" t="s">
        <v>67</v>
      </c>
      <c r="D34" s="95" t="s">
        <v>81</v>
      </c>
      <c r="E34" s="95" t="s">
        <v>89</v>
      </c>
      <c r="F34" s="95">
        <v>12</v>
      </c>
      <c r="G34" s="95">
        <v>38</v>
      </c>
      <c r="I34" s="95">
        <v>1.58</v>
      </c>
      <c r="J34" s="95">
        <v>6.0000000000000001E-3</v>
      </c>
      <c r="K34" s="95">
        <v>0.23</v>
      </c>
      <c r="L34" s="95">
        <v>2.11</v>
      </c>
      <c r="O34" s="95">
        <v>999</v>
      </c>
      <c r="P34" s="95">
        <v>2023</v>
      </c>
      <c r="R34" s="95" t="s">
        <v>69</v>
      </c>
      <c r="S34" s="95" t="s">
        <v>70</v>
      </c>
    </row>
    <row r="35" spans="1:19" x14ac:dyDescent="0.2">
      <c r="A35" s="95" t="s">
        <v>73</v>
      </c>
      <c r="B35" s="95" t="s">
        <v>69</v>
      </c>
      <c r="C35" s="95" t="s">
        <v>67</v>
      </c>
      <c r="D35" s="95" t="s">
        <v>81</v>
      </c>
      <c r="E35" s="95" t="s">
        <v>90</v>
      </c>
      <c r="F35" s="95">
        <v>3.5</v>
      </c>
      <c r="G35" s="95">
        <v>13</v>
      </c>
      <c r="I35" s="95">
        <v>0.71</v>
      </c>
      <c r="J35" s="95">
        <v>7.0000000000000001E-3</v>
      </c>
      <c r="K35" s="95">
        <v>0.27</v>
      </c>
      <c r="L35" s="95">
        <v>1.22</v>
      </c>
      <c r="O35" s="95">
        <v>999</v>
      </c>
      <c r="P35" s="95">
        <v>2023</v>
      </c>
      <c r="R35" s="95" t="s">
        <v>69</v>
      </c>
      <c r="S35" s="95" t="s">
        <v>70</v>
      </c>
    </row>
    <row r="36" spans="1:19" x14ac:dyDescent="0.2">
      <c r="A36" s="95" t="s">
        <v>73</v>
      </c>
      <c r="B36" s="95" t="s">
        <v>69</v>
      </c>
      <c r="C36" s="95" t="s">
        <v>67</v>
      </c>
      <c r="D36" s="95" t="s">
        <v>81</v>
      </c>
      <c r="E36" s="95" t="s">
        <v>90</v>
      </c>
      <c r="F36" s="95">
        <v>3.5</v>
      </c>
      <c r="G36" s="95">
        <v>15</v>
      </c>
      <c r="I36" s="95">
        <v>0.53</v>
      </c>
      <c r="J36" s="95">
        <v>7.0000000000000001E-3</v>
      </c>
      <c r="K36" s="95">
        <v>0.27</v>
      </c>
      <c r="L36" s="95">
        <v>1.02</v>
      </c>
      <c r="O36" s="95">
        <v>999</v>
      </c>
      <c r="P36" s="95">
        <v>2023</v>
      </c>
      <c r="R36" s="95" t="s">
        <v>69</v>
      </c>
      <c r="S36" s="95" t="s">
        <v>70</v>
      </c>
    </row>
    <row r="37" spans="1:19" x14ac:dyDescent="0.2">
      <c r="A37" s="95" t="s">
        <v>73</v>
      </c>
      <c r="B37" s="95" t="s">
        <v>69</v>
      </c>
      <c r="C37" s="95" t="s">
        <v>67</v>
      </c>
      <c r="D37" s="95" t="s">
        <v>81</v>
      </c>
      <c r="E37" s="95" t="s">
        <v>90</v>
      </c>
      <c r="F37" s="95">
        <v>6</v>
      </c>
      <c r="G37" s="95">
        <v>19</v>
      </c>
      <c r="I37" s="95">
        <v>0.89</v>
      </c>
      <c r="J37" s="95">
        <v>5.0000000000000001E-3</v>
      </c>
      <c r="K37" s="95">
        <v>0.19</v>
      </c>
      <c r="L37" s="95">
        <v>1.29</v>
      </c>
      <c r="O37" s="95">
        <v>999</v>
      </c>
      <c r="P37" s="95">
        <v>2023</v>
      </c>
      <c r="R37" s="95" t="s">
        <v>69</v>
      </c>
      <c r="S37" s="95" t="s">
        <v>70</v>
      </c>
    </row>
    <row r="38" spans="1:19" x14ac:dyDescent="0.2">
      <c r="A38" s="95" t="s">
        <v>73</v>
      </c>
      <c r="B38" s="95" t="s">
        <v>69</v>
      </c>
      <c r="C38" s="95" t="s">
        <v>67</v>
      </c>
      <c r="D38" s="95" t="s">
        <v>81</v>
      </c>
      <c r="E38" s="95" t="s">
        <v>90</v>
      </c>
      <c r="F38" s="95">
        <v>6</v>
      </c>
      <c r="G38" s="95">
        <v>21</v>
      </c>
      <c r="I38" s="95">
        <v>1.26</v>
      </c>
      <c r="J38" s="95">
        <v>7.0000000000000001E-3</v>
      </c>
      <c r="K38" s="95">
        <v>0.27</v>
      </c>
      <c r="L38" s="95">
        <v>1.83</v>
      </c>
      <c r="O38" s="95">
        <v>999</v>
      </c>
      <c r="P38" s="95">
        <v>2023</v>
      </c>
      <c r="R38" s="95" t="s">
        <v>69</v>
      </c>
      <c r="S38" s="95" t="s">
        <v>70</v>
      </c>
    </row>
    <row r="39" spans="1:19" x14ac:dyDescent="0.2">
      <c r="A39" s="95" t="s">
        <v>73</v>
      </c>
      <c r="B39" s="95" t="s">
        <v>69</v>
      </c>
      <c r="C39" s="95" t="s">
        <v>67</v>
      </c>
      <c r="D39" s="95" t="s">
        <v>81</v>
      </c>
      <c r="E39" s="95" t="s">
        <v>90</v>
      </c>
      <c r="F39" s="95">
        <v>9</v>
      </c>
      <c r="G39" s="95">
        <v>30</v>
      </c>
      <c r="I39" s="95">
        <v>1.19</v>
      </c>
      <c r="J39" s="95">
        <v>6.0000000000000001E-3</v>
      </c>
      <c r="K39" s="95">
        <v>0.23</v>
      </c>
      <c r="L39" s="95">
        <v>1.68</v>
      </c>
      <c r="O39" s="95">
        <v>999</v>
      </c>
      <c r="P39" s="95">
        <v>2023</v>
      </c>
      <c r="R39" s="95" t="s">
        <v>69</v>
      </c>
      <c r="S39" s="95" t="s">
        <v>70</v>
      </c>
    </row>
    <row r="40" spans="1:19" x14ac:dyDescent="0.2">
      <c r="A40" s="95" t="s">
        <v>73</v>
      </c>
      <c r="B40" s="95" t="s">
        <v>69</v>
      </c>
      <c r="C40" s="95" t="s">
        <v>67</v>
      </c>
      <c r="D40" s="95" t="s">
        <v>68</v>
      </c>
      <c r="E40" s="95" t="s">
        <v>68</v>
      </c>
      <c r="F40" s="95">
        <v>3.5</v>
      </c>
      <c r="G40" s="95">
        <v>13</v>
      </c>
      <c r="I40" s="95">
        <v>0.59</v>
      </c>
      <c r="J40" s="95">
        <v>7.0000000000000001E-3</v>
      </c>
      <c r="K40" s="95">
        <v>0.27</v>
      </c>
      <c r="L40" s="95">
        <v>1.0900000000000001</v>
      </c>
      <c r="O40" s="95">
        <v>999</v>
      </c>
      <c r="P40" s="95">
        <v>2023</v>
      </c>
      <c r="R40" s="95" t="s">
        <v>69</v>
      </c>
      <c r="S40" s="95" t="s">
        <v>70</v>
      </c>
    </row>
    <row r="41" spans="1:19" x14ac:dyDescent="0.2">
      <c r="A41" s="95" t="s">
        <v>73</v>
      </c>
      <c r="B41" s="95" t="s">
        <v>69</v>
      </c>
      <c r="C41" s="95" t="s">
        <v>67</v>
      </c>
      <c r="D41" s="95" t="s">
        <v>68</v>
      </c>
      <c r="E41" s="95" t="s">
        <v>68</v>
      </c>
      <c r="F41" s="95">
        <v>3.5</v>
      </c>
      <c r="G41" s="95">
        <v>15</v>
      </c>
      <c r="I41" s="95">
        <v>0.92</v>
      </c>
      <c r="J41" s="95">
        <v>7.0000000000000001E-3</v>
      </c>
      <c r="K41" s="95">
        <v>0.27</v>
      </c>
      <c r="L41" s="95">
        <v>1.45</v>
      </c>
      <c r="O41" s="95">
        <v>999</v>
      </c>
      <c r="P41" s="95">
        <v>2023</v>
      </c>
      <c r="R41" s="95" t="s">
        <v>69</v>
      </c>
      <c r="S41" s="95" t="s">
        <v>70</v>
      </c>
    </row>
    <row r="42" spans="1:19" x14ac:dyDescent="0.2">
      <c r="A42" s="95" t="s">
        <v>73</v>
      </c>
      <c r="B42" s="95" t="s">
        <v>69</v>
      </c>
      <c r="C42" s="95" t="s">
        <v>67</v>
      </c>
      <c r="D42" s="95" t="s">
        <v>68</v>
      </c>
      <c r="E42" s="95" t="s">
        <v>68</v>
      </c>
      <c r="F42" s="95">
        <v>6</v>
      </c>
      <c r="G42" s="95">
        <v>19</v>
      </c>
      <c r="I42" s="95">
        <v>0.93</v>
      </c>
      <c r="J42" s="95">
        <v>6.0000000000000001E-3</v>
      </c>
      <c r="K42" s="95">
        <v>0.23</v>
      </c>
      <c r="L42" s="95">
        <v>1.39</v>
      </c>
      <c r="O42" s="95">
        <v>999</v>
      </c>
      <c r="P42" s="95">
        <v>2023</v>
      </c>
      <c r="R42" s="95" t="s">
        <v>69</v>
      </c>
      <c r="S42" s="95" t="s">
        <v>70</v>
      </c>
    </row>
    <row r="43" spans="1:19" x14ac:dyDescent="0.2">
      <c r="A43" s="95" t="s">
        <v>73</v>
      </c>
      <c r="B43" s="95" t="s">
        <v>69</v>
      </c>
      <c r="C43" s="95" t="s">
        <v>67</v>
      </c>
      <c r="D43" s="95" t="s">
        <v>68</v>
      </c>
      <c r="E43" s="95" t="s">
        <v>68</v>
      </c>
      <c r="F43" s="95">
        <v>9</v>
      </c>
      <c r="G43" s="95">
        <v>30</v>
      </c>
      <c r="I43" s="95">
        <v>1.5660000000000001</v>
      </c>
      <c r="J43" s="95">
        <v>7.0000000000000001E-3</v>
      </c>
      <c r="K43" s="95">
        <v>0.27</v>
      </c>
      <c r="L43" s="95">
        <v>2.16</v>
      </c>
      <c r="O43" s="95">
        <v>999</v>
      </c>
      <c r="P43" s="95">
        <v>2023</v>
      </c>
      <c r="R43" s="95" t="s">
        <v>69</v>
      </c>
      <c r="S43" s="95" t="s">
        <v>70</v>
      </c>
    </row>
    <row r="44" spans="1:19" x14ac:dyDescent="0.2">
      <c r="A44" s="95" t="s">
        <v>73</v>
      </c>
      <c r="B44" s="95" t="s">
        <v>69</v>
      </c>
      <c r="C44" s="95" t="s">
        <v>67</v>
      </c>
      <c r="D44" s="95" t="s">
        <v>68</v>
      </c>
      <c r="E44" s="95" t="s">
        <v>68</v>
      </c>
      <c r="F44" s="95">
        <v>12</v>
      </c>
      <c r="G44" s="95">
        <v>38</v>
      </c>
      <c r="I44" s="95">
        <v>1.82</v>
      </c>
      <c r="J44" s="95">
        <v>7.0000000000000001E-3</v>
      </c>
      <c r="K44" s="95">
        <v>0.27</v>
      </c>
      <c r="L44" s="95">
        <v>2.44</v>
      </c>
      <c r="O44" s="95">
        <v>999</v>
      </c>
      <c r="P44" s="95">
        <v>2023</v>
      </c>
      <c r="R44" s="95" t="s">
        <v>69</v>
      </c>
      <c r="S44" s="95" t="s">
        <v>70</v>
      </c>
    </row>
    <row r="45" spans="1:19" x14ac:dyDescent="0.2">
      <c r="A45" s="95" t="s">
        <v>73</v>
      </c>
      <c r="B45" s="95" t="s">
        <v>66</v>
      </c>
      <c r="C45" s="95" t="s">
        <v>91</v>
      </c>
      <c r="D45" s="95" t="s">
        <v>68</v>
      </c>
      <c r="E45" s="95" t="s">
        <v>68</v>
      </c>
      <c r="F45" s="95">
        <v>3.5</v>
      </c>
      <c r="G45" s="95">
        <v>15</v>
      </c>
      <c r="I45" s="95">
        <v>1.47</v>
      </c>
      <c r="J45" s="95">
        <v>5.0000000000000001E-3</v>
      </c>
      <c r="K45" s="95">
        <v>0.19</v>
      </c>
      <c r="L45" s="95">
        <v>1.93</v>
      </c>
      <c r="O45" s="95">
        <v>999</v>
      </c>
      <c r="P45" s="95">
        <v>2023</v>
      </c>
      <c r="R45" s="95" t="s">
        <v>92</v>
      </c>
      <c r="S45" s="95" t="s">
        <v>70</v>
      </c>
    </row>
    <row r="46" spans="1:19" x14ac:dyDescent="0.2">
      <c r="A46" s="95" t="s">
        <v>73</v>
      </c>
      <c r="B46" s="95" t="s">
        <v>66</v>
      </c>
      <c r="C46" s="95" t="s">
        <v>91</v>
      </c>
      <c r="D46" s="95" t="s">
        <v>68</v>
      </c>
      <c r="E46" s="95" t="s">
        <v>68</v>
      </c>
      <c r="F46" s="95">
        <v>5.5</v>
      </c>
      <c r="G46" s="95">
        <v>23</v>
      </c>
      <c r="I46" s="95">
        <v>2.31</v>
      </c>
      <c r="J46" s="95">
        <v>5.0000000000000001E-3</v>
      </c>
      <c r="K46" s="95">
        <v>0.19</v>
      </c>
      <c r="L46" s="95">
        <v>2.85</v>
      </c>
      <c r="O46" s="95">
        <v>999</v>
      </c>
      <c r="P46" s="95">
        <v>2023</v>
      </c>
      <c r="R46" s="95" t="s">
        <v>92</v>
      </c>
      <c r="S46" s="95" t="s">
        <v>70</v>
      </c>
    </row>
    <row r="47" spans="1:19" x14ac:dyDescent="0.2">
      <c r="A47" s="95" t="s">
        <v>73</v>
      </c>
      <c r="B47" s="95" t="s">
        <v>66</v>
      </c>
      <c r="C47" s="95" t="s">
        <v>91</v>
      </c>
      <c r="D47" s="95" t="s">
        <v>68</v>
      </c>
      <c r="E47" s="95" t="s">
        <v>68</v>
      </c>
      <c r="F47" s="95">
        <v>7.25</v>
      </c>
      <c r="G47" s="95">
        <v>30</v>
      </c>
      <c r="I47" s="95">
        <v>3.05</v>
      </c>
      <c r="J47" s="95">
        <v>6.0000000000000001E-3</v>
      </c>
      <c r="K47" s="95">
        <v>0.23</v>
      </c>
      <c r="L47" s="95">
        <v>3.72</v>
      </c>
      <c r="O47" s="95">
        <v>999</v>
      </c>
      <c r="P47" s="95">
        <v>2023</v>
      </c>
      <c r="R47" s="95" t="s">
        <v>92</v>
      </c>
      <c r="S47" s="95" t="s">
        <v>70</v>
      </c>
    </row>
    <row r="48" spans="1:19" x14ac:dyDescent="0.2">
      <c r="A48" s="95" t="s">
        <v>73</v>
      </c>
      <c r="B48" s="95" t="s">
        <v>66</v>
      </c>
      <c r="C48" s="95" t="s">
        <v>91</v>
      </c>
      <c r="D48" s="95" t="s">
        <v>68</v>
      </c>
      <c r="E48" s="95" t="s">
        <v>68</v>
      </c>
      <c r="G48" s="95">
        <v>13</v>
      </c>
      <c r="I48" s="95">
        <v>1.02</v>
      </c>
      <c r="J48" s="95">
        <v>5.0000000000000001E-3</v>
      </c>
      <c r="K48" s="95">
        <v>0.19</v>
      </c>
      <c r="L48" s="95">
        <v>1.43</v>
      </c>
      <c r="O48" s="95">
        <v>999</v>
      </c>
      <c r="P48" s="95">
        <v>2023</v>
      </c>
      <c r="R48" s="95" t="s">
        <v>92</v>
      </c>
      <c r="S48" s="95" t="s">
        <v>70</v>
      </c>
    </row>
    <row r="49" spans="1:20" x14ac:dyDescent="0.2">
      <c r="A49" s="95" t="s">
        <v>73</v>
      </c>
      <c r="B49" s="95" t="s">
        <v>66</v>
      </c>
      <c r="C49" s="95" t="s">
        <v>91</v>
      </c>
      <c r="D49" s="95" t="s">
        <v>68</v>
      </c>
      <c r="E49" s="95" t="s">
        <v>68</v>
      </c>
      <c r="G49" s="95">
        <v>19</v>
      </c>
      <c r="I49" s="95">
        <v>1.49</v>
      </c>
      <c r="J49" s="95">
        <v>5.0000000000000001E-3</v>
      </c>
      <c r="K49" s="95">
        <v>0.19</v>
      </c>
      <c r="L49" s="95">
        <v>1.95</v>
      </c>
      <c r="O49" s="95">
        <v>999</v>
      </c>
      <c r="P49" s="95">
        <v>2023</v>
      </c>
      <c r="R49" s="95" t="s">
        <v>92</v>
      </c>
      <c r="S49" s="95" t="s">
        <v>70</v>
      </c>
    </row>
    <row r="50" spans="1:20" x14ac:dyDescent="0.2">
      <c r="A50" s="95" t="s">
        <v>73</v>
      </c>
      <c r="B50" s="95" t="s">
        <v>66</v>
      </c>
      <c r="C50" s="95" t="s">
        <v>67</v>
      </c>
      <c r="D50" s="95" t="s">
        <v>81</v>
      </c>
      <c r="G50" s="95">
        <v>15</v>
      </c>
      <c r="I50" s="95">
        <v>0.79</v>
      </c>
      <c r="P50" s="95">
        <v>2023</v>
      </c>
      <c r="S50" s="95" t="s">
        <v>99</v>
      </c>
      <c r="T50" s="95" t="s">
        <v>100</v>
      </c>
    </row>
    <row r="51" spans="1:20" x14ac:dyDescent="0.2">
      <c r="A51" s="95" t="s">
        <v>73</v>
      </c>
      <c r="B51" s="95" t="s">
        <v>66</v>
      </c>
      <c r="C51" s="95" t="s">
        <v>67</v>
      </c>
      <c r="D51" s="95" t="s">
        <v>81</v>
      </c>
      <c r="G51" s="95">
        <v>21</v>
      </c>
      <c r="I51" s="95">
        <v>0.87</v>
      </c>
      <c r="P51" s="95">
        <v>2023</v>
      </c>
      <c r="S51" s="95" t="s">
        <v>99</v>
      </c>
      <c r="T51" s="95" t="s">
        <v>101</v>
      </c>
    </row>
    <row r="52" spans="1:20" x14ac:dyDescent="0.2">
      <c r="A52" s="95" t="s">
        <v>73</v>
      </c>
      <c r="B52" s="95" t="s">
        <v>66</v>
      </c>
      <c r="C52" s="95" t="s">
        <v>91</v>
      </c>
      <c r="G52" s="95">
        <v>13</v>
      </c>
      <c r="I52" s="95">
        <v>1.38</v>
      </c>
      <c r="P52" s="95">
        <v>2023</v>
      </c>
      <c r="S52" s="95" t="s">
        <v>99</v>
      </c>
      <c r="T52" s="95" t="s">
        <v>102</v>
      </c>
    </row>
    <row r="53" spans="1:20" x14ac:dyDescent="0.2">
      <c r="A53" s="95" t="s">
        <v>73</v>
      </c>
      <c r="B53" s="95" t="s">
        <v>66</v>
      </c>
      <c r="C53" s="95" t="s">
        <v>67</v>
      </c>
      <c r="D53" s="95" t="s">
        <v>81</v>
      </c>
      <c r="G53" s="95">
        <v>30</v>
      </c>
      <c r="I53" s="95">
        <v>1.08</v>
      </c>
      <c r="P53" s="95">
        <v>2023</v>
      </c>
      <c r="S53" s="95" t="s">
        <v>99</v>
      </c>
      <c r="T53" s="95" t="s">
        <v>103</v>
      </c>
    </row>
    <row r="54" spans="1:20" x14ac:dyDescent="0.2">
      <c r="A54" s="95" t="s">
        <v>73</v>
      </c>
      <c r="B54" s="95" t="s">
        <v>66</v>
      </c>
      <c r="C54" s="95" t="s">
        <v>67</v>
      </c>
      <c r="D54" s="95" t="s">
        <v>81</v>
      </c>
      <c r="G54" s="95">
        <v>38</v>
      </c>
      <c r="I54" s="95">
        <v>1.31</v>
      </c>
      <c r="P54" s="95">
        <v>2023</v>
      </c>
      <c r="S54" s="95" t="s">
        <v>99</v>
      </c>
      <c r="T54" s="95" t="s">
        <v>104</v>
      </c>
    </row>
    <row r="55" spans="1:20" x14ac:dyDescent="0.2">
      <c r="A55" s="95" t="s">
        <v>73</v>
      </c>
      <c r="B55" s="95" t="s">
        <v>66</v>
      </c>
      <c r="C55" s="95" t="s">
        <v>67</v>
      </c>
      <c r="D55" s="95" t="s">
        <v>81</v>
      </c>
      <c r="G55" s="95">
        <v>19</v>
      </c>
      <c r="I55" s="95">
        <v>0.73</v>
      </c>
      <c r="P55" s="95">
        <v>2023</v>
      </c>
      <c r="S55" s="95" t="s">
        <v>99</v>
      </c>
      <c r="T55" s="95" t="s">
        <v>105</v>
      </c>
    </row>
    <row r="56" spans="1:20" x14ac:dyDescent="0.2">
      <c r="A56" s="95" t="s">
        <v>73</v>
      </c>
      <c r="B56" s="95" t="s">
        <v>66</v>
      </c>
      <c r="C56" s="95" t="s">
        <v>91</v>
      </c>
      <c r="G56" s="95">
        <v>15</v>
      </c>
      <c r="I56" s="95">
        <v>1.58</v>
      </c>
      <c r="P56" s="95">
        <v>2023</v>
      </c>
      <c r="S56" s="95" t="s">
        <v>99</v>
      </c>
      <c r="T56" s="95" t="s">
        <v>106</v>
      </c>
    </row>
    <row r="57" spans="1:20" x14ac:dyDescent="0.2">
      <c r="A57" s="95" t="s">
        <v>73</v>
      </c>
      <c r="B57" s="95" t="s">
        <v>66</v>
      </c>
      <c r="C57" s="95" t="s">
        <v>67</v>
      </c>
      <c r="D57" s="95" t="s">
        <v>81</v>
      </c>
      <c r="G57" s="95">
        <v>13</v>
      </c>
      <c r="I57" s="95">
        <v>0.56999999999999995</v>
      </c>
      <c r="P57" s="95">
        <v>2023</v>
      </c>
      <c r="S57" s="95" t="s">
        <v>99</v>
      </c>
      <c r="T57" s="95" t="s">
        <v>107</v>
      </c>
    </row>
    <row r="58" spans="1:20" x14ac:dyDescent="0.2">
      <c r="A58" s="95" t="s">
        <v>73</v>
      </c>
      <c r="B58" s="95" t="s">
        <v>66</v>
      </c>
      <c r="C58" s="95" t="s">
        <v>67</v>
      </c>
      <c r="D58" s="95" t="s">
        <v>81</v>
      </c>
      <c r="G58" s="95">
        <v>13</v>
      </c>
      <c r="I58" s="95">
        <v>0.56999999999999995</v>
      </c>
      <c r="P58" s="95">
        <v>2023</v>
      </c>
      <c r="S58" s="95" t="s">
        <v>99</v>
      </c>
      <c r="T58" s="95" t="s">
        <v>108</v>
      </c>
    </row>
    <row r="59" spans="1:20" x14ac:dyDescent="0.2">
      <c r="A59" s="95" t="s">
        <v>73</v>
      </c>
      <c r="B59" s="95" t="s">
        <v>66</v>
      </c>
      <c r="C59" s="95" t="s">
        <v>67</v>
      </c>
      <c r="D59" s="95" t="s">
        <v>81</v>
      </c>
      <c r="G59" s="95">
        <v>13</v>
      </c>
      <c r="I59" s="95">
        <v>0.56999999999999995</v>
      </c>
      <c r="P59" s="95">
        <v>2023</v>
      </c>
      <c r="S59" s="95" t="s">
        <v>99</v>
      </c>
      <c r="T59" s="95" t="s">
        <v>109</v>
      </c>
    </row>
    <row r="60" spans="1:20" x14ac:dyDescent="0.2">
      <c r="A60" s="95" t="s">
        <v>73</v>
      </c>
      <c r="B60" s="95" t="s">
        <v>66</v>
      </c>
      <c r="C60" s="95" t="s">
        <v>91</v>
      </c>
      <c r="G60" s="95">
        <v>15</v>
      </c>
      <c r="I60" s="95">
        <v>1.31</v>
      </c>
      <c r="P60" s="95">
        <v>2023</v>
      </c>
      <c r="S60" s="95" t="s">
        <v>99</v>
      </c>
      <c r="T60" s="95" t="s">
        <v>110</v>
      </c>
    </row>
    <row r="61" spans="1:20" x14ac:dyDescent="0.2">
      <c r="A61" s="95" t="s">
        <v>73</v>
      </c>
      <c r="B61" s="95" t="s">
        <v>66</v>
      </c>
      <c r="C61" s="95" t="s">
        <v>67</v>
      </c>
      <c r="D61" s="95" t="s">
        <v>68</v>
      </c>
      <c r="G61" s="95">
        <v>13</v>
      </c>
      <c r="I61" s="95">
        <v>0.49</v>
      </c>
      <c r="P61" s="95">
        <v>2023</v>
      </c>
      <c r="S61" s="95" t="s">
        <v>99</v>
      </c>
      <c r="T61" s="95" t="s">
        <v>111</v>
      </c>
    </row>
    <row r="62" spans="1:20" x14ac:dyDescent="0.2">
      <c r="A62" s="95" t="s">
        <v>73</v>
      </c>
      <c r="B62" s="95" t="s">
        <v>66</v>
      </c>
      <c r="C62" s="95" t="s">
        <v>67</v>
      </c>
      <c r="D62" s="95" t="s">
        <v>81</v>
      </c>
      <c r="G62" s="95">
        <v>19</v>
      </c>
      <c r="I62" s="95">
        <v>0.99</v>
      </c>
      <c r="P62" s="95">
        <v>2023</v>
      </c>
      <c r="S62" s="95" t="s">
        <v>99</v>
      </c>
      <c r="T62" s="95" t="s">
        <v>112</v>
      </c>
    </row>
    <row r="63" spans="1:20" x14ac:dyDescent="0.2">
      <c r="A63" s="95" t="s">
        <v>73</v>
      </c>
      <c r="B63" s="95" t="s">
        <v>66</v>
      </c>
      <c r="C63" s="95" t="s">
        <v>67</v>
      </c>
      <c r="D63" s="95" t="s">
        <v>68</v>
      </c>
      <c r="G63" s="95">
        <v>19</v>
      </c>
      <c r="I63" s="95">
        <v>0.66</v>
      </c>
      <c r="P63" s="95">
        <v>2023</v>
      </c>
      <c r="S63" s="95" t="s">
        <v>99</v>
      </c>
      <c r="T63" s="95" t="s">
        <v>113</v>
      </c>
    </row>
    <row r="64" spans="1:20" x14ac:dyDescent="0.2">
      <c r="A64" s="95" t="s">
        <v>73</v>
      </c>
      <c r="B64" s="95" t="s">
        <v>66</v>
      </c>
      <c r="C64" s="95" t="s">
        <v>67</v>
      </c>
      <c r="D64" s="95" t="s">
        <v>68</v>
      </c>
      <c r="G64" s="95">
        <v>19</v>
      </c>
      <c r="I64" s="95">
        <v>7.52</v>
      </c>
      <c r="P64" s="95">
        <v>2023</v>
      </c>
      <c r="S64" s="95" t="s">
        <v>99</v>
      </c>
      <c r="T64" s="95" t="s">
        <v>114</v>
      </c>
    </row>
    <row r="65" spans="1:20" x14ac:dyDescent="0.2">
      <c r="A65" s="95" t="s">
        <v>73</v>
      </c>
      <c r="B65" s="95" t="s">
        <v>66</v>
      </c>
      <c r="C65" s="95" t="s">
        <v>67</v>
      </c>
      <c r="D65" s="95" t="s">
        <v>81</v>
      </c>
      <c r="G65" s="95">
        <v>49</v>
      </c>
      <c r="I65" s="95">
        <v>2.56</v>
      </c>
      <c r="P65" s="95">
        <v>2023</v>
      </c>
      <c r="S65" s="95" t="s">
        <v>99</v>
      </c>
      <c r="T65" s="95" t="s">
        <v>115</v>
      </c>
    </row>
    <row r="66" spans="1:20" x14ac:dyDescent="0.2">
      <c r="A66" s="95" t="s">
        <v>73</v>
      </c>
      <c r="B66" s="95" t="s">
        <v>66</v>
      </c>
      <c r="C66" s="95" t="s">
        <v>67</v>
      </c>
      <c r="D66" s="95" t="s">
        <v>81</v>
      </c>
      <c r="G66" s="95">
        <v>30</v>
      </c>
      <c r="I66" s="95">
        <v>1.17</v>
      </c>
      <c r="P66" s="95">
        <v>2023</v>
      </c>
      <c r="S66" s="95" t="s">
        <v>99</v>
      </c>
      <c r="T66" s="95" t="s">
        <v>116</v>
      </c>
    </row>
    <row r="67" spans="1:20" x14ac:dyDescent="0.2">
      <c r="A67" s="95" t="s">
        <v>73</v>
      </c>
      <c r="B67" s="95" t="s">
        <v>66</v>
      </c>
      <c r="C67" s="95" t="s">
        <v>91</v>
      </c>
      <c r="G67" s="95">
        <v>30</v>
      </c>
      <c r="I67" s="95">
        <v>3.75</v>
      </c>
      <c r="P67" s="95">
        <v>2023</v>
      </c>
      <c r="S67" s="95" t="s">
        <v>99</v>
      </c>
      <c r="T67" s="95" t="s">
        <v>117</v>
      </c>
    </row>
    <row r="68" spans="1:20" x14ac:dyDescent="0.2">
      <c r="A68" s="95" t="s">
        <v>73</v>
      </c>
      <c r="B68" s="95" t="s">
        <v>66</v>
      </c>
      <c r="C68" s="95" t="s">
        <v>91</v>
      </c>
      <c r="G68" s="95">
        <v>23</v>
      </c>
      <c r="I68" s="95">
        <v>1.52</v>
      </c>
      <c r="P68" s="95">
        <v>2023</v>
      </c>
      <c r="S68" s="95" t="s">
        <v>99</v>
      </c>
      <c r="T68" s="95" t="s">
        <v>118</v>
      </c>
    </row>
    <row r="69" spans="1:20" x14ac:dyDescent="0.2">
      <c r="A69" s="95" t="s">
        <v>73</v>
      </c>
      <c r="B69" s="95" t="s">
        <v>66</v>
      </c>
      <c r="C69" s="95" t="s">
        <v>91</v>
      </c>
      <c r="G69" s="95">
        <v>21</v>
      </c>
      <c r="I69" s="95">
        <v>2.65</v>
      </c>
      <c r="P69" s="95">
        <v>2023</v>
      </c>
      <c r="S69" s="95" t="s">
        <v>99</v>
      </c>
      <c r="T69" s="95" t="s">
        <v>119</v>
      </c>
    </row>
    <row r="70" spans="1:20" x14ac:dyDescent="0.2">
      <c r="A70" s="95" t="s">
        <v>73</v>
      </c>
      <c r="B70" s="95" t="s">
        <v>66</v>
      </c>
      <c r="C70" s="95" t="s">
        <v>67</v>
      </c>
      <c r="D70" s="95" t="s">
        <v>81</v>
      </c>
      <c r="G70" s="95">
        <v>38</v>
      </c>
      <c r="I70" s="95">
        <v>2.09</v>
      </c>
      <c r="P70" s="95">
        <v>2023</v>
      </c>
      <c r="S70" s="95" t="s">
        <v>99</v>
      </c>
      <c r="T70" s="95" t="s">
        <v>120</v>
      </c>
    </row>
    <row r="71" spans="1:20" x14ac:dyDescent="0.2">
      <c r="A71" s="95" t="s">
        <v>73</v>
      </c>
      <c r="B71" s="95" t="s">
        <v>66</v>
      </c>
      <c r="C71" s="95" t="s">
        <v>67</v>
      </c>
      <c r="D71" s="95" t="s">
        <v>81</v>
      </c>
      <c r="G71" s="95">
        <v>38</v>
      </c>
      <c r="I71" s="95">
        <v>2.23</v>
      </c>
      <c r="P71" s="95">
        <v>2023</v>
      </c>
      <c r="S71" s="95" t="s">
        <v>99</v>
      </c>
      <c r="T71" s="95" t="s">
        <v>121</v>
      </c>
    </row>
    <row r="72" spans="1:20" x14ac:dyDescent="0.2">
      <c r="A72" s="95" t="s">
        <v>73</v>
      </c>
      <c r="B72" s="95" t="s">
        <v>66</v>
      </c>
      <c r="C72" s="95" t="s">
        <v>67</v>
      </c>
      <c r="D72" s="95" t="s">
        <v>81</v>
      </c>
      <c r="G72" s="95">
        <v>21</v>
      </c>
      <c r="I72" s="95">
        <v>1.03</v>
      </c>
      <c r="P72" s="95">
        <v>2023</v>
      </c>
      <c r="S72" s="95" t="s">
        <v>99</v>
      </c>
      <c r="T72" s="95" t="s">
        <v>122</v>
      </c>
    </row>
    <row r="73" spans="1:20" x14ac:dyDescent="0.2">
      <c r="A73" s="95" t="s">
        <v>73</v>
      </c>
      <c r="B73" s="95" t="s">
        <v>66</v>
      </c>
      <c r="C73" s="95" t="s">
        <v>91</v>
      </c>
      <c r="G73" s="95">
        <v>30</v>
      </c>
      <c r="I73" s="95">
        <v>3.47</v>
      </c>
      <c r="P73" s="95">
        <v>2023</v>
      </c>
      <c r="S73" s="95" t="s">
        <v>99</v>
      </c>
      <c r="T73" s="95" t="s">
        <v>123</v>
      </c>
    </row>
    <row r="74" spans="1:20" x14ac:dyDescent="0.2">
      <c r="A74" s="95" t="s">
        <v>73</v>
      </c>
      <c r="B74" s="95" t="s">
        <v>66</v>
      </c>
      <c r="C74" s="95" t="s">
        <v>67</v>
      </c>
      <c r="D74" s="95" t="s">
        <v>81</v>
      </c>
      <c r="G74" s="95">
        <v>19</v>
      </c>
      <c r="I74" s="95">
        <v>0.65</v>
      </c>
      <c r="P74" s="95">
        <v>2023</v>
      </c>
      <c r="S74" s="95" t="s">
        <v>99</v>
      </c>
      <c r="T74" s="95" t="s">
        <v>124</v>
      </c>
    </row>
    <row r="75" spans="1:20" x14ac:dyDescent="0.2">
      <c r="A75" s="95" t="s">
        <v>73</v>
      </c>
      <c r="B75" s="95" t="s">
        <v>66</v>
      </c>
      <c r="C75" s="95" t="s">
        <v>67</v>
      </c>
      <c r="D75" s="95" t="s">
        <v>81</v>
      </c>
      <c r="G75" s="95">
        <v>38</v>
      </c>
      <c r="I75" s="95">
        <v>1.65</v>
      </c>
      <c r="P75" s="95">
        <v>2023</v>
      </c>
      <c r="S75" s="95" t="s">
        <v>99</v>
      </c>
      <c r="T75" s="95" t="s">
        <v>125</v>
      </c>
    </row>
    <row r="76" spans="1:20" x14ac:dyDescent="0.2">
      <c r="A76" s="95" t="s">
        <v>73</v>
      </c>
      <c r="B76" s="95" t="s">
        <v>66</v>
      </c>
      <c r="C76" s="95" t="s">
        <v>67</v>
      </c>
      <c r="D76" s="95" t="s">
        <v>81</v>
      </c>
      <c r="G76" s="95">
        <v>30</v>
      </c>
      <c r="I76" s="95">
        <v>1.44</v>
      </c>
      <c r="P76" s="95">
        <v>2023</v>
      </c>
      <c r="S76" s="95" t="s">
        <v>99</v>
      </c>
      <c r="T76" s="95" t="s">
        <v>126</v>
      </c>
    </row>
    <row r="77" spans="1:20" x14ac:dyDescent="0.2">
      <c r="A77" s="95" t="s">
        <v>73</v>
      </c>
      <c r="B77" s="95" t="s">
        <v>66</v>
      </c>
      <c r="C77" s="95" t="s">
        <v>67</v>
      </c>
      <c r="D77" s="95" t="s">
        <v>81</v>
      </c>
      <c r="G77" s="95">
        <v>21</v>
      </c>
      <c r="I77" s="95">
        <v>1.31</v>
      </c>
      <c r="P77" s="95">
        <v>2023</v>
      </c>
      <c r="S77" s="95" t="s">
        <v>99</v>
      </c>
      <c r="T77" s="95" t="s">
        <v>127</v>
      </c>
    </row>
    <row r="78" spans="1:20" x14ac:dyDescent="0.2">
      <c r="A78" s="95" t="s">
        <v>73</v>
      </c>
      <c r="B78" s="95" t="s">
        <v>66</v>
      </c>
      <c r="C78" s="95" t="s">
        <v>67</v>
      </c>
      <c r="D78" s="95" t="s">
        <v>81</v>
      </c>
      <c r="G78" s="95">
        <v>21</v>
      </c>
      <c r="I78" s="95">
        <v>1.33</v>
      </c>
      <c r="P78" s="95">
        <v>2023</v>
      </c>
      <c r="S78" s="95" t="s">
        <v>99</v>
      </c>
      <c r="T78" s="95" t="s">
        <v>128</v>
      </c>
    </row>
    <row r="79" spans="1:20" x14ac:dyDescent="0.2">
      <c r="A79" s="95" t="s">
        <v>73</v>
      </c>
      <c r="B79" s="95" t="s">
        <v>66</v>
      </c>
      <c r="C79" s="95" t="s">
        <v>67</v>
      </c>
      <c r="D79" s="95" t="s">
        <v>68</v>
      </c>
      <c r="G79" s="95">
        <v>13</v>
      </c>
      <c r="I79" s="95">
        <v>0.68</v>
      </c>
      <c r="P79" s="95">
        <v>2023</v>
      </c>
      <c r="S79" s="95" t="s">
        <v>99</v>
      </c>
      <c r="T79" s="95" t="s">
        <v>129</v>
      </c>
    </row>
    <row r="80" spans="1:20" x14ac:dyDescent="0.2">
      <c r="A80" s="95" t="s">
        <v>73</v>
      </c>
      <c r="B80" s="95" t="s">
        <v>66</v>
      </c>
      <c r="D80" s="95" t="s">
        <v>81</v>
      </c>
      <c r="G80" s="95">
        <v>49</v>
      </c>
      <c r="I80" s="95">
        <v>2.5099999999999998</v>
      </c>
      <c r="P80" s="95">
        <v>2023</v>
      </c>
      <c r="S80" s="95" t="s">
        <v>99</v>
      </c>
      <c r="T80" s="95" t="s">
        <v>130</v>
      </c>
    </row>
    <row r="81" spans="1:20" x14ac:dyDescent="0.2">
      <c r="A81" s="95" t="s">
        <v>73</v>
      </c>
      <c r="B81" s="95" t="s">
        <v>66</v>
      </c>
      <c r="C81" s="95" t="s">
        <v>67</v>
      </c>
      <c r="D81" s="95" t="s">
        <v>81</v>
      </c>
      <c r="G81" s="95">
        <v>15</v>
      </c>
      <c r="I81" s="95">
        <v>1.1499999999999999</v>
      </c>
      <c r="P81" s="95">
        <v>2023</v>
      </c>
      <c r="S81" s="95" t="s">
        <v>99</v>
      </c>
      <c r="T81" s="95" t="s">
        <v>131</v>
      </c>
    </row>
    <row r="82" spans="1:20" x14ac:dyDescent="0.2">
      <c r="A82" s="95" t="s">
        <v>73</v>
      </c>
      <c r="B82" s="95" t="s">
        <v>66</v>
      </c>
      <c r="C82" s="95" t="s">
        <v>67</v>
      </c>
      <c r="D82" s="95" t="s">
        <v>68</v>
      </c>
      <c r="G82" s="95">
        <v>19</v>
      </c>
      <c r="I82" s="95">
        <v>0.98</v>
      </c>
      <c r="P82" s="95">
        <v>2023</v>
      </c>
      <c r="S82" s="95" t="s">
        <v>99</v>
      </c>
      <c r="T82" s="95" t="s">
        <v>132</v>
      </c>
    </row>
    <row r="83" spans="1:20" x14ac:dyDescent="0.2">
      <c r="A83" s="95" t="s">
        <v>73</v>
      </c>
      <c r="B83" s="95" t="s">
        <v>66</v>
      </c>
      <c r="C83" s="95" t="s">
        <v>67</v>
      </c>
      <c r="D83" s="95" t="s">
        <v>81</v>
      </c>
      <c r="G83" s="95">
        <v>15</v>
      </c>
      <c r="I83" s="95">
        <v>1.1299999999999999</v>
      </c>
      <c r="P83" s="95">
        <v>2023</v>
      </c>
      <c r="S83" s="95" t="s">
        <v>99</v>
      </c>
      <c r="T83" s="95" t="s">
        <v>133</v>
      </c>
    </row>
    <row r="84" spans="1:20" x14ac:dyDescent="0.2">
      <c r="A84" s="95" t="s">
        <v>73</v>
      </c>
      <c r="B84" s="95" t="s">
        <v>66</v>
      </c>
      <c r="C84" s="95" t="s">
        <v>67</v>
      </c>
      <c r="D84" s="95" t="s">
        <v>68</v>
      </c>
      <c r="G84" s="95">
        <v>49</v>
      </c>
      <c r="I84" s="95">
        <v>2.37</v>
      </c>
      <c r="P84" s="95">
        <v>2023</v>
      </c>
      <c r="S84" s="95" t="s">
        <v>99</v>
      </c>
      <c r="T84" s="95" t="s">
        <v>134</v>
      </c>
    </row>
    <row r="85" spans="1:20" x14ac:dyDescent="0.2">
      <c r="A85" s="95" t="s">
        <v>73</v>
      </c>
      <c r="B85" s="95" t="s">
        <v>66</v>
      </c>
      <c r="C85" s="95" t="s">
        <v>67</v>
      </c>
      <c r="D85" s="95" t="s">
        <v>81</v>
      </c>
      <c r="G85" s="95">
        <v>30</v>
      </c>
      <c r="I85" s="95">
        <v>1.72</v>
      </c>
      <c r="P85" s="95">
        <v>2023</v>
      </c>
      <c r="S85" s="95" t="s">
        <v>99</v>
      </c>
      <c r="T85" s="95" t="s">
        <v>135</v>
      </c>
    </row>
    <row r="86" spans="1:20" x14ac:dyDescent="0.2">
      <c r="A86" s="95" t="s">
        <v>73</v>
      </c>
      <c r="B86" s="95" t="s">
        <v>66</v>
      </c>
      <c r="C86" s="95" t="s">
        <v>67</v>
      </c>
      <c r="D86" s="95" t="s">
        <v>68</v>
      </c>
      <c r="G86" s="95">
        <v>13</v>
      </c>
      <c r="I86" s="95">
        <v>0.68</v>
      </c>
      <c r="P86" s="95">
        <v>2023</v>
      </c>
      <c r="S86" s="95" t="s">
        <v>99</v>
      </c>
      <c r="T86" s="95" t="s">
        <v>136</v>
      </c>
    </row>
    <row r="87" spans="1:20" x14ac:dyDescent="0.2">
      <c r="A87" s="95" t="s">
        <v>73</v>
      </c>
      <c r="B87" s="95" t="s">
        <v>66</v>
      </c>
      <c r="C87" s="95" t="s">
        <v>67</v>
      </c>
      <c r="D87" s="95" t="s">
        <v>68</v>
      </c>
      <c r="G87" s="95">
        <v>19</v>
      </c>
      <c r="I87" s="95">
        <v>0.86</v>
      </c>
      <c r="P87" s="95">
        <v>2023</v>
      </c>
      <c r="S87" s="95" t="s">
        <v>99</v>
      </c>
      <c r="T87" s="95" t="s">
        <v>137</v>
      </c>
    </row>
    <row r="88" spans="1:20" x14ac:dyDescent="0.2">
      <c r="A88" s="95" t="s">
        <v>73</v>
      </c>
      <c r="B88" s="95" t="s">
        <v>66</v>
      </c>
      <c r="C88" s="95" t="s">
        <v>67</v>
      </c>
      <c r="D88" s="95" t="s">
        <v>68</v>
      </c>
      <c r="G88" s="95">
        <v>19</v>
      </c>
      <c r="I88" s="95">
        <v>1.1200000000000001</v>
      </c>
      <c r="P88" s="95">
        <v>2023</v>
      </c>
      <c r="S88" s="95" t="s">
        <v>99</v>
      </c>
      <c r="T88" s="95" t="s">
        <v>138</v>
      </c>
    </row>
    <row r="89" spans="1:20" x14ac:dyDescent="0.2">
      <c r="A89" s="95" t="s">
        <v>73</v>
      </c>
      <c r="B89" s="95" t="s">
        <v>66</v>
      </c>
      <c r="C89" s="95" t="s">
        <v>91</v>
      </c>
      <c r="G89" s="95">
        <v>21</v>
      </c>
      <c r="I89" s="95">
        <v>42.61</v>
      </c>
      <c r="P89" s="95">
        <v>2023</v>
      </c>
      <c r="S89" s="95" t="s">
        <v>99</v>
      </c>
      <c r="T89" s="95" t="s">
        <v>139</v>
      </c>
    </row>
    <row r="90" spans="1:20" x14ac:dyDescent="0.2">
      <c r="A90" s="95" t="s">
        <v>73</v>
      </c>
      <c r="B90" s="95" t="s">
        <v>66</v>
      </c>
      <c r="C90" s="95" t="s">
        <v>67</v>
      </c>
      <c r="D90" s="95" t="s">
        <v>68</v>
      </c>
      <c r="G90" s="95">
        <v>30</v>
      </c>
      <c r="I90" s="95">
        <v>1.36</v>
      </c>
      <c r="P90" s="95">
        <v>2023</v>
      </c>
      <c r="S90" s="95" t="s">
        <v>99</v>
      </c>
      <c r="T90" s="95" t="s">
        <v>140</v>
      </c>
    </row>
    <row r="91" spans="1:20" x14ac:dyDescent="0.2">
      <c r="A91" s="95" t="s">
        <v>73</v>
      </c>
      <c r="B91" s="95" t="s">
        <v>66</v>
      </c>
      <c r="C91" s="95" t="s">
        <v>67</v>
      </c>
      <c r="D91" s="95" t="s">
        <v>81</v>
      </c>
      <c r="G91" s="95">
        <v>13</v>
      </c>
      <c r="I91" s="95">
        <v>0.57999999999999996</v>
      </c>
      <c r="P91" s="95">
        <v>2023</v>
      </c>
      <c r="S91" s="95" t="s">
        <v>99</v>
      </c>
      <c r="T91" s="95" t="s">
        <v>141</v>
      </c>
    </row>
    <row r="92" spans="1:20" x14ac:dyDescent="0.2">
      <c r="A92" s="95" t="s">
        <v>73</v>
      </c>
      <c r="B92" s="95" t="s">
        <v>66</v>
      </c>
      <c r="C92" s="95" t="s">
        <v>67</v>
      </c>
      <c r="D92" s="95" t="s">
        <v>68</v>
      </c>
      <c r="G92" s="95">
        <v>13</v>
      </c>
      <c r="I92" s="95">
        <v>0.75</v>
      </c>
      <c r="P92" s="95">
        <v>2023</v>
      </c>
      <c r="S92" s="95" t="s">
        <v>99</v>
      </c>
      <c r="T92" s="95" t="s">
        <v>142</v>
      </c>
    </row>
    <row r="93" spans="1:20" x14ac:dyDescent="0.2">
      <c r="A93" s="95" t="s">
        <v>73</v>
      </c>
      <c r="B93" s="95" t="s">
        <v>66</v>
      </c>
      <c r="C93" s="95" t="s">
        <v>67</v>
      </c>
      <c r="D93" s="95" t="s">
        <v>81</v>
      </c>
      <c r="G93" s="95">
        <v>19</v>
      </c>
      <c r="I93" s="95">
        <v>1.02</v>
      </c>
      <c r="P93" s="95">
        <v>2023</v>
      </c>
      <c r="S93" s="95" t="s">
        <v>99</v>
      </c>
      <c r="T93" s="95" t="s">
        <v>143</v>
      </c>
    </row>
    <row r="94" spans="1:20" x14ac:dyDescent="0.2">
      <c r="A94" s="95" t="s">
        <v>73</v>
      </c>
      <c r="B94" s="95" t="s">
        <v>66</v>
      </c>
      <c r="C94" s="95" t="s">
        <v>67</v>
      </c>
      <c r="D94" s="95" t="s">
        <v>81</v>
      </c>
      <c r="G94" s="95">
        <v>19</v>
      </c>
      <c r="I94" s="95">
        <v>0.87</v>
      </c>
      <c r="P94" s="95">
        <v>2023</v>
      </c>
      <c r="S94" s="95" t="s">
        <v>99</v>
      </c>
      <c r="T94" s="95" t="s">
        <v>144</v>
      </c>
    </row>
    <row r="95" spans="1:20" x14ac:dyDescent="0.2">
      <c r="A95" s="95" t="s">
        <v>73</v>
      </c>
      <c r="B95" s="95" t="s">
        <v>66</v>
      </c>
      <c r="C95" s="95" t="s">
        <v>67</v>
      </c>
      <c r="D95" s="95" t="s">
        <v>81</v>
      </c>
      <c r="G95" s="95">
        <v>30</v>
      </c>
      <c r="I95" s="95">
        <v>1.33</v>
      </c>
      <c r="P95" s="95">
        <v>2023</v>
      </c>
      <c r="S95" s="95" t="s">
        <v>99</v>
      </c>
      <c r="T95" s="95" t="s">
        <v>145</v>
      </c>
    </row>
    <row r="96" spans="1:20" x14ac:dyDescent="0.2">
      <c r="A96" s="95" t="s">
        <v>73</v>
      </c>
      <c r="B96" s="95" t="s">
        <v>66</v>
      </c>
      <c r="C96" s="95" t="s">
        <v>91</v>
      </c>
      <c r="G96" s="95">
        <v>13</v>
      </c>
      <c r="I96" s="95">
        <v>23.26</v>
      </c>
      <c r="P96" s="95">
        <v>2023</v>
      </c>
      <c r="S96" s="95" t="s">
        <v>99</v>
      </c>
      <c r="T96" s="95" t="s">
        <v>146</v>
      </c>
    </row>
    <row r="97" spans="1:20" x14ac:dyDescent="0.2">
      <c r="A97" s="95" t="s">
        <v>73</v>
      </c>
      <c r="B97" s="95" t="s">
        <v>66</v>
      </c>
      <c r="C97" s="95" t="s">
        <v>67</v>
      </c>
      <c r="D97" s="95" t="s">
        <v>81</v>
      </c>
      <c r="G97" s="95">
        <v>19</v>
      </c>
      <c r="I97" s="95">
        <v>0.99</v>
      </c>
      <c r="P97" s="95">
        <v>2023</v>
      </c>
      <c r="S97" s="95" t="s">
        <v>99</v>
      </c>
      <c r="T97" s="95" t="s">
        <v>147</v>
      </c>
    </row>
    <row r="98" spans="1:20" x14ac:dyDescent="0.2">
      <c r="A98" s="95" t="s">
        <v>73</v>
      </c>
      <c r="B98" s="95" t="s">
        <v>66</v>
      </c>
      <c r="C98" s="95" t="s">
        <v>67</v>
      </c>
      <c r="D98" s="95" t="s">
        <v>68</v>
      </c>
      <c r="G98" s="95">
        <v>15</v>
      </c>
      <c r="I98" s="95">
        <v>1.27</v>
      </c>
      <c r="P98" s="95">
        <v>2023</v>
      </c>
      <c r="S98" s="95" t="s">
        <v>99</v>
      </c>
      <c r="T98" s="95" t="s">
        <v>148</v>
      </c>
    </row>
    <row r="99" spans="1:20" x14ac:dyDescent="0.2">
      <c r="A99" s="95" t="s">
        <v>73</v>
      </c>
      <c r="B99" s="95" t="s">
        <v>66</v>
      </c>
      <c r="C99" s="95" t="s">
        <v>67</v>
      </c>
      <c r="D99" s="95" t="s">
        <v>81</v>
      </c>
      <c r="G99" s="95">
        <v>13</v>
      </c>
      <c r="I99" s="95">
        <v>0.78</v>
      </c>
      <c r="P99" s="95">
        <v>2023</v>
      </c>
      <c r="S99" s="95" t="s">
        <v>99</v>
      </c>
      <c r="T99" s="95" t="s">
        <v>149</v>
      </c>
    </row>
    <row r="100" spans="1:20" x14ac:dyDescent="0.2">
      <c r="A100" s="95" t="s">
        <v>73</v>
      </c>
      <c r="B100" s="95" t="s">
        <v>66</v>
      </c>
      <c r="C100" s="95" t="s">
        <v>67</v>
      </c>
      <c r="D100" s="95" t="s">
        <v>68</v>
      </c>
      <c r="G100" s="95">
        <v>30</v>
      </c>
      <c r="I100" s="95">
        <v>1.74</v>
      </c>
      <c r="P100" s="95">
        <v>2023</v>
      </c>
      <c r="S100" s="95" t="s">
        <v>99</v>
      </c>
      <c r="T100" s="95" t="s">
        <v>150</v>
      </c>
    </row>
    <row r="101" spans="1:20" x14ac:dyDescent="0.2">
      <c r="A101" s="95" t="s">
        <v>73</v>
      </c>
      <c r="B101" s="95" t="s">
        <v>66</v>
      </c>
      <c r="G101" s="95">
        <v>19</v>
      </c>
      <c r="I101" s="95">
        <v>15.29</v>
      </c>
      <c r="P101" s="95">
        <v>2023</v>
      </c>
      <c r="S101" s="95" t="s">
        <v>99</v>
      </c>
      <c r="T101" s="95" t="s">
        <v>151</v>
      </c>
    </row>
    <row r="102" spans="1:20" x14ac:dyDescent="0.2">
      <c r="A102" s="95" t="s">
        <v>73</v>
      </c>
      <c r="B102" s="95" t="s">
        <v>66</v>
      </c>
      <c r="C102" s="95" t="s">
        <v>67</v>
      </c>
      <c r="D102" s="95" t="s">
        <v>81</v>
      </c>
      <c r="G102" s="95">
        <v>13</v>
      </c>
      <c r="I102" s="95">
        <v>0.42</v>
      </c>
      <c r="P102" s="95">
        <v>2023</v>
      </c>
      <c r="S102" s="95" t="s">
        <v>99</v>
      </c>
      <c r="T102" s="95" t="s">
        <v>152</v>
      </c>
    </row>
    <row r="103" spans="1:20" x14ac:dyDescent="0.2">
      <c r="A103" s="95" t="s">
        <v>73</v>
      </c>
      <c r="B103" s="95" t="s">
        <v>66</v>
      </c>
      <c r="C103" s="95" t="s">
        <v>67</v>
      </c>
      <c r="D103" s="95" t="s">
        <v>81</v>
      </c>
      <c r="G103" s="95">
        <v>19</v>
      </c>
      <c r="I103" s="95">
        <v>0.76</v>
      </c>
      <c r="P103" s="95">
        <v>2023</v>
      </c>
      <c r="S103" s="95" t="s">
        <v>99</v>
      </c>
      <c r="T103" s="95" t="s">
        <v>153</v>
      </c>
    </row>
    <row r="104" spans="1:20" x14ac:dyDescent="0.2">
      <c r="A104" s="95" t="s">
        <v>73</v>
      </c>
      <c r="B104" s="95" t="s">
        <v>66</v>
      </c>
      <c r="C104" s="95" t="s">
        <v>67</v>
      </c>
      <c r="D104" s="95" t="s">
        <v>68</v>
      </c>
      <c r="G104" s="95">
        <v>30</v>
      </c>
      <c r="I104" s="95">
        <v>1.1599999999999999</v>
      </c>
      <c r="P104" s="95">
        <v>2023</v>
      </c>
      <c r="S104" s="95" t="s">
        <v>99</v>
      </c>
      <c r="T104" s="95" t="s">
        <v>154</v>
      </c>
    </row>
    <row r="105" spans="1:20" x14ac:dyDescent="0.2">
      <c r="A105" s="95" t="s">
        <v>73</v>
      </c>
      <c r="B105" s="95" t="s">
        <v>66</v>
      </c>
      <c r="C105" s="95" t="s">
        <v>67</v>
      </c>
      <c r="D105" s="95" t="s">
        <v>81</v>
      </c>
      <c r="G105" s="95">
        <v>15</v>
      </c>
      <c r="I105" s="95">
        <v>1.1200000000000001</v>
      </c>
      <c r="P105" s="95">
        <v>2023</v>
      </c>
      <c r="S105" s="95" t="s">
        <v>99</v>
      </c>
      <c r="T105" s="95" t="s">
        <v>155</v>
      </c>
    </row>
    <row r="106" spans="1:20" x14ac:dyDescent="0.2">
      <c r="A106" s="95" t="s">
        <v>73</v>
      </c>
      <c r="B106" s="95" t="s">
        <v>66</v>
      </c>
      <c r="C106" s="95" t="s">
        <v>67</v>
      </c>
      <c r="D106" s="95" t="s">
        <v>68</v>
      </c>
      <c r="G106" s="95">
        <v>30</v>
      </c>
      <c r="I106" s="95">
        <v>1.47</v>
      </c>
      <c r="P106" s="95">
        <v>2023</v>
      </c>
      <c r="S106" s="95" t="s">
        <v>99</v>
      </c>
      <c r="T106" s="95" t="s">
        <v>156</v>
      </c>
    </row>
    <row r="107" spans="1:20" x14ac:dyDescent="0.2">
      <c r="A107" s="95" t="s">
        <v>73</v>
      </c>
      <c r="B107" s="95" t="s">
        <v>66</v>
      </c>
      <c r="C107" s="95" t="s">
        <v>67</v>
      </c>
      <c r="D107" s="95" t="s">
        <v>81</v>
      </c>
      <c r="G107" s="95">
        <v>19</v>
      </c>
      <c r="I107" s="95">
        <v>0.87</v>
      </c>
      <c r="P107" s="95">
        <v>2023</v>
      </c>
      <c r="S107" s="95" t="s">
        <v>99</v>
      </c>
      <c r="T107" s="95" t="s">
        <v>157</v>
      </c>
    </row>
    <row r="108" spans="1:20" x14ac:dyDescent="0.2">
      <c r="A108" s="95" t="s">
        <v>73</v>
      </c>
      <c r="B108" s="95" t="s">
        <v>66</v>
      </c>
      <c r="C108" s="95" t="s">
        <v>67</v>
      </c>
      <c r="D108" s="95" t="s">
        <v>81</v>
      </c>
      <c r="G108" s="95">
        <v>19</v>
      </c>
      <c r="I108" s="95">
        <v>0.97</v>
      </c>
      <c r="P108" s="95">
        <v>2023</v>
      </c>
      <c r="S108" s="95" t="s">
        <v>99</v>
      </c>
      <c r="T108" s="95" t="s">
        <v>158</v>
      </c>
    </row>
    <row r="109" spans="1:20" x14ac:dyDescent="0.2">
      <c r="A109" s="95" t="s">
        <v>73</v>
      </c>
      <c r="B109" s="95" t="s">
        <v>66</v>
      </c>
      <c r="C109" s="95" t="s">
        <v>67</v>
      </c>
      <c r="D109" s="95" t="s">
        <v>81</v>
      </c>
      <c r="G109" s="95">
        <v>13</v>
      </c>
      <c r="I109" s="95">
        <v>0.63</v>
      </c>
      <c r="P109" s="95">
        <v>2023</v>
      </c>
      <c r="S109" s="95" t="s">
        <v>99</v>
      </c>
      <c r="T109" s="95" t="s">
        <v>159</v>
      </c>
    </row>
    <row r="110" spans="1:20" x14ac:dyDescent="0.2">
      <c r="A110" s="95" t="s">
        <v>73</v>
      </c>
      <c r="B110" s="95" t="s">
        <v>66</v>
      </c>
      <c r="C110" s="95" t="s">
        <v>67</v>
      </c>
      <c r="D110" s="95" t="s">
        <v>68</v>
      </c>
      <c r="G110" s="95">
        <v>6</v>
      </c>
      <c r="I110" s="95">
        <v>1.87</v>
      </c>
      <c r="P110" s="95">
        <v>2023</v>
      </c>
      <c r="S110" s="95" t="s">
        <v>99</v>
      </c>
      <c r="T110" s="95" t="s">
        <v>160</v>
      </c>
    </row>
    <row r="111" spans="1:20" x14ac:dyDescent="0.2">
      <c r="A111" s="95" t="s">
        <v>73</v>
      </c>
      <c r="B111" s="95" t="s">
        <v>66</v>
      </c>
      <c r="C111" s="95" t="s">
        <v>67</v>
      </c>
      <c r="D111" s="95" t="s">
        <v>68</v>
      </c>
      <c r="G111" s="95">
        <v>30</v>
      </c>
      <c r="I111" s="95">
        <v>1.24</v>
      </c>
      <c r="P111" s="95">
        <v>2023</v>
      </c>
      <c r="S111" s="95" t="s">
        <v>99</v>
      </c>
      <c r="T111" s="95" t="s">
        <v>161</v>
      </c>
    </row>
    <row r="112" spans="1:20" x14ac:dyDescent="0.2">
      <c r="A112" s="95" t="s">
        <v>73</v>
      </c>
      <c r="B112" s="95" t="s">
        <v>66</v>
      </c>
      <c r="C112" s="95" t="s">
        <v>67</v>
      </c>
      <c r="D112" s="95" t="s">
        <v>68</v>
      </c>
      <c r="G112" s="95">
        <v>30</v>
      </c>
      <c r="I112" s="95">
        <v>19.57</v>
      </c>
      <c r="P112" s="95">
        <v>2023</v>
      </c>
      <c r="S112" s="95" t="s">
        <v>99</v>
      </c>
      <c r="T112" s="95" t="s">
        <v>162</v>
      </c>
    </row>
    <row r="113" spans="1:20" x14ac:dyDescent="0.2">
      <c r="A113" s="95" t="s">
        <v>73</v>
      </c>
      <c r="B113" s="95" t="s">
        <v>66</v>
      </c>
      <c r="C113" s="95" t="s">
        <v>67</v>
      </c>
      <c r="D113" s="95" t="s">
        <v>81</v>
      </c>
      <c r="G113" s="95">
        <v>13</v>
      </c>
      <c r="I113" s="95">
        <v>0.82</v>
      </c>
      <c r="P113" s="95">
        <v>2023</v>
      </c>
      <c r="S113" s="95" t="s">
        <v>99</v>
      </c>
      <c r="T113" s="95" t="s">
        <v>163</v>
      </c>
    </row>
    <row r="114" spans="1:20" x14ac:dyDescent="0.2">
      <c r="A114" s="95" t="s">
        <v>73</v>
      </c>
      <c r="B114" s="95" t="s">
        <v>66</v>
      </c>
      <c r="C114" s="95" t="s">
        <v>67</v>
      </c>
      <c r="D114" s="95" t="s">
        <v>81</v>
      </c>
      <c r="G114" s="95">
        <v>30</v>
      </c>
      <c r="I114" s="95">
        <v>1.43</v>
      </c>
      <c r="P114" s="95">
        <v>2023</v>
      </c>
      <c r="S114" s="95" t="s">
        <v>99</v>
      </c>
      <c r="T114" s="95" t="s">
        <v>164</v>
      </c>
    </row>
    <row r="115" spans="1:20" x14ac:dyDescent="0.2">
      <c r="A115" s="95" t="s">
        <v>73</v>
      </c>
      <c r="B115" s="95" t="s">
        <v>66</v>
      </c>
      <c r="C115" s="95" t="s">
        <v>67</v>
      </c>
      <c r="D115" s="95" t="s">
        <v>81</v>
      </c>
      <c r="G115" s="95">
        <v>13</v>
      </c>
      <c r="I115" s="95">
        <v>0.84</v>
      </c>
      <c r="P115" s="95">
        <v>2023</v>
      </c>
      <c r="S115" s="95" t="s">
        <v>99</v>
      </c>
      <c r="T115" s="95" t="s">
        <v>165</v>
      </c>
    </row>
    <row r="116" spans="1:20" x14ac:dyDescent="0.2">
      <c r="A116" s="95" t="s">
        <v>73</v>
      </c>
      <c r="B116" s="95" t="s">
        <v>66</v>
      </c>
      <c r="C116" s="95" t="s">
        <v>67</v>
      </c>
      <c r="D116" s="95" t="s">
        <v>81</v>
      </c>
      <c r="G116" s="95">
        <v>19</v>
      </c>
      <c r="I116" s="95">
        <v>0.85</v>
      </c>
      <c r="P116" s="95">
        <v>2023</v>
      </c>
      <c r="S116" s="95" t="s">
        <v>99</v>
      </c>
      <c r="T116" s="95" t="s">
        <v>166</v>
      </c>
    </row>
    <row r="117" spans="1:20" x14ac:dyDescent="0.2">
      <c r="A117" s="95" t="s">
        <v>73</v>
      </c>
      <c r="B117" s="95" t="s">
        <v>66</v>
      </c>
      <c r="C117" s="95" t="s">
        <v>67</v>
      </c>
      <c r="D117" s="95" t="s">
        <v>81</v>
      </c>
      <c r="G117" s="95">
        <v>19</v>
      </c>
      <c r="I117" s="95">
        <v>1.26</v>
      </c>
      <c r="P117" s="95">
        <v>2023</v>
      </c>
      <c r="S117" s="95" t="s">
        <v>99</v>
      </c>
      <c r="T117" s="95" t="s">
        <v>167</v>
      </c>
    </row>
    <row r="118" spans="1:20" x14ac:dyDescent="0.2">
      <c r="A118" s="95" t="s">
        <v>73</v>
      </c>
      <c r="B118" s="95" t="s">
        <v>66</v>
      </c>
      <c r="C118" s="95" t="s">
        <v>67</v>
      </c>
      <c r="D118" s="95" t="s">
        <v>68</v>
      </c>
      <c r="G118" s="95">
        <v>30</v>
      </c>
      <c r="I118" s="95">
        <v>1.48</v>
      </c>
      <c r="P118" s="95">
        <v>2023</v>
      </c>
      <c r="S118" s="95" t="s">
        <v>99</v>
      </c>
      <c r="T118" s="95" t="s">
        <v>168</v>
      </c>
    </row>
    <row r="119" spans="1:20" x14ac:dyDescent="0.2">
      <c r="A119" s="95" t="s">
        <v>73</v>
      </c>
      <c r="B119" s="95" t="s">
        <v>66</v>
      </c>
      <c r="C119" s="95" t="s">
        <v>67</v>
      </c>
      <c r="D119" s="95" t="s">
        <v>81</v>
      </c>
      <c r="G119" s="95">
        <v>19</v>
      </c>
      <c r="I119" s="95">
        <v>1.1499999999999999</v>
      </c>
      <c r="P119" s="95">
        <v>2023</v>
      </c>
      <c r="S119" s="95" t="s">
        <v>99</v>
      </c>
      <c r="T119" s="95" t="s">
        <v>169</v>
      </c>
    </row>
    <row r="120" spans="1:20" x14ac:dyDescent="0.2">
      <c r="A120" s="95" t="s">
        <v>73</v>
      </c>
      <c r="B120" s="95" t="s">
        <v>66</v>
      </c>
      <c r="C120" s="95" t="s">
        <v>67</v>
      </c>
      <c r="D120" s="95" t="s">
        <v>81</v>
      </c>
      <c r="G120" s="95">
        <v>13</v>
      </c>
      <c r="I120" s="95">
        <v>0.96</v>
      </c>
      <c r="P120" s="95">
        <v>2023</v>
      </c>
      <c r="S120" s="95" t="s">
        <v>99</v>
      </c>
      <c r="T120" s="95" t="s">
        <v>170</v>
      </c>
    </row>
    <row r="121" spans="1:20" x14ac:dyDescent="0.2">
      <c r="A121" s="95" t="s">
        <v>73</v>
      </c>
      <c r="B121" s="95" t="s">
        <v>66</v>
      </c>
      <c r="C121" s="95" t="s">
        <v>67</v>
      </c>
      <c r="D121" s="95" t="s">
        <v>81</v>
      </c>
      <c r="G121" s="95">
        <v>19</v>
      </c>
      <c r="I121" s="95">
        <v>1.08</v>
      </c>
      <c r="P121" s="95">
        <v>2023</v>
      </c>
      <c r="S121" s="95" t="s">
        <v>99</v>
      </c>
      <c r="T121" s="95" t="s">
        <v>171</v>
      </c>
    </row>
    <row r="122" spans="1:20" x14ac:dyDescent="0.2">
      <c r="A122" s="95" t="s">
        <v>73</v>
      </c>
      <c r="B122" s="95" t="s">
        <v>66</v>
      </c>
      <c r="C122" s="95" t="s">
        <v>67</v>
      </c>
      <c r="D122" s="95" t="s">
        <v>68</v>
      </c>
      <c r="G122" s="95">
        <v>13</v>
      </c>
      <c r="I122" s="95">
        <v>0.93</v>
      </c>
      <c r="P122" s="95">
        <v>2023</v>
      </c>
      <c r="S122" s="95" t="s">
        <v>99</v>
      </c>
      <c r="T122" s="95" t="s">
        <v>172</v>
      </c>
    </row>
    <row r="123" spans="1:20" x14ac:dyDescent="0.2">
      <c r="A123" s="95" t="s">
        <v>73</v>
      </c>
      <c r="B123" s="95" t="s">
        <v>66</v>
      </c>
      <c r="C123" s="95" t="s">
        <v>67</v>
      </c>
      <c r="D123" s="95" t="s">
        <v>68</v>
      </c>
      <c r="G123" s="95">
        <v>7</v>
      </c>
      <c r="I123" s="95">
        <v>1.99</v>
      </c>
      <c r="P123" s="95">
        <v>2023</v>
      </c>
      <c r="S123" s="95" t="s">
        <v>99</v>
      </c>
      <c r="T123" s="95" t="s">
        <v>173</v>
      </c>
    </row>
    <row r="124" spans="1:20" x14ac:dyDescent="0.2">
      <c r="A124" s="95" t="s">
        <v>73</v>
      </c>
      <c r="B124" s="95" t="s">
        <v>66</v>
      </c>
      <c r="C124" s="95" t="s">
        <v>67</v>
      </c>
      <c r="D124" s="95" t="s">
        <v>68</v>
      </c>
      <c r="G124" s="95">
        <v>6</v>
      </c>
      <c r="I124" s="95">
        <v>95.58</v>
      </c>
      <c r="P124" s="95">
        <v>2023</v>
      </c>
      <c r="S124" s="95" t="s">
        <v>99</v>
      </c>
      <c r="T124" s="95" t="s">
        <v>174</v>
      </c>
    </row>
    <row r="125" spans="1:20" x14ac:dyDescent="0.2">
      <c r="A125" s="95" t="s">
        <v>73</v>
      </c>
      <c r="B125" s="95" t="s">
        <v>66</v>
      </c>
      <c r="C125" s="95" t="s">
        <v>67</v>
      </c>
      <c r="D125" s="95" t="s">
        <v>81</v>
      </c>
      <c r="G125" s="95">
        <v>13</v>
      </c>
      <c r="I125" s="95">
        <v>0.75</v>
      </c>
      <c r="P125" s="95">
        <v>2023</v>
      </c>
      <c r="S125" s="95" t="s">
        <v>99</v>
      </c>
      <c r="T125" s="95" t="s">
        <v>175</v>
      </c>
    </row>
    <row r="126" spans="1:20" x14ac:dyDescent="0.2">
      <c r="A126" s="95" t="s">
        <v>65</v>
      </c>
      <c r="B126" s="95" t="s">
        <v>66</v>
      </c>
      <c r="C126" s="95" t="s">
        <v>86</v>
      </c>
      <c r="D126" s="95" t="s">
        <v>68</v>
      </c>
      <c r="F126" s="95">
        <v>0.5</v>
      </c>
      <c r="G126" s="95">
        <v>3</v>
      </c>
      <c r="I126" s="95">
        <v>0.43687500000000001</v>
      </c>
      <c r="P126" s="95">
        <v>2023</v>
      </c>
      <c r="Q126" s="95" t="s">
        <v>176</v>
      </c>
      <c r="R126" s="95" t="s">
        <v>177</v>
      </c>
      <c r="S126" s="95" t="s">
        <v>99</v>
      </c>
      <c r="T126" s="95" t="s">
        <v>178</v>
      </c>
    </row>
    <row r="127" spans="1:20" x14ac:dyDescent="0.2">
      <c r="A127" s="95" t="s">
        <v>65</v>
      </c>
      <c r="B127" s="95" t="s">
        <v>66</v>
      </c>
      <c r="C127" s="95" t="s">
        <v>84</v>
      </c>
      <c r="D127" s="95" t="s">
        <v>81</v>
      </c>
      <c r="F127" s="95">
        <v>0.5</v>
      </c>
      <c r="G127" s="95">
        <v>3.2</v>
      </c>
      <c r="I127" s="95">
        <v>0.62250000000000005</v>
      </c>
      <c r="P127" s="95">
        <v>2023</v>
      </c>
      <c r="Q127" s="95" t="s">
        <v>179</v>
      </c>
      <c r="R127" s="95" t="s">
        <v>180</v>
      </c>
      <c r="S127" s="95" t="s">
        <v>99</v>
      </c>
      <c r="T127" s="95" t="s">
        <v>181</v>
      </c>
    </row>
    <row r="128" spans="1:20" x14ac:dyDescent="0.2">
      <c r="A128" s="95" t="s">
        <v>65</v>
      </c>
      <c r="B128" s="95" t="s">
        <v>66</v>
      </c>
      <c r="C128" s="95" t="s">
        <v>85</v>
      </c>
      <c r="D128" s="95" t="s">
        <v>81</v>
      </c>
      <c r="F128" s="95">
        <v>0.63</v>
      </c>
      <c r="G128" s="95">
        <v>3</v>
      </c>
      <c r="I128" s="95">
        <v>0.83250000000000002</v>
      </c>
      <c r="P128" s="95">
        <v>2023</v>
      </c>
      <c r="Q128" s="95" t="s">
        <v>182</v>
      </c>
      <c r="R128" s="95" t="s">
        <v>183</v>
      </c>
      <c r="S128" s="95" t="s">
        <v>99</v>
      </c>
      <c r="T128" s="95" t="s">
        <v>184</v>
      </c>
    </row>
    <row r="129" spans="1:20" x14ac:dyDescent="0.2">
      <c r="A129" s="95" t="s">
        <v>65</v>
      </c>
      <c r="B129" s="95" t="s">
        <v>66</v>
      </c>
      <c r="C129" s="95" t="s">
        <v>85</v>
      </c>
      <c r="D129" s="95" t="s">
        <v>68</v>
      </c>
      <c r="F129" s="95">
        <v>0.75</v>
      </c>
      <c r="G129" s="95">
        <v>2.65</v>
      </c>
      <c r="I129" s="95">
        <v>2.5950000000000002</v>
      </c>
      <c r="P129" s="95">
        <v>2023</v>
      </c>
      <c r="Q129" s="95" t="s">
        <v>185</v>
      </c>
      <c r="R129" s="95" t="s">
        <v>186</v>
      </c>
      <c r="S129" s="95" t="s">
        <v>99</v>
      </c>
      <c r="T129" s="95" t="s">
        <v>187</v>
      </c>
    </row>
    <row r="130" spans="1:20" x14ac:dyDescent="0.2">
      <c r="A130" s="95" t="s">
        <v>65</v>
      </c>
      <c r="B130" s="95" t="s">
        <v>66</v>
      </c>
      <c r="C130" s="95" t="s">
        <v>86</v>
      </c>
      <c r="D130" s="95" t="s">
        <v>68</v>
      </c>
      <c r="F130" s="95">
        <v>1</v>
      </c>
      <c r="G130" s="95">
        <v>5</v>
      </c>
      <c r="I130" s="95">
        <v>0.97875000000000001</v>
      </c>
      <c r="P130" s="95">
        <v>2023</v>
      </c>
      <c r="Q130" s="95" t="s">
        <v>188</v>
      </c>
      <c r="R130" s="95" t="s">
        <v>189</v>
      </c>
      <c r="S130" s="95" t="s">
        <v>99</v>
      </c>
      <c r="T130" s="95" t="s">
        <v>190</v>
      </c>
    </row>
    <row r="131" spans="1:20" x14ac:dyDescent="0.2">
      <c r="A131" s="95" t="s">
        <v>65</v>
      </c>
      <c r="B131" s="95" t="s">
        <v>66</v>
      </c>
      <c r="C131" s="95" t="s">
        <v>85</v>
      </c>
      <c r="D131" s="95" t="s">
        <v>81</v>
      </c>
      <c r="F131" s="95">
        <v>1</v>
      </c>
      <c r="G131" s="95">
        <v>3.85</v>
      </c>
      <c r="I131" s="95">
        <v>0.48781249999999998</v>
      </c>
      <c r="P131" s="95">
        <v>2023</v>
      </c>
      <c r="Q131" s="95" t="s">
        <v>191</v>
      </c>
      <c r="R131" s="95" t="s">
        <v>192</v>
      </c>
      <c r="S131" s="95" t="s">
        <v>99</v>
      </c>
      <c r="T131" s="95" t="s">
        <v>193</v>
      </c>
    </row>
    <row r="132" spans="1:20" x14ac:dyDescent="0.2">
      <c r="A132" s="95" t="s">
        <v>65</v>
      </c>
      <c r="B132" s="95" t="s">
        <v>66</v>
      </c>
      <c r="C132" s="95" t="s">
        <v>85</v>
      </c>
      <c r="D132" s="95" t="s">
        <v>81</v>
      </c>
      <c r="F132" s="95">
        <v>1</v>
      </c>
      <c r="G132" s="95">
        <v>5</v>
      </c>
      <c r="I132" s="95">
        <v>1.3891666666666669</v>
      </c>
      <c r="P132" s="95">
        <v>2023</v>
      </c>
      <c r="Q132" s="95" t="s">
        <v>194</v>
      </c>
      <c r="R132" s="95" t="s">
        <v>195</v>
      </c>
      <c r="S132" s="95" t="s">
        <v>99</v>
      </c>
      <c r="T132" s="95" t="s">
        <v>196</v>
      </c>
    </row>
    <row r="133" spans="1:20" x14ac:dyDescent="0.2">
      <c r="A133" s="95" t="s">
        <v>65</v>
      </c>
      <c r="B133" s="95" t="s">
        <v>66</v>
      </c>
      <c r="C133" s="95" t="s">
        <v>86</v>
      </c>
      <c r="D133" s="95" t="s">
        <v>68</v>
      </c>
      <c r="F133" s="95">
        <v>1</v>
      </c>
      <c r="G133" s="95">
        <v>5</v>
      </c>
      <c r="I133" s="95">
        <v>1.7450000000000001</v>
      </c>
      <c r="P133" s="95">
        <v>2023</v>
      </c>
      <c r="Q133" s="95" t="s">
        <v>16</v>
      </c>
      <c r="R133" s="95" t="s">
        <v>197</v>
      </c>
      <c r="S133" s="95" t="s">
        <v>99</v>
      </c>
      <c r="T133" s="95" t="s">
        <v>198</v>
      </c>
    </row>
    <row r="134" spans="1:20" x14ac:dyDescent="0.2">
      <c r="A134" s="95" t="s">
        <v>65</v>
      </c>
      <c r="B134" s="95" t="s">
        <v>66</v>
      </c>
      <c r="C134" s="95" t="s">
        <v>86</v>
      </c>
      <c r="D134" s="95" t="s">
        <v>81</v>
      </c>
      <c r="F134" s="95">
        <v>1</v>
      </c>
      <c r="G134" s="95">
        <v>5</v>
      </c>
      <c r="I134" s="95">
        <v>3.85</v>
      </c>
      <c r="P134" s="95">
        <v>2023</v>
      </c>
      <c r="Q134" s="95" t="s">
        <v>199</v>
      </c>
      <c r="R134" s="95" t="s">
        <v>200</v>
      </c>
      <c r="S134" s="95" t="s">
        <v>99</v>
      </c>
      <c r="T134" s="95" t="s">
        <v>201</v>
      </c>
    </row>
    <row r="135" spans="1:20" x14ac:dyDescent="0.2">
      <c r="A135" s="95" t="s">
        <v>65</v>
      </c>
      <c r="B135" s="95" t="s">
        <v>66</v>
      </c>
      <c r="C135" s="95" t="s">
        <v>86</v>
      </c>
      <c r="D135" s="95" t="s">
        <v>81</v>
      </c>
      <c r="F135" s="95">
        <v>1</v>
      </c>
      <c r="G135" s="95">
        <v>5</v>
      </c>
      <c r="I135" s="95">
        <v>3.66</v>
      </c>
      <c r="P135" s="95">
        <v>2023</v>
      </c>
      <c r="Q135" s="95" t="s">
        <v>199</v>
      </c>
      <c r="R135" s="95" t="s">
        <v>202</v>
      </c>
      <c r="S135" s="95" t="s">
        <v>99</v>
      </c>
      <c r="T135" s="95" t="s">
        <v>203</v>
      </c>
    </row>
    <row r="136" spans="1:20" x14ac:dyDescent="0.2">
      <c r="A136" s="95" t="s">
        <v>65</v>
      </c>
      <c r="B136" s="95" t="s">
        <v>66</v>
      </c>
      <c r="C136" s="95" t="s">
        <v>86</v>
      </c>
      <c r="D136" s="95" t="s">
        <v>81</v>
      </c>
      <c r="F136" s="95">
        <v>1</v>
      </c>
      <c r="G136" s="95">
        <v>5</v>
      </c>
      <c r="I136" s="95">
        <v>3.9950000000000001</v>
      </c>
      <c r="P136" s="95">
        <v>2023</v>
      </c>
      <c r="Q136" s="95" t="s">
        <v>199</v>
      </c>
      <c r="R136" s="95" t="s">
        <v>204</v>
      </c>
      <c r="S136" s="95" t="s">
        <v>99</v>
      </c>
      <c r="T136" s="95" t="s">
        <v>205</v>
      </c>
    </row>
    <row r="137" spans="1:20" x14ac:dyDescent="0.2">
      <c r="A137" s="95" t="s">
        <v>65</v>
      </c>
      <c r="B137" s="95" t="s">
        <v>66</v>
      </c>
      <c r="C137" s="95" t="s">
        <v>86</v>
      </c>
      <c r="D137" s="95" t="s">
        <v>68</v>
      </c>
      <c r="F137" s="95">
        <v>1.5</v>
      </c>
      <c r="G137" s="95">
        <v>7.5</v>
      </c>
      <c r="I137" s="95">
        <v>1.1131249999999999</v>
      </c>
      <c r="P137" s="95">
        <v>2023</v>
      </c>
      <c r="Q137" s="95" t="s">
        <v>199</v>
      </c>
      <c r="R137" s="95" t="s">
        <v>206</v>
      </c>
      <c r="S137" s="95" t="s">
        <v>99</v>
      </c>
      <c r="T137" s="95" t="s">
        <v>207</v>
      </c>
    </row>
    <row r="138" spans="1:20" x14ac:dyDescent="0.2">
      <c r="A138" s="95" t="s">
        <v>65</v>
      </c>
      <c r="B138" s="95" t="s">
        <v>66</v>
      </c>
      <c r="C138" s="95" t="s">
        <v>85</v>
      </c>
      <c r="D138" s="95" t="s">
        <v>81</v>
      </c>
      <c r="F138" s="95">
        <v>1.5</v>
      </c>
      <c r="G138" s="95">
        <v>5.78</v>
      </c>
      <c r="I138" s="95">
        <v>0.65187499999999998</v>
      </c>
      <c r="P138" s="95">
        <v>2023</v>
      </c>
      <c r="Q138" s="95" t="s">
        <v>191</v>
      </c>
      <c r="R138" s="95" t="s">
        <v>208</v>
      </c>
      <c r="S138" s="95" t="s">
        <v>99</v>
      </c>
      <c r="T138" s="95" t="s">
        <v>209</v>
      </c>
    </row>
    <row r="139" spans="1:20" x14ac:dyDescent="0.2">
      <c r="A139" s="95" t="s">
        <v>65</v>
      </c>
      <c r="B139" s="95" t="s">
        <v>66</v>
      </c>
      <c r="C139" s="95" t="s">
        <v>86</v>
      </c>
      <c r="D139" s="95" t="s">
        <v>68</v>
      </c>
      <c r="F139" s="95">
        <v>2</v>
      </c>
      <c r="G139" s="95">
        <v>10</v>
      </c>
      <c r="I139" s="95">
        <v>1.89</v>
      </c>
      <c r="P139" s="95">
        <v>2023</v>
      </c>
      <c r="Q139" s="95" t="s">
        <v>210</v>
      </c>
      <c r="R139" s="95" t="s">
        <v>211</v>
      </c>
      <c r="S139" s="95" t="s">
        <v>99</v>
      </c>
      <c r="T139" s="95" t="s">
        <v>212</v>
      </c>
    </row>
    <row r="140" spans="1:20" x14ac:dyDescent="0.2">
      <c r="A140" s="95" t="s">
        <v>65</v>
      </c>
      <c r="B140" s="95" t="s">
        <v>66</v>
      </c>
      <c r="C140" s="95" t="s">
        <v>85</v>
      </c>
      <c r="D140" s="95" t="s">
        <v>81</v>
      </c>
      <c r="F140" s="95">
        <v>2</v>
      </c>
      <c r="G140" s="95">
        <v>7.7</v>
      </c>
      <c r="I140" s="95">
        <v>0.83218749999999997</v>
      </c>
      <c r="P140" s="95">
        <v>2023</v>
      </c>
      <c r="Q140" s="95" t="s">
        <v>191</v>
      </c>
      <c r="R140" s="95" t="s">
        <v>213</v>
      </c>
      <c r="S140" s="95" t="s">
        <v>99</v>
      </c>
      <c r="T140" s="95" t="s">
        <v>214</v>
      </c>
    </row>
    <row r="141" spans="1:20" x14ac:dyDescent="0.2">
      <c r="A141" s="95" t="s">
        <v>65</v>
      </c>
      <c r="B141" s="95" t="s">
        <v>66</v>
      </c>
      <c r="C141" s="95" t="s">
        <v>86</v>
      </c>
      <c r="D141" s="95" t="s">
        <v>68</v>
      </c>
      <c r="F141" s="95">
        <v>2</v>
      </c>
      <c r="G141" s="95">
        <v>10</v>
      </c>
      <c r="I141" s="95">
        <v>1.85625</v>
      </c>
      <c r="P141" s="95">
        <v>2023</v>
      </c>
      <c r="Q141" s="95" t="s">
        <v>176</v>
      </c>
      <c r="R141" s="95" t="s">
        <v>215</v>
      </c>
      <c r="S141" s="95" t="s">
        <v>99</v>
      </c>
      <c r="T141" s="95" t="s">
        <v>216</v>
      </c>
    </row>
    <row r="142" spans="1:20" x14ac:dyDescent="0.2">
      <c r="A142" s="95" t="s">
        <v>65</v>
      </c>
      <c r="B142" s="95" t="s">
        <v>66</v>
      </c>
      <c r="C142" s="95" t="s">
        <v>86</v>
      </c>
      <c r="D142" s="95" t="s">
        <v>68</v>
      </c>
      <c r="F142" s="95">
        <v>2</v>
      </c>
      <c r="G142" s="95">
        <v>10</v>
      </c>
      <c r="I142" s="95">
        <v>1.85625</v>
      </c>
      <c r="P142" s="95">
        <v>2023</v>
      </c>
      <c r="Q142" s="95" t="s">
        <v>217</v>
      </c>
      <c r="R142" s="95" t="s">
        <v>218</v>
      </c>
      <c r="S142" s="95" t="s">
        <v>99</v>
      </c>
      <c r="T142" s="95" t="s">
        <v>219</v>
      </c>
    </row>
    <row r="143" spans="1:20" x14ac:dyDescent="0.2">
      <c r="A143" s="95" t="s">
        <v>65</v>
      </c>
      <c r="B143" s="95" t="s">
        <v>66</v>
      </c>
      <c r="C143" s="95" t="s">
        <v>85</v>
      </c>
      <c r="D143" s="95" t="s">
        <v>81</v>
      </c>
      <c r="F143" s="95">
        <v>2</v>
      </c>
      <c r="G143" s="95">
        <v>10</v>
      </c>
      <c r="I143" s="95">
        <v>2.875</v>
      </c>
      <c r="P143" s="95">
        <v>2023</v>
      </c>
      <c r="Q143" s="95" t="s">
        <v>182</v>
      </c>
      <c r="R143" s="95" t="s">
        <v>220</v>
      </c>
      <c r="S143" s="95" t="s">
        <v>99</v>
      </c>
      <c r="T143" s="95" t="s">
        <v>221</v>
      </c>
    </row>
    <row r="144" spans="1:20" x14ac:dyDescent="0.2">
      <c r="A144" s="95" t="s">
        <v>65</v>
      </c>
      <c r="B144" s="95" t="s">
        <v>66</v>
      </c>
      <c r="C144" s="95" t="s">
        <v>86</v>
      </c>
      <c r="D144" s="95" t="s">
        <v>81</v>
      </c>
      <c r="F144" s="95">
        <v>2</v>
      </c>
      <c r="G144" s="95">
        <v>10</v>
      </c>
      <c r="I144" s="95">
        <v>5.2262500000000003</v>
      </c>
      <c r="P144" s="95">
        <v>2023</v>
      </c>
      <c r="Q144" s="95" t="s">
        <v>199</v>
      </c>
      <c r="R144" s="95" t="s">
        <v>222</v>
      </c>
      <c r="S144" s="95" t="s">
        <v>99</v>
      </c>
      <c r="T144" s="95" t="s">
        <v>223</v>
      </c>
    </row>
    <row r="145" spans="1:20" x14ac:dyDescent="0.2">
      <c r="A145" s="95" t="s">
        <v>65</v>
      </c>
      <c r="B145" s="95" t="s">
        <v>66</v>
      </c>
      <c r="C145" s="95" t="s">
        <v>86</v>
      </c>
      <c r="D145" s="95" t="s">
        <v>81</v>
      </c>
      <c r="F145" s="95">
        <v>2</v>
      </c>
      <c r="G145" s="95">
        <v>10</v>
      </c>
      <c r="I145" s="95">
        <v>4.9924999999999997</v>
      </c>
      <c r="P145" s="95">
        <v>2023</v>
      </c>
      <c r="Q145" s="95" t="s">
        <v>199</v>
      </c>
      <c r="R145" s="95" t="s">
        <v>224</v>
      </c>
      <c r="S145" s="95" t="s">
        <v>99</v>
      </c>
      <c r="T145" s="95" t="s">
        <v>225</v>
      </c>
    </row>
    <row r="146" spans="1:20" x14ac:dyDescent="0.2">
      <c r="A146" s="95" t="s">
        <v>65</v>
      </c>
      <c r="B146" s="95" t="s">
        <v>66</v>
      </c>
      <c r="C146" s="95" t="s">
        <v>86</v>
      </c>
      <c r="D146" s="95" t="s">
        <v>81</v>
      </c>
      <c r="F146" s="95">
        <v>2</v>
      </c>
      <c r="G146" s="95">
        <v>10</v>
      </c>
      <c r="I146" s="95">
        <v>5.15625</v>
      </c>
      <c r="P146" s="95">
        <v>2023</v>
      </c>
      <c r="Q146" s="95" t="s">
        <v>199</v>
      </c>
      <c r="R146" s="95" t="s">
        <v>226</v>
      </c>
      <c r="S146" s="95" t="s">
        <v>99</v>
      </c>
      <c r="T146" s="95" t="s">
        <v>227</v>
      </c>
    </row>
    <row r="147" spans="1:20" x14ac:dyDescent="0.2">
      <c r="A147" s="95" t="s">
        <v>65</v>
      </c>
      <c r="B147" s="95" t="s">
        <v>66</v>
      </c>
      <c r="C147" s="95" t="s">
        <v>85</v>
      </c>
      <c r="D147" s="95" t="s">
        <v>68</v>
      </c>
      <c r="F147" s="95">
        <v>2.38</v>
      </c>
      <c r="G147" s="95">
        <v>10</v>
      </c>
      <c r="I147" s="95">
        <v>2.5821874999999999</v>
      </c>
      <c r="P147" s="95">
        <v>2023</v>
      </c>
      <c r="Q147" s="95" t="s">
        <v>228</v>
      </c>
      <c r="R147" s="95" t="s">
        <v>229</v>
      </c>
      <c r="S147" s="95" t="s">
        <v>99</v>
      </c>
      <c r="T147" s="95" t="s">
        <v>230</v>
      </c>
    </row>
    <row r="148" spans="1:20" x14ac:dyDescent="0.2">
      <c r="A148" s="95" t="s">
        <v>73</v>
      </c>
      <c r="B148" s="95" t="s">
        <v>66</v>
      </c>
      <c r="C148" s="95" t="s">
        <v>91</v>
      </c>
      <c r="D148" s="95" t="s">
        <v>68</v>
      </c>
      <c r="F148" s="95">
        <v>2</v>
      </c>
      <c r="G148" s="95">
        <v>8.4</v>
      </c>
      <c r="I148" s="95">
        <v>3.6652473958333331</v>
      </c>
      <c r="P148" s="95">
        <v>2023</v>
      </c>
      <c r="Q148" s="95" t="s">
        <v>176</v>
      </c>
      <c r="R148" s="95" t="s">
        <v>285</v>
      </c>
      <c r="S148" s="95" t="s">
        <v>99</v>
      </c>
      <c r="T148" s="95" t="s">
        <v>286</v>
      </c>
    </row>
    <row r="149" spans="1:20" x14ac:dyDescent="0.2">
      <c r="A149" s="95" t="s">
        <v>73</v>
      </c>
      <c r="B149" s="95" t="s">
        <v>66</v>
      </c>
      <c r="C149" s="95" t="s">
        <v>287</v>
      </c>
      <c r="D149" s="95" t="s">
        <v>68</v>
      </c>
      <c r="I149" s="95">
        <v>1.1765886287625418</v>
      </c>
      <c r="P149" s="95">
        <v>2023</v>
      </c>
      <c r="Q149" s="95" t="s">
        <v>288</v>
      </c>
      <c r="R149" s="95" t="s">
        <v>289</v>
      </c>
      <c r="S149" s="95" t="s">
        <v>99</v>
      </c>
      <c r="T149" s="95" t="s">
        <v>290</v>
      </c>
    </row>
    <row r="150" spans="1:20" x14ac:dyDescent="0.2">
      <c r="A150" s="95" t="s">
        <v>73</v>
      </c>
      <c r="B150" s="95" t="s">
        <v>66</v>
      </c>
      <c r="C150" s="95" t="s">
        <v>291</v>
      </c>
      <c r="D150" s="95" t="s">
        <v>68</v>
      </c>
      <c r="F150" s="95">
        <v>3.5</v>
      </c>
      <c r="G150" s="95">
        <v>13</v>
      </c>
      <c r="I150" s="95">
        <v>1.3846938775510202</v>
      </c>
      <c r="P150" s="95">
        <v>2023</v>
      </c>
      <c r="Q150" s="95" t="s">
        <v>292</v>
      </c>
      <c r="R150" s="95" t="s">
        <v>293</v>
      </c>
      <c r="S150" s="95" t="s">
        <v>99</v>
      </c>
      <c r="T150" s="95" t="s">
        <v>102</v>
      </c>
    </row>
    <row r="151" spans="1:20" x14ac:dyDescent="0.2">
      <c r="A151" s="95" t="s">
        <v>73</v>
      </c>
      <c r="B151" s="95" t="s">
        <v>66</v>
      </c>
      <c r="C151" s="95" t="s">
        <v>291</v>
      </c>
      <c r="D151" s="95" t="s">
        <v>68</v>
      </c>
      <c r="F151" s="95">
        <v>3.5</v>
      </c>
      <c r="G151" s="95">
        <v>15</v>
      </c>
      <c r="I151" s="95">
        <v>1.5803571428571428</v>
      </c>
      <c r="P151" s="95">
        <v>2023</v>
      </c>
      <c r="Q151" s="95" t="s">
        <v>292</v>
      </c>
      <c r="R151" s="95" t="s">
        <v>294</v>
      </c>
      <c r="S151" s="95" t="s">
        <v>99</v>
      </c>
      <c r="T151" s="95" t="s">
        <v>106</v>
      </c>
    </row>
    <row r="152" spans="1:20" x14ac:dyDescent="0.2">
      <c r="A152" s="95" t="s">
        <v>73</v>
      </c>
      <c r="B152" s="95" t="s">
        <v>66</v>
      </c>
      <c r="C152" s="95" t="s">
        <v>295</v>
      </c>
      <c r="D152" s="95" t="s">
        <v>68</v>
      </c>
      <c r="F152" s="95">
        <v>3.5</v>
      </c>
      <c r="G152" s="95">
        <v>15</v>
      </c>
      <c r="I152" s="95">
        <v>1.3144053601340033</v>
      </c>
      <c r="P152" s="95">
        <v>2023</v>
      </c>
      <c r="Q152" s="95" t="s">
        <v>296</v>
      </c>
      <c r="R152" s="95" t="s">
        <v>297</v>
      </c>
      <c r="S152" s="95" t="s">
        <v>99</v>
      </c>
      <c r="T152" s="95" t="s">
        <v>110</v>
      </c>
    </row>
    <row r="153" spans="1:20" x14ac:dyDescent="0.2">
      <c r="A153" s="95" t="s">
        <v>73</v>
      </c>
      <c r="B153" s="95" t="s">
        <v>66</v>
      </c>
      <c r="C153" s="95" t="s">
        <v>291</v>
      </c>
      <c r="D153" s="95" t="s">
        <v>68</v>
      </c>
      <c r="F153" s="95">
        <v>7.125</v>
      </c>
      <c r="G153" s="95">
        <v>30</v>
      </c>
      <c r="I153" s="95">
        <v>3.7503401360544215</v>
      </c>
      <c r="P153" s="95">
        <v>2023</v>
      </c>
      <c r="Q153" s="95" t="s">
        <v>298</v>
      </c>
      <c r="R153" s="95" t="s">
        <v>299</v>
      </c>
      <c r="S153" s="95" t="s">
        <v>99</v>
      </c>
      <c r="T153" s="95" t="s">
        <v>117</v>
      </c>
    </row>
    <row r="154" spans="1:20" x14ac:dyDescent="0.2">
      <c r="A154" s="95" t="s">
        <v>73</v>
      </c>
      <c r="B154" s="95" t="s">
        <v>66</v>
      </c>
      <c r="C154" s="95" t="s">
        <v>291</v>
      </c>
      <c r="D154" s="95" t="s">
        <v>68</v>
      </c>
      <c r="F154" s="95">
        <v>5.5</v>
      </c>
      <c r="G154" s="95">
        <v>23</v>
      </c>
      <c r="I154" s="95">
        <v>2.0020483613109512</v>
      </c>
      <c r="P154" s="95">
        <v>2023</v>
      </c>
      <c r="Q154" s="95" t="s">
        <v>300</v>
      </c>
      <c r="R154" s="95" t="s">
        <v>301</v>
      </c>
      <c r="S154" s="95" t="s">
        <v>99</v>
      </c>
      <c r="T154" s="95" t="s">
        <v>302</v>
      </c>
    </row>
    <row r="155" spans="1:20" x14ac:dyDescent="0.2">
      <c r="A155" s="95" t="s">
        <v>73</v>
      </c>
      <c r="B155" s="95" t="s">
        <v>66</v>
      </c>
      <c r="C155" s="95" t="s">
        <v>291</v>
      </c>
      <c r="D155" s="95" t="s">
        <v>68</v>
      </c>
      <c r="F155" s="95">
        <v>7.125</v>
      </c>
      <c r="G155" s="95">
        <v>30</v>
      </c>
      <c r="I155" s="95">
        <v>3.3362777777777777</v>
      </c>
      <c r="P155" s="95">
        <v>2023</v>
      </c>
      <c r="Q155" s="95" t="s">
        <v>298</v>
      </c>
      <c r="R155" s="95" t="s">
        <v>303</v>
      </c>
      <c r="S155" s="95" t="s">
        <v>99</v>
      </c>
      <c r="T155" s="95" t="s">
        <v>123</v>
      </c>
    </row>
    <row r="156" spans="1:20" x14ac:dyDescent="0.2">
      <c r="A156" s="95" t="s">
        <v>73</v>
      </c>
      <c r="B156" s="95" t="s">
        <v>66</v>
      </c>
      <c r="C156" s="95" t="s">
        <v>291</v>
      </c>
      <c r="D156" s="95" t="s">
        <v>68</v>
      </c>
      <c r="F156" s="95">
        <v>5.5</v>
      </c>
      <c r="G156" s="95">
        <v>21</v>
      </c>
      <c r="I156" s="95">
        <v>2.6538701622971286</v>
      </c>
      <c r="P156" s="95">
        <v>2023</v>
      </c>
      <c r="Q156" s="95" t="s">
        <v>304</v>
      </c>
      <c r="R156" s="95" t="s">
        <v>305</v>
      </c>
      <c r="S156" s="95" t="s">
        <v>99</v>
      </c>
      <c r="T156" s="95" t="s">
        <v>119</v>
      </c>
    </row>
    <row r="157" spans="1:20" x14ac:dyDescent="0.2">
      <c r="A157" s="95" t="s">
        <v>73</v>
      </c>
      <c r="B157" s="95" t="s">
        <v>66</v>
      </c>
      <c r="C157" s="95" t="s">
        <v>291</v>
      </c>
      <c r="D157" s="95" t="s">
        <v>68</v>
      </c>
      <c r="F157" s="95">
        <v>5.5</v>
      </c>
      <c r="G157" s="95">
        <v>21</v>
      </c>
      <c r="I157" s="95">
        <v>2.6630356349911191</v>
      </c>
      <c r="P157" s="95">
        <v>2023</v>
      </c>
      <c r="Q157" s="95" t="s">
        <v>300</v>
      </c>
      <c r="R157" s="95" t="s">
        <v>306</v>
      </c>
      <c r="S157" s="95" t="s">
        <v>99</v>
      </c>
      <c r="T157" s="95" t="s">
        <v>139</v>
      </c>
    </row>
    <row r="158" spans="1:20" x14ac:dyDescent="0.2">
      <c r="A158" s="95" t="s">
        <v>73</v>
      </c>
      <c r="B158" s="95" t="s">
        <v>66</v>
      </c>
      <c r="C158" s="95" t="s">
        <v>291</v>
      </c>
      <c r="D158" s="95" t="s">
        <v>68</v>
      </c>
      <c r="F158" s="95">
        <v>3.5</v>
      </c>
      <c r="G158" s="95">
        <v>13</v>
      </c>
      <c r="I158" s="95">
        <v>1.4539939227439227</v>
      </c>
      <c r="P158" s="95">
        <v>2023</v>
      </c>
      <c r="Q158" s="95" t="s">
        <v>300</v>
      </c>
      <c r="R158" s="95" t="s">
        <v>307</v>
      </c>
      <c r="S158" s="95" t="s">
        <v>99</v>
      </c>
      <c r="T158" s="95" t="s">
        <v>146</v>
      </c>
    </row>
  </sheetData>
  <hyperlinks>
    <hyperlink ref="A1" location="'Table of Contents'!A1" display="Table of Contents" xr:uid="{26491DDB-D32F-470C-8980-CE01F82F4367}"/>
  </hyperlink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1EFA9-7875-431A-812A-C543624D8F4A}">
  <dimension ref="A1:AC43"/>
  <sheetViews>
    <sheetView showGridLines="0" topLeftCell="A3" zoomScaleNormal="100" workbookViewId="0"/>
  </sheetViews>
  <sheetFormatPr baseColWidth="10" defaultColWidth="8.83203125" defaultRowHeight="15" x14ac:dyDescent="0.2"/>
  <cols>
    <col min="1" max="1" width="32.5" customWidth="1"/>
    <col min="2" max="2" width="14.5" bestFit="1" customWidth="1"/>
    <col min="3" max="3" width="11.6640625" bestFit="1" customWidth="1"/>
    <col min="4" max="5" width="13.6640625" bestFit="1" customWidth="1"/>
    <col min="6" max="6" width="14.33203125" bestFit="1" customWidth="1"/>
    <col min="7" max="7" width="17" bestFit="1" customWidth="1"/>
    <col min="8" max="8" width="7.33203125" customWidth="1"/>
    <col min="9" max="10" width="11.6640625" bestFit="1" customWidth="1"/>
    <col min="11" max="11" width="13.6640625" bestFit="1" customWidth="1"/>
    <col min="12" max="12" width="18.33203125" bestFit="1" customWidth="1"/>
    <col min="13" max="13" width="14.33203125" bestFit="1" customWidth="1"/>
    <col min="14" max="14" width="14.5" bestFit="1" customWidth="1"/>
    <col min="15" max="15" width="8.6640625" bestFit="1" customWidth="1"/>
    <col min="16" max="17" width="11.6640625" bestFit="1" customWidth="1"/>
    <col min="18" max="18" width="15.33203125" customWidth="1"/>
    <col min="19" max="19" width="7.33203125" bestFit="1" customWidth="1"/>
    <col min="20" max="20" width="7.5" bestFit="1" customWidth="1"/>
    <col min="21" max="21" width="15.6640625" bestFit="1" customWidth="1"/>
    <col min="22" max="22" width="11.6640625" customWidth="1"/>
    <col min="23" max="23" width="17" bestFit="1" customWidth="1"/>
    <col min="24" max="24" width="7.6640625" bestFit="1" customWidth="1"/>
    <col min="25" max="25" width="8.5" bestFit="1" customWidth="1"/>
    <col min="26" max="26" width="27.6640625" bestFit="1" customWidth="1"/>
    <col min="27" max="27" width="12.33203125" bestFit="1" customWidth="1"/>
    <col min="28" max="28" width="36.33203125" bestFit="1" customWidth="1"/>
    <col min="29" max="29" width="6.33203125" bestFit="1" customWidth="1"/>
    <col min="30" max="30" width="14.6640625" bestFit="1" customWidth="1"/>
  </cols>
  <sheetData>
    <row r="1" spans="1:29" x14ac:dyDescent="0.2">
      <c r="A1" s="4" t="s">
        <v>21</v>
      </c>
    </row>
    <row r="2" spans="1:29" ht="16" thickBot="1" x14ac:dyDescent="0.25">
      <c r="A2" s="41" t="s">
        <v>342</v>
      </c>
    </row>
    <row r="3" spans="1:29" x14ac:dyDescent="0.2">
      <c r="A3" s="434" t="s">
        <v>343</v>
      </c>
      <c r="B3" s="435"/>
      <c r="C3" s="436"/>
      <c r="D3" s="437" t="s">
        <v>344</v>
      </c>
      <c r="E3" s="437"/>
      <c r="F3" s="437"/>
      <c r="G3" s="437"/>
      <c r="H3" s="437"/>
      <c r="I3" s="437"/>
      <c r="J3" s="438"/>
      <c r="K3" s="439" t="s">
        <v>345</v>
      </c>
      <c r="L3" s="440"/>
      <c r="M3" s="440"/>
      <c r="N3" s="440"/>
      <c r="O3" s="440"/>
      <c r="P3" s="440"/>
      <c r="Q3" s="441"/>
      <c r="R3" s="442" t="s">
        <v>346</v>
      </c>
      <c r="S3" s="443"/>
      <c r="T3" s="443"/>
      <c r="U3" s="430" t="s">
        <v>4571</v>
      </c>
      <c r="V3" s="444"/>
      <c r="W3" s="430" t="s">
        <v>4572</v>
      </c>
      <c r="X3" s="430"/>
      <c r="Y3" s="431" t="s">
        <v>347</v>
      </c>
      <c r="Z3" s="432"/>
      <c r="AA3" s="432"/>
      <c r="AB3" s="432"/>
      <c r="AC3" s="433"/>
    </row>
    <row r="4" spans="1:29" ht="16" thickBot="1" x14ac:dyDescent="0.25">
      <c r="A4" s="106" t="s">
        <v>0</v>
      </c>
      <c r="B4" s="107" t="s">
        <v>348</v>
      </c>
      <c r="C4" s="108" t="s">
        <v>349</v>
      </c>
      <c r="D4" s="109" t="s">
        <v>350</v>
      </c>
      <c r="E4" s="110" t="s">
        <v>351</v>
      </c>
      <c r="F4" s="110" t="s">
        <v>352</v>
      </c>
      <c r="G4" s="110" t="s">
        <v>353</v>
      </c>
      <c r="H4" s="110" t="s">
        <v>354</v>
      </c>
      <c r="I4" s="110" t="s">
        <v>355</v>
      </c>
      <c r="J4" s="110" t="s">
        <v>356</v>
      </c>
      <c r="K4" s="111" t="s">
        <v>350</v>
      </c>
      <c r="L4" s="112" t="s">
        <v>351</v>
      </c>
      <c r="M4" s="112" t="s">
        <v>352</v>
      </c>
      <c r="N4" s="112" t="s">
        <v>353</v>
      </c>
      <c r="O4" s="112" t="s">
        <v>354</v>
      </c>
      <c r="P4" s="112" t="s">
        <v>355</v>
      </c>
      <c r="Q4" s="119" t="s">
        <v>356</v>
      </c>
      <c r="R4" s="113" t="s">
        <v>357</v>
      </c>
      <c r="S4" s="114" t="s">
        <v>358</v>
      </c>
      <c r="T4" s="115" t="s">
        <v>359</v>
      </c>
      <c r="U4" s="116" t="s">
        <v>360</v>
      </c>
      <c r="V4" s="212" t="s">
        <v>361</v>
      </c>
      <c r="W4" s="116" t="s">
        <v>360</v>
      </c>
      <c r="X4" s="116" t="s">
        <v>361</v>
      </c>
      <c r="Y4" s="45" t="s">
        <v>39</v>
      </c>
      <c r="Z4" s="46" t="s">
        <v>5321</v>
      </c>
      <c r="AA4" s="46" t="s">
        <v>362</v>
      </c>
      <c r="AB4" s="46" t="s">
        <v>5385</v>
      </c>
      <c r="AC4" s="117" t="s">
        <v>41</v>
      </c>
    </row>
    <row r="5" spans="1:29" x14ac:dyDescent="0.2">
      <c r="A5" s="47" t="s">
        <v>3410</v>
      </c>
      <c r="B5" s="36" t="s">
        <v>5400</v>
      </c>
      <c r="C5" s="36" t="s">
        <v>364</v>
      </c>
      <c r="D5" s="36">
        <v>0.48044999999999999</v>
      </c>
      <c r="E5" s="36">
        <v>0.89423600000000003</v>
      </c>
      <c r="F5" s="36">
        <v>1.3336589999999999</v>
      </c>
      <c r="G5" s="36" t="s">
        <v>5316</v>
      </c>
      <c r="H5" s="221" t="s">
        <v>5317</v>
      </c>
      <c r="I5" s="36">
        <v>0.03</v>
      </c>
      <c r="J5" s="36">
        <v>0.4</v>
      </c>
      <c r="K5" s="36" t="s">
        <v>366</v>
      </c>
      <c r="L5" s="36" t="s">
        <v>366</v>
      </c>
      <c r="M5" s="36" t="s">
        <v>366</v>
      </c>
      <c r="N5" s="36" t="s">
        <v>366</v>
      </c>
      <c r="O5" s="36" t="s">
        <v>366</v>
      </c>
      <c r="P5" s="36" t="s">
        <v>366</v>
      </c>
      <c r="Q5" s="36" t="s">
        <v>366</v>
      </c>
      <c r="R5" s="36">
        <v>0.14008100000000001</v>
      </c>
      <c r="S5" s="36">
        <v>0.22737299999999999</v>
      </c>
      <c r="T5" s="36">
        <v>0.45766800000000002</v>
      </c>
      <c r="U5" s="342" t="s">
        <v>366</v>
      </c>
      <c r="V5" s="342">
        <v>1</v>
      </c>
      <c r="W5" s="342" t="s">
        <v>366</v>
      </c>
      <c r="X5" s="342" t="s">
        <v>366</v>
      </c>
      <c r="Y5" s="36">
        <v>999</v>
      </c>
      <c r="Z5" s="36" t="s">
        <v>5432</v>
      </c>
      <c r="AA5" s="36">
        <v>6</v>
      </c>
      <c r="AB5" s="36" t="s">
        <v>5443</v>
      </c>
      <c r="AC5" s="48" t="s">
        <v>1168</v>
      </c>
    </row>
    <row r="6" spans="1:29" ht="16" thickBot="1" x14ac:dyDescent="0.25">
      <c r="A6" s="23" t="s">
        <v>3410</v>
      </c>
      <c r="B6" s="15" t="s">
        <v>5401</v>
      </c>
      <c r="C6" s="15" t="s">
        <v>364</v>
      </c>
      <c r="D6" s="15">
        <v>0.107294</v>
      </c>
      <c r="E6" s="15">
        <v>0.86797899999999995</v>
      </c>
      <c r="F6" s="15">
        <v>0.78597799999999995</v>
      </c>
      <c r="G6" s="15" t="s">
        <v>5316</v>
      </c>
      <c r="H6" s="15" t="s">
        <v>5317</v>
      </c>
      <c r="I6" s="15">
        <v>0.4</v>
      </c>
      <c r="J6" s="15">
        <v>0.92</v>
      </c>
      <c r="K6" s="15" t="s">
        <v>366</v>
      </c>
      <c r="L6" s="15" t="s">
        <v>366</v>
      </c>
      <c r="M6" s="15" t="s">
        <v>366</v>
      </c>
      <c r="N6" s="15" t="s">
        <v>366</v>
      </c>
      <c r="O6" s="15" t="s">
        <v>366</v>
      </c>
      <c r="P6" s="15" t="s">
        <v>366</v>
      </c>
      <c r="Q6" s="15" t="s">
        <v>366</v>
      </c>
      <c r="R6" s="15">
        <v>0.252077</v>
      </c>
      <c r="S6" s="15">
        <v>0.29793500000000001</v>
      </c>
      <c r="T6" s="15">
        <v>0.87481399999999998</v>
      </c>
      <c r="U6" s="15" t="s">
        <v>366</v>
      </c>
      <c r="V6" s="33">
        <v>1</v>
      </c>
      <c r="W6" s="15" t="s">
        <v>366</v>
      </c>
      <c r="X6" s="15" t="s">
        <v>366</v>
      </c>
      <c r="Y6" s="15">
        <v>999</v>
      </c>
      <c r="Z6" s="15" t="s">
        <v>5432</v>
      </c>
      <c r="AA6" s="15">
        <v>6</v>
      </c>
      <c r="AB6" s="15" t="s">
        <v>5444</v>
      </c>
      <c r="AC6" s="50"/>
    </row>
    <row r="9" spans="1:29" x14ac:dyDescent="0.2">
      <c r="A9" s="34" t="s">
        <v>372</v>
      </c>
    </row>
    <row r="10" spans="1:29" s="15" customFormat="1" ht="16" thickBot="1" x14ac:dyDescent="0.25"/>
    <row r="11" spans="1:29" x14ac:dyDescent="0.2">
      <c r="A11" s="34" t="s">
        <v>5375</v>
      </c>
    </row>
    <row r="12" spans="1:29" x14ac:dyDescent="0.2">
      <c r="A12" s="37" t="s">
        <v>5307</v>
      </c>
      <c r="B12" t="s">
        <v>5378</v>
      </c>
    </row>
    <row r="13" spans="1:29" x14ac:dyDescent="0.2">
      <c r="A13" s="37" t="s">
        <v>375</v>
      </c>
      <c r="B13">
        <v>351</v>
      </c>
      <c r="J13" s="41" t="s">
        <v>4810</v>
      </c>
    </row>
    <row r="14" spans="1:29" ht="17" x14ac:dyDescent="0.2">
      <c r="A14" s="37" t="s">
        <v>376</v>
      </c>
      <c r="B14">
        <v>5.1380000000000002E-2</v>
      </c>
      <c r="H14" t="s">
        <v>5031</v>
      </c>
      <c r="J14" t="s">
        <v>4806</v>
      </c>
      <c r="K14">
        <f>VALUE(TRIM(RIGHT(TEXT(H16,),LEN(H16)-LEN("Metric_1")-4)))</f>
        <v>0.48044999999999999</v>
      </c>
      <c r="L14">
        <f>VALUE(TRIM(RIGHT(TEXT(H20,),LEN(H20)-LEN("Metric_1")-4)))</f>
        <v>0.89423600000000003</v>
      </c>
      <c r="M14">
        <f>VALUE(TRIM(RIGHT(TEXT(H24,),LEN(H24)-LEN("Metric_1")-4)))</f>
        <v>1.3336589999999999</v>
      </c>
    </row>
    <row r="15" spans="1:29" x14ac:dyDescent="0.2">
      <c r="H15" t="s">
        <v>5367</v>
      </c>
      <c r="J15" t="s">
        <v>4807</v>
      </c>
      <c r="K15">
        <f>VALUE(TRIM(RIGHT(TEXT(H17,),LEN(H17)-LEN("Metric_2")-4)))</f>
        <v>0</v>
      </c>
      <c r="L15">
        <f>VALUE(TRIM(RIGHT(TEXT(H21,),LEN(H21)-LEN("Metric_2")-4)))</f>
        <v>0</v>
      </c>
      <c r="M15">
        <f>VALUE(TRIM(RIGHT(TEXT(H25,),LEN(H25)-LEN("Metric_2")-4)))</f>
        <v>0</v>
      </c>
    </row>
    <row r="16" spans="1:29" x14ac:dyDescent="0.2">
      <c r="H16" t="s">
        <v>5368</v>
      </c>
      <c r="J16" t="s">
        <v>4808</v>
      </c>
      <c r="K16">
        <f>VALUE(TRIM(RIGHT(H15,LEN(H15)-LEN("Intercept")-4)))</f>
        <v>0.14008100000000001</v>
      </c>
      <c r="L16">
        <f>VALUE(TRIM(RIGHT(H19,LEN(H19)-LEN("Intercept")-4)))</f>
        <v>0.22737299999999999</v>
      </c>
      <c r="M16">
        <f>VALUE(TRIM(RIGHT(H23,LEN(H23)-LEN("Intercept")-4)))</f>
        <v>0.45766800000000002</v>
      </c>
    </row>
    <row r="17" spans="1:13" x14ac:dyDescent="0.2">
      <c r="H17" t="s">
        <v>5116</v>
      </c>
    </row>
    <row r="18" spans="1:13" x14ac:dyDescent="0.2">
      <c r="H18" t="s">
        <v>5032</v>
      </c>
    </row>
    <row r="19" spans="1:13" x14ac:dyDescent="0.2">
      <c r="H19" t="s">
        <v>5365</v>
      </c>
    </row>
    <row r="20" spans="1:13" x14ac:dyDescent="0.2">
      <c r="H20" t="s">
        <v>5366</v>
      </c>
    </row>
    <row r="21" spans="1:13" x14ac:dyDescent="0.2">
      <c r="H21" t="s">
        <v>5116</v>
      </c>
    </row>
    <row r="22" spans="1:13" x14ac:dyDescent="0.2">
      <c r="H22" t="s">
        <v>5033</v>
      </c>
    </row>
    <row r="23" spans="1:13" x14ac:dyDescent="0.2">
      <c r="H23" t="s">
        <v>5363</v>
      </c>
    </row>
    <row r="24" spans="1:13" x14ac:dyDescent="0.2">
      <c r="H24" t="s">
        <v>5364</v>
      </c>
    </row>
    <row r="25" spans="1:13" x14ac:dyDescent="0.2">
      <c r="H25" t="s">
        <v>5116</v>
      </c>
    </row>
    <row r="27" spans="1:13" s="15" customFormat="1" ht="16" thickBot="1" x14ac:dyDescent="0.25"/>
    <row r="29" spans="1:13" x14ac:dyDescent="0.2">
      <c r="A29" s="34" t="s">
        <v>5376</v>
      </c>
    </row>
    <row r="30" spans="1:13" x14ac:dyDescent="0.2">
      <c r="A30" s="37" t="s">
        <v>5307</v>
      </c>
      <c r="B30" t="s">
        <v>5379</v>
      </c>
    </row>
    <row r="31" spans="1:13" x14ac:dyDescent="0.2">
      <c r="A31" s="37" t="s">
        <v>375</v>
      </c>
      <c r="B31">
        <v>87</v>
      </c>
      <c r="J31" s="41" t="s">
        <v>4810</v>
      </c>
    </row>
    <row r="32" spans="1:13" ht="17" x14ac:dyDescent="0.2">
      <c r="A32" s="37" t="s">
        <v>376</v>
      </c>
      <c r="B32">
        <v>2.545E-2</v>
      </c>
      <c r="H32" t="s">
        <v>5031</v>
      </c>
      <c r="J32" t="s">
        <v>4806</v>
      </c>
      <c r="K32">
        <f>VALUE(TRIM(RIGHT(TEXT(H34,),LEN(H34)-LEN("Metric_1")-4)))</f>
        <v>0.107294</v>
      </c>
      <c r="L32">
        <f>VALUE(TRIM(RIGHT(TEXT(H38,),LEN(H38)-LEN("Metric_1")-4)))</f>
        <v>0.86797899999999995</v>
      </c>
      <c r="M32">
        <f>VALUE(TRIM(RIGHT(TEXT(H42,),LEN(H42)-LEN("Metric_1")-4)))</f>
        <v>0.78597799999999995</v>
      </c>
    </row>
    <row r="33" spans="8:13" x14ac:dyDescent="0.2">
      <c r="H33" t="s">
        <v>5373</v>
      </c>
      <c r="J33" t="s">
        <v>4807</v>
      </c>
      <c r="K33">
        <f>VALUE(TRIM(RIGHT(TEXT(H35,),LEN(H35)-LEN("Metric_2")-4)))</f>
        <v>0</v>
      </c>
      <c r="L33">
        <f>VALUE(TRIM(RIGHT(TEXT(H39,),LEN(H39)-LEN("Metric_2")-4)))</f>
        <v>0</v>
      </c>
      <c r="M33">
        <f>VALUE(TRIM(RIGHT(TEXT(H43,),LEN(H43)-LEN("Metric_2")-4)))</f>
        <v>0</v>
      </c>
    </row>
    <row r="34" spans="8:13" x14ac:dyDescent="0.2">
      <c r="H34" t="s">
        <v>5374</v>
      </c>
      <c r="J34" t="s">
        <v>4808</v>
      </c>
      <c r="K34">
        <f>VALUE(TRIM(RIGHT(H33,LEN(H33)-LEN("Intercept")-4)))</f>
        <v>0.252077</v>
      </c>
      <c r="L34">
        <f>VALUE(TRIM(RIGHT(H37,LEN(H37)-LEN("Intercept")-4)))</f>
        <v>0.29793500000000001</v>
      </c>
      <c r="M34">
        <f>VALUE(TRIM(RIGHT(H41,LEN(H41)-LEN("Intercept")-4)))</f>
        <v>0.87481399999999998</v>
      </c>
    </row>
    <row r="35" spans="8:13" x14ac:dyDescent="0.2">
      <c r="H35" t="s">
        <v>5116</v>
      </c>
    </row>
    <row r="36" spans="8:13" x14ac:dyDescent="0.2">
      <c r="H36" t="s">
        <v>5032</v>
      </c>
    </row>
    <row r="37" spans="8:13" x14ac:dyDescent="0.2">
      <c r="H37" t="s">
        <v>5371</v>
      </c>
    </row>
    <row r="38" spans="8:13" x14ac:dyDescent="0.2">
      <c r="H38" t="s">
        <v>5372</v>
      </c>
    </row>
    <row r="39" spans="8:13" x14ac:dyDescent="0.2">
      <c r="H39" t="s">
        <v>5116</v>
      </c>
    </row>
    <row r="40" spans="8:13" x14ac:dyDescent="0.2">
      <c r="H40" t="s">
        <v>5033</v>
      </c>
    </row>
    <row r="41" spans="8:13" x14ac:dyDescent="0.2">
      <c r="H41" t="s">
        <v>5369</v>
      </c>
    </row>
    <row r="42" spans="8:13" x14ac:dyDescent="0.2">
      <c r="H42" t="s">
        <v>5370</v>
      </c>
    </row>
    <row r="43" spans="8:13" x14ac:dyDescent="0.2">
      <c r="H43" t="s">
        <v>5116</v>
      </c>
    </row>
  </sheetData>
  <mergeCells count="7">
    <mergeCell ref="W3:X3"/>
    <mergeCell ref="Y3:AC3"/>
    <mergeCell ref="A3:C3"/>
    <mergeCell ref="D3:J3"/>
    <mergeCell ref="K3:Q3"/>
    <mergeCell ref="R3:T3"/>
    <mergeCell ref="U3:V3"/>
  </mergeCells>
  <hyperlinks>
    <hyperlink ref="A1" location="'Table of Contents'!A1" display="Table of Contents" xr:uid="{EE2EBF74-490D-487B-A575-EB3CD0114944}"/>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FB1DA-33C7-4BD7-9137-0D85814C540B}">
  <dimension ref="A1:AM400"/>
  <sheetViews>
    <sheetView topLeftCell="R1" zoomScale="80" zoomScaleNormal="80" workbookViewId="0">
      <pane ySplit="3" topLeftCell="A4" activePane="bottomLeft" state="frozen"/>
      <selection pane="bottomLeft" activeCell="AF4" sqref="AF4"/>
    </sheetView>
  </sheetViews>
  <sheetFormatPr baseColWidth="10" defaultColWidth="8.83203125" defaultRowHeight="15" x14ac:dyDescent="0.2"/>
  <cols>
    <col min="1" max="1" width="17.6640625" bestFit="1" customWidth="1"/>
    <col min="2" max="2" width="18.33203125" bestFit="1" customWidth="1"/>
    <col min="3" max="3" width="19.6640625" bestFit="1" customWidth="1"/>
    <col min="4" max="4" width="38.6640625" bestFit="1" customWidth="1"/>
    <col min="5" max="5" width="11.33203125" bestFit="1" customWidth="1"/>
    <col min="6" max="6" width="17.33203125" bestFit="1" customWidth="1"/>
    <col min="7" max="7" width="10" customWidth="1"/>
    <col min="8" max="8" width="9.5" customWidth="1"/>
    <col min="9" max="9" width="11.6640625" bestFit="1" customWidth="1"/>
    <col min="10" max="10" width="10.5" bestFit="1" customWidth="1"/>
    <col min="11" max="11" width="10.83203125" bestFit="1" customWidth="1"/>
    <col min="12" max="12" width="12.1640625" bestFit="1" customWidth="1"/>
    <col min="13" max="13" width="14.6640625" bestFit="1" customWidth="1"/>
    <col min="14" max="14" width="11" bestFit="1" customWidth="1"/>
    <col min="15" max="15" width="15.83203125" bestFit="1" customWidth="1"/>
    <col min="16" max="16" width="15.5" bestFit="1" customWidth="1"/>
    <col min="17" max="17" width="23.33203125" bestFit="1" customWidth="1"/>
    <col min="18" max="18" width="11" bestFit="1" customWidth="1"/>
    <col min="19" max="19" width="7.6640625" bestFit="1" customWidth="1"/>
    <col min="20" max="20" width="15.83203125" bestFit="1" customWidth="1"/>
    <col min="21" max="21" width="12.6640625" bestFit="1" customWidth="1"/>
    <col min="22" max="22" width="21.33203125" customWidth="1"/>
    <col min="23" max="23" width="13.33203125" bestFit="1" customWidth="1"/>
    <col min="26" max="26" width="20.6640625" bestFit="1" customWidth="1"/>
    <col min="27" max="27" width="14.33203125" bestFit="1" customWidth="1"/>
    <col min="28" max="28" width="6.6640625" bestFit="1" customWidth="1"/>
    <col min="29" max="29" width="9.1640625" bestFit="1" customWidth="1"/>
    <col min="30" max="30" width="17.33203125" bestFit="1" customWidth="1"/>
    <col min="31" max="31" width="13.5" bestFit="1" customWidth="1"/>
    <col min="32" max="32" width="20.5" customWidth="1"/>
    <col min="33" max="33" width="11.5" bestFit="1" customWidth="1"/>
    <col min="34" max="34" width="12.5" bestFit="1" customWidth="1"/>
    <col min="35" max="35" width="9" bestFit="1" customWidth="1"/>
    <col min="37" max="39" width="12.33203125" bestFit="1" customWidth="1"/>
  </cols>
  <sheetData>
    <row r="1" spans="1:39" x14ac:dyDescent="0.2">
      <c r="A1" s="51" t="s">
        <v>21</v>
      </c>
    </row>
    <row r="2" spans="1:39" ht="19" x14ac:dyDescent="0.25">
      <c r="A2" s="24" t="s">
        <v>22</v>
      </c>
      <c r="L2" s="40" t="s">
        <v>5305</v>
      </c>
      <c r="Z2" s="169" t="s">
        <v>23</v>
      </c>
      <c r="AA2" s="64"/>
      <c r="AB2" s="170"/>
      <c r="AC2" s="170"/>
      <c r="AD2" s="170"/>
      <c r="AE2" s="170"/>
      <c r="AF2" s="445" t="s">
        <v>24</v>
      </c>
      <c r="AG2" s="446"/>
      <c r="AH2" s="170"/>
      <c r="AI2" s="170"/>
    </row>
    <row r="3" spans="1:39" s="30" customFormat="1" ht="32" x14ac:dyDescent="0.2">
      <c r="A3" s="59" t="s">
        <v>0</v>
      </c>
      <c r="B3" s="60" t="s">
        <v>25</v>
      </c>
      <c r="C3" s="60" t="s">
        <v>389</v>
      </c>
      <c r="D3" s="60" t="s">
        <v>390</v>
      </c>
      <c r="E3" s="61" t="s">
        <v>27</v>
      </c>
      <c r="F3" s="67" t="s">
        <v>391</v>
      </c>
      <c r="G3" s="60" t="s">
        <v>392</v>
      </c>
      <c r="H3" s="60" t="s">
        <v>393</v>
      </c>
      <c r="I3" s="60" t="s">
        <v>394</v>
      </c>
      <c r="J3" s="60" t="s">
        <v>31</v>
      </c>
      <c r="K3" s="67" t="s">
        <v>395</v>
      </c>
      <c r="L3" s="60" t="s">
        <v>33</v>
      </c>
      <c r="M3" s="60" t="s">
        <v>396</v>
      </c>
      <c r="N3" s="60" t="s">
        <v>397</v>
      </c>
      <c r="O3" s="60" t="s">
        <v>398</v>
      </c>
      <c r="P3" s="60" t="s">
        <v>37</v>
      </c>
      <c r="Q3" s="60" t="s">
        <v>399</v>
      </c>
      <c r="R3" s="60" t="s">
        <v>39</v>
      </c>
      <c r="S3" s="62" t="s">
        <v>40</v>
      </c>
      <c r="T3" s="62" t="s">
        <v>41</v>
      </c>
      <c r="U3" s="62" t="s">
        <v>43</v>
      </c>
      <c r="V3" s="63" t="s">
        <v>44</v>
      </c>
      <c r="W3" s="62" t="s">
        <v>57</v>
      </c>
      <c r="Z3" s="171" t="s">
        <v>0</v>
      </c>
      <c r="AA3" s="172" t="s">
        <v>25</v>
      </c>
      <c r="AB3" s="172" t="s">
        <v>58</v>
      </c>
      <c r="AC3" s="172" t="s">
        <v>59</v>
      </c>
      <c r="AD3" s="172" t="s">
        <v>60</v>
      </c>
      <c r="AE3" s="172" t="s">
        <v>61</v>
      </c>
      <c r="AF3" s="172" t="s">
        <v>62</v>
      </c>
      <c r="AG3" s="172" t="s">
        <v>63</v>
      </c>
      <c r="AH3" s="172" t="s">
        <v>64</v>
      </c>
      <c r="AI3" s="173" t="s">
        <v>43</v>
      </c>
      <c r="AK3" s="30" t="s">
        <v>3395</v>
      </c>
      <c r="AL3" s="30" t="s">
        <v>3396</v>
      </c>
      <c r="AM3" s="30" t="s">
        <v>3394</v>
      </c>
    </row>
    <row r="4" spans="1:39" x14ac:dyDescent="0.2">
      <c r="A4" t="s">
        <v>400</v>
      </c>
      <c r="B4" t="s">
        <v>402</v>
      </c>
      <c r="C4" t="s">
        <v>403</v>
      </c>
      <c r="D4" t="s">
        <v>404</v>
      </c>
      <c r="E4" t="s">
        <v>67</v>
      </c>
      <c r="F4">
        <v>1.75</v>
      </c>
      <c r="G4">
        <v>80</v>
      </c>
      <c r="H4">
        <v>36</v>
      </c>
      <c r="I4" t="s">
        <v>406</v>
      </c>
      <c r="K4" s="92">
        <v>1248</v>
      </c>
      <c r="L4" s="92">
        <v>62.400000000000013</v>
      </c>
      <c r="O4" s="66"/>
      <c r="S4">
        <v>2023</v>
      </c>
      <c r="U4" t="s">
        <v>99</v>
      </c>
      <c r="V4" t="s">
        <v>407</v>
      </c>
      <c r="W4" s="64" t="s">
        <v>72</v>
      </c>
      <c r="Z4" s="174" t="s">
        <v>400</v>
      </c>
      <c r="AA4" s="175"/>
      <c r="AB4" s="178">
        <f>AVERAGE(N:N)/AM4</f>
        <v>16.623830101571379</v>
      </c>
      <c r="AC4" s="220">
        <f>(AVERAGE(Q:Q)/AM4)</f>
        <v>3.2725300751402613</v>
      </c>
      <c r="AD4" s="263">
        <f>AB4</f>
        <v>16.623830101571379</v>
      </c>
      <c r="AE4" s="263">
        <f>AD4+AC4</f>
        <v>19.896360176711639</v>
      </c>
      <c r="AF4" s="176">
        <f>1+(AB4/(AVERAGE(L381:L400)))</f>
        <v>2.3896874814708235</v>
      </c>
      <c r="AG4" s="176">
        <f>AF4+(AC4/((AVERAGE((L381:L400)))))</f>
        <v>2.6632582560981044</v>
      </c>
      <c r="AH4" s="175">
        <v>2023</v>
      </c>
      <c r="AI4" s="177" t="s">
        <v>338</v>
      </c>
      <c r="AK4">
        <f>AVERAGE(G4:G400)/12</f>
        <v>6.8081434571175947</v>
      </c>
      <c r="AL4">
        <f>AVERAGE(H4:H400)/12</f>
        <v>4.2459882847038024</v>
      </c>
      <c r="AM4">
        <f>AL4*AK4</f>
        <v>28.907297359504152</v>
      </c>
    </row>
    <row r="5" spans="1:39" x14ac:dyDescent="0.2">
      <c r="A5" t="s">
        <v>400</v>
      </c>
      <c r="B5" t="s">
        <v>402</v>
      </c>
      <c r="C5" t="s">
        <v>403</v>
      </c>
      <c r="D5" t="s">
        <v>408</v>
      </c>
      <c r="E5" t="s">
        <v>67</v>
      </c>
      <c r="F5">
        <v>1.75</v>
      </c>
      <c r="G5">
        <v>80</v>
      </c>
      <c r="H5">
        <v>36</v>
      </c>
      <c r="I5" t="s">
        <v>406</v>
      </c>
      <c r="K5" s="92">
        <v>1228</v>
      </c>
      <c r="L5" s="92">
        <v>61.4</v>
      </c>
      <c r="O5" s="66"/>
      <c r="S5">
        <v>2023</v>
      </c>
      <c r="U5" t="s">
        <v>99</v>
      </c>
      <c r="V5" t="s">
        <v>409</v>
      </c>
      <c r="W5" s="64" t="s">
        <v>72</v>
      </c>
    </row>
    <row r="6" spans="1:39" x14ac:dyDescent="0.2">
      <c r="A6" t="s">
        <v>400</v>
      </c>
      <c r="B6" t="s">
        <v>402</v>
      </c>
      <c r="C6" t="s">
        <v>403</v>
      </c>
      <c r="D6" t="s">
        <v>410</v>
      </c>
      <c r="E6" t="s">
        <v>67</v>
      </c>
      <c r="F6">
        <v>1.75</v>
      </c>
      <c r="G6">
        <v>80.75</v>
      </c>
      <c r="H6">
        <v>37.5</v>
      </c>
      <c r="I6" t="s">
        <v>406</v>
      </c>
      <c r="K6" s="92">
        <v>1068</v>
      </c>
      <c r="L6" s="92">
        <v>50.787863777089783</v>
      </c>
      <c r="O6" s="66"/>
      <c r="S6">
        <v>2023</v>
      </c>
      <c r="U6" t="s">
        <v>99</v>
      </c>
      <c r="V6" t="s">
        <v>411</v>
      </c>
      <c r="W6" s="64" t="s">
        <v>72</v>
      </c>
    </row>
    <row r="7" spans="1:39" x14ac:dyDescent="0.2">
      <c r="A7" t="s">
        <v>400</v>
      </c>
      <c r="B7" t="s">
        <v>402</v>
      </c>
      <c r="C7" t="s">
        <v>403</v>
      </c>
      <c r="D7" t="s">
        <v>412</v>
      </c>
      <c r="E7" t="s">
        <v>67</v>
      </c>
      <c r="F7">
        <v>1.75</v>
      </c>
      <c r="G7">
        <v>81.5</v>
      </c>
      <c r="H7">
        <v>37.5</v>
      </c>
      <c r="I7" t="s">
        <v>413</v>
      </c>
      <c r="K7" s="92">
        <v>1188</v>
      </c>
      <c r="L7" s="92">
        <v>55.97447852760736</v>
      </c>
      <c r="O7" s="66"/>
      <c r="S7">
        <v>2023</v>
      </c>
      <c r="U7" t="s">
        <v>99</v>
      </c>
      <c r="V7" t="s">
        <v>414</v>
      </c>
      <c r="W7" s="64" t="s">
        <v>72</v>
      </c>
    </row>
    <row r="8" spans="1:39" x14ac:dyDescent="0.2">
      <c r="A8" t="s">
        <v>400</v>
      </c>
      <c r="B8" t="s">
        <v>402</v>
      </c>
      <c r="C8" t="s">
        <v>403</v>
      </c>
      <c r="D8" t="s">
        <v>415</v>
      </c>
      <c r="E8" t="s">
        <v>67</v>
      </c>
      <c r="F8">
        <v>1.75</v>
      </c>
      <c r="G8">
        <v>81.5</v>
      </c>
      <c r="H8">
        <v>37.5</v>
      </c>
      <c r="I8" t="s">
        <v>416</v>
      </c>
      <c r="K8" s="92">
        <v>1228</v>
      </c>
      <c r="L8" s="92">
        <v>57.85914110429448</v>
      </c>
      <c r="O8" s="66"/>
      <c r="S8">
        <v>2023</v>
      </c>
      <c r="U8" t="s">
        <v>99</v>
      </c>
      <c r="V8" t="s">
        <v>417</v>
      </c>
      <c r="W8" s="64" t="s">
        <v>72</v>
      </c>
    </row>
    <row r="9" spans="1:39" x14ac:dyDescent="0.2">
      <c r="A9" t="s">
        <v>400</v>
      </c>
      <c r="B9" t="s">
        <v>402</v>
      </c>
      <c r="C9" t="s">
        <v>403</v>
      </c>
      <c r="D9" t="s">
        <v>418</v>
      </c>
      <c r="E9" t="s">
        <v>67</v>
      </c>
      <c r="F9">
        <v>1.75</v>
      </c>
      <c r="G9">
        <v>81.5</v>
      </c>
      <c r="H9">
        <v>37.5</v>
      </c>
      <c r="I9" t="s">
        <v>419</v>
      </c>
      <c r="K9" s="92">
        <v>1358</v>
      </c>
      <c r="L9" s="92">
        <v>63.984294478527609</v>
      </c>
      <c r="O9" s="66"/>
      <c r="S9">
        <v>2023</v>
      </c>
      <c r="U9" t="s">
        <v>99</v>
      </c>
      <c r="V9" t="s">
        <v>420</v>
      </c>
      <c r="W9" s="64" t="s">
        <v>72</v>
      </c>
    </row>
    <row r="10" spans="1:39" x14ac:dyDescent="0.2">
      <c r="A10" t="s">
        <v>400</v>
      </c>
      <c r="B10" t="s">
        <v>402</v>
      </c>
      <c r="C10" t="s">
        <v>403</v>
      </c>
      <c r="D10" t="s">
        <v>421</v>
      </c>
      <c r="E10" t="s">
        <v>67</v>
      </c>
      <c r="F10">
        <v>1.75</v>
      </c>
      <c r="G10">
        <v>80.75</v>
      </c>
      <c r="H10">
        <v>37.5</v>
      </c>
      <c r="I10" t="s">
        <v>419</v>
      </c>
      <c r="K10" s="92">
        <v>1008</v>
      </c>
      <c r="L10" s="92">
        <v>47.934613003095983</v>
      </c>
      <c r="O10" s="66"/>
      <c r="S10">
        <v>2023</v>
      </c>
      <c r="U10" t="s">
        <v>99</v>
      </c>
      <c r="V10" t="s">
        <v>422</v>
      </c>
      <c r="W10" s="64" t="s">
        <v>72</v>
      </c>
    </row>
    <row r="11" spans="1:39" x14ac:dyDescent="0.2">
      <c r="A11" t="s">
        <v>400</v>
      </c>
      <c r="B11" t="s">
        <v>402</v>
      </c>
      <c r="C11" t="s">
        <v>403</v>
      </c>
      <c r="D11" t="s">
        <v>423</v>
      </c>
      <c r="E11" t="s">
        <v>67</v>
      </c>
      <c r="F11">
        <v>1.75</v>
      </c>
      <c r="G11">
        <v>81.5</v>
      </c>
      <c r="H11">
        <v>33.5</v>
      </c>
      <c r="I11" t="s">
        <v>419</v>
      </c>
      <c r="K11" s="92">
        <v>1248</v>
      </c>
      <c r="L11" s="92">
        <v>65.822543723102271</v>
      </c>
      <c r="O11" s="66"/>
      <c r="S11">
        <v>2023</v>
      </c>
      <c r="U11" t="s">
        <v>99</v>
      </c>
      <c r="V11" t="s">
        <v>424</v>
      </c>
      <c r="W11" s="64" t="s">
        <v>72</v>
      </c>
    </row>
    <row r="12" spans="1:39" x14ac:dyDescent="0.2">
      <c r="A12" t="s">
        <v>400</v>
      </c>
      <c r="B12" t="s">
        <v>402</v>
      </c>
      <c r="C12" t="s">
        <v>425</v>
      </c>
      <c r="D12" t="s">
        <v>4696</v>
      </c>
      <c r="E12" t="s">
        <v>67</v>
      </c>
      <c r="F12">
        <v>1.75</v>
      </c>
      <c r="G12">
        <v>80</v>
      </c>
      <c r="H12">
        <v>32</v>
      </c>
      <c r="K12" s="92">
        <v>2489.7199999999998</v>
      </c>
      <c r="L12" s="92">
        <v>140.04675</v>
      </c>
      <c r="O12" s="66"/>
      <c r="S12">
        <v>2023</v>
      </c>
      <c r="U12" t="s">
        <v>99</v>
      </c>
      <c r="V12" t="s">
        <v>426</v>
      </c>
      <c r="W12" s="64" t="s">
        <v>72</v>
      </c>
    </row>
    <row r="13" spans="1:39" x14ac:dyDescent="0.2">
      <c r="A13" t="s">
        <v>400</v>
      </c>
      <c r="B13" t="s">
        <v>427</v>
      </c>
      <c r="D13" t="s">
        <v>428</v>
      </c>
      <c r="E13" t="s">
        <v>67</v>
      </c>
      <c r="F13">
        <v>1.75</v>
      </c>
      <c r="G13">
        <v>80</v>
      </c>
      <c r="H13">
        <v>72</v>
      </c>
      <c r="K13" s="92">
        <v>1788</v>
      </c>
      <c r="L13" s="92">
        <v>44.7</v>
      </c>
      <c r="O13" s="66"/>
      <c r="S13">
        <v>2023</v>
      </c>
      <c r="U13" t="s">
        <v>99</v>
      </c>
      <c r="V13" t="s">
        <v>429</v>
      </c>
      <c r="W13" s="64" t="s">
        <v>72</v>
      </c>
    </row>
    <row r="14" spans="1:39" x14ac:dyDescent="0.2">
      <c r="A14" t="s">
        <v>400</v>
      </c>
      <c r="B14" t="s">
        <v>427</v>
      </c>
      <c r="D14" t="s">
        <v>430</v>
      </c>
      <c r="E14" t="s">
        <v>67</v>
      </c>
      <c r="F14">
        <v>1.75</v>
      </c>
      <c r="G14">
        <v>80</v>
      </c>
      <c r="H14">
        <v>72</v>
      </c>
      <c r="K14" s="92">
        <v>1648</v>
      </c>
      <c r="L14" s="92">
        <v>41.2</v>
      </c>
      <c r="O14" s="66"/>
      <c r="S14">
        <v>2023</v>
      </c>
      <c r="U14" t="s">
        <v>99</v>
      </c>
      <c r="V14" t="s">
        <v>431</v>
      </c>
      <c r="W14" s="64" t="s">
        <v>72</v>
      </c>
    </row>
    <row r="15" spans="1:39" x14ac:dyDescent="0.2">
      <c r="A15" t="s">
        <v>400</v>
      </c>
      <c r="B15" t="s">
        <v>427</v>
      </c>
      <c r="D15" t="s">
        <v>432</v>
      </c>
      <c r="E15" t="s">
        <v>67</v>
      </c>
      <c r="F15">
        <v>1.75</v>
      </c>
      <c r="G15">
        <v>80</v>
      </c>
      <c r="H15">
        <v>72</v>
      </c>
      <c r="K15" s="92">
        <v>1248</v>
      </c>
      <c r="L15" s="92">
        <v>31.2</v>
      </c>
      <c r="O15" s="66"/>
      <c r="S15">
        <v>2023</v>
      </c>
      <c r="U15" t="s">
        <v>99</v>
      </c>
      <c r="V15" t="s">
        <v>433</v>
      </c>
      <c r="W15" s="64" t="s">
        <v>72</v>
      </c>
    </row>
    <row r="16" spans="1:39" x14ac:dyDescent="0.2">
      <c r="A16" t="s">
        <v>400</v>
      </c>
      <c r="B16" t="s">
        <v>427</v>
      </c>
      <c r="D16" t="s">
        <v>434</v>
      </c>
      <c r="E16" t="s">
        <v>67</v>
      </c>
      <c r="F16">
        <v>1.75</v>
      </c>
      <c r="G16">
        <v>80</v>
      </c>
      <c r="H16">
        <v>72</v>
      </c>
      <c r="K16" s="92">
        <v>1228</v>
      </c>
      <c r="L16" s="92">
        <v>30.7</v>
      </c>
      <c r="O16" s="66"/>
      <c r="S16">
        <v>2023</v>
      </c>
      <c r="U16" t="s">
        <v>99</v>
      </c>
      <c r="V16" t="s">
        <v>435</v>
      </c>
      <c r="W16" s="64" t="s">
        <v>72</v>
      </c>
    </row>
    <row r="17" spans="1:23" x14ac:dyDescent="0.2">
      <c r="A17" t="s">
        <v>400</v>
      </c>
      <c r="B17" t="s">
        <v>427</v>
      </c>
      <c r="D17" t="s">
        <v>436</v>
      </c>
      <c r="E17" t="s">
        <v>67</v>
      </c>
      <c r="F17">
        <v>1.75</v>
      </c>
      <c r="G17">
        <v>80</v>
      </c>
      <c r="H17">
        <v>72</v>
      </c>
      <c r="K17" s="92">
        <v>1455.67</v>
      </c>
      <c r="L17" s="92">
        <v>36.391750000000002</v>
      </c>
      <c r="O17" s="66"/>
      <c r="S17">
        <v>2023</v>
      </c>
      <c r="U17" t="s">
        <v>99</v>
      </c>
      <c r="V17" t="s">
        <v>437</v>
      </c>
      <c r="W17" s="64" t="s">
        <v>72</v>
      </c>
    </row>
    <row r="18" spans="1:23" x14ac:dyDescent="0.2">
      <c r="A18" t="s">
        <v>400</v>
      </c>
      <c r="B18" t="s">
        <v>427</v>
      </c>
      <c r="D18" t="s">
        <v>438</v>
      </c>
      <c r="E18" t="s">
        <v>67</v>
      </c>
      <c r="F18">
        <v>1.75</v>
      </c>
      <c r="G18">
        <v>80</v>
      </c>
      <c r="H18">
        <v>72</v>
      </c>
      <c r="K18" s="92">
        <v>1568</v>
      </c>
      <c r="L18" s="92">
        <v>39.200000000000003</v>
      </c>
      <c r="O18" s="66"/>
      <c r="S18">
        <v>2023</v>
      </c>
      <c r="U18" t="s">
        <v>99</v>
      </c>
      <c r="V18" t="s">
        <v>439</v>
      </c>
      <c r="W18" s="64" t="s">
        <v>72</v>
      </c>
    </row>
    <row r="19" spans="1:23" x14ac:dyDescent="0.2">
      <c r="A19" t="s">
        <v>400</v>
      </c>
      <c r="B19" t="s">
        <v>427</v>
      </c>
      <c r="D19" t="s">
        <v>440</v>
      </c>
      <c r="E19" t="s">
        <v>67</v>
      </c>
      <c r="F19">
        <v>1.75</v>
      </c>
      <c r="G19">
        <v>80</v>
      </c>
      <c r="H19">
        <v>72</v>
      </c>
      <c r="K19" s="92">
        <v>1248</v>
      </c>
      <c r="L19" s="92">
        <v>31.2</v>
      </c>
      <c r="O19" s="66"/>
      <c r="S19">
        <v>2023</v>
      </c>
      <c r="U19" t="s">
        <v>99</v>
      </c>
      <c r="V19" t="s">
        <v>441</v>
      </c>
      <c r="W19" s="64" t="s">
        <v>72</v>
      </c>
    </row>
    <row r="20" spans="1:23" x14ac:dyDescent="0.2">
      <c r="A20" t="s">
        <v>400</v>
      </c>
      <c r="B20" t="s">
        <v>427</v>
      </c>
      <c r="D20" t="s">
        <v>442</v>
      </c>
      <c r="E20" t="s">
        <v>67</v>
      </c>
      <c r="F20">
        <v>1.75</v>
      </c>
      <c r="G20">
        <v>80</v>
      </c>
      <c r="H20">
        <v>72</v>
      </c>
      <c r="K20" s="92">
        <v>1878</v>
      </c>
      <c r="L20" s="92">
        <v>46.95</v>
      </c>
      <c r="O20" s="66"/>
      <c r="S20">
        <v>2023</v>
      </c>
      <c r="U20" t="s">
        <v>99</v>
      </c>
      <c r="V20" t="s">
        <v>443</v>
      </c>
      <c r="W20" s="64" t="s">
        <v>72</v>
      </c>
    </row>
    <row r="21" spans="1:23" x14ac:dyDescent="0.2">
      <c r="A21" t="s">
        <v>400</v>
      </c>
      <c r="B21" t="s">
        <v>427</v>
      </c>
      <c r="D21" t="s">
        <v>444</v>
      </c>
      <c r="E21" t="s">
        <v>67</v>
      </c>
      <c r="F21">
        <v>1.75</v>
      </c>
      <c r="G21">
        <v>80</v>
      </c>
      <c r="H21">
        <v>72</v>
      </c>
      <c r="K21" s="92">
        <v>1318</v>
      </c>
      <c r="L21" s="92">
        <v>32.950000000000003</v>
      </c>
      <c r="O21" s="66"/>
      <c r="S21">
        <v>2023</v>
      </c>
      <c r="U21" t="s">
        <v>99</v>
      </c>
      <c r="V21" t="s">
        <v>445</v>
      </c>
      <c r="W21" s="64" t="s">
        <v>72</v>
      </c>
    </row>
    <row r="22" spans="1:23" x14ac:dyDescent="0.2">
      <c r="A22" t="s">
        <v>400</v>
      </c>
      <c r="B22" t="s">
        <v>427</v>
      </c>
      <c r="D22" t="s">
        <v>446</v>
      </c>
      <c r="E22" t="s">
        <v>67</v>
      </c>
      <c r="F22">
        <v>1.75</v>
      </c>
      <c r="G22">
        <v>80</v>
      </c>
      <c r="H22">
        <v>72</v>
      </c>
      <c r="K22" s="92">
        <v>1098</v>
      </c>
      <c r="L22" s="92">
        <v>27.45</v>
      </c>
      <c r="O22" s="66"/>
      <c r="S22">
        <v>2023</v>
      </c>
      <c r="U22" t="s">
        <v>99</v>
      </c>
      <c r="V22" t="s">
        <v>447</v>
      </c>
      <c r="W22" s="64" t="s">
        <v>72</v>
      </c>
    </row>
    <row r="23" spans="1:23" x14ac:dyDescent="0.2">
      <c r="A23" t="s">
        <v>400</v>
      </c>
      <c r="B23" t="s">
        <v>427</v>
      </c>
      <c r="D23" t="s">
        <v>448</v>
      </c>
      <c r="E23" t="s">
        <v>67</v>
      </c>
      <c r="F23">
        <v>1.75</v>
      </c>
      <c r="G23">
        <v>80</v>
      </c>
      <c r="H23">
        <v>72</v>
      </c>
      <c r="K23" s="92">
        <v>1638</v>
      </c>
      <c r="L23" s="92">
        <v>40.950000000000003</v>
      </c>
      <c r="O23" s="66"/>
      <c r="S23">
        <v>2023</v>
      </c>
      <c r="U23" t="s">
        <v>99</v>
      </c>
      <c r="V23" t="s">
        <v>449</v>
      </c>
      <c r="W23" s="64" t="s">
        <v>72</v>
      </c>
    </row>
    <row r="24" spans="1:23" x14ac:dyDescent="0.2">
      <c r="A24" t="s">
        <v>400</v>
      </c>
      <c r="B24" t="s">
        <v>427</v>
      </c>
      <c r="D24" t="s">
        <v>450</v>
      </c>
      <c r="E24" t="s">
        <v>67</v>
      </c>
      <c r="F24">
        <v>1.75</v>
      </c>
      <c r="G24">
        <v>80</v>
      </c>
      <c r="H24">
        <v>72</v>
      </c>
      <c r="K24" s="92">
        <v>748</v>
      </c>
      <c r="L24" s="92">
        <v>18.7</v>
      </c>
      <c r="O24" s="66"/>
      <c r="S24">
        <v>2023</v>
      </c>
      <c r="U24" t="s">
        <v>99</v>
      </c>
      <c r="V24" t="s">
        <v>451</v>
      </c>
      <c r="W24" s="64" t="s">
        <v>72</v>
      </c>
    </row>
    <row r="25" spans="1:23" x14ac:dyDescent="0.2">
      <c r="A25" t="s">
        <v>400</v>
      </c>
      <c r="B25" t="s">
        <v>402</v>
      </c>
      <c r="D25" t="s">
        <v>452</v>
      </c>
      <c r="E25" t="s">
        <v>67</v>
      </c>
      <c r="F25">
        <v>1.75</v>
      </c>
      <c r="G25">
        <v>79.34</v>
      </c>
      <c r="H25">
        <v>59.5</v>
      </c>
      <c r="K25" s="92">
        <v>2228</v>
      </c>
      <c r="L25" s="92">
        <v>67.962370226638669</v>
      </c>
      <c r="O25" s="66"/>
      <c r="S25">
        <v>2023</v>
      </c>
      <c r="U25" t="s">
        <v>99</v>
      </c>
      <c r="V25" t="s">
        <v>453</v>
      </c>
      <c r="W25" s="64" t="s">
        <v>72</v>
      </c>
    </row>
    <row r="26" spans="1:23" x14ac:dyDescent="0.2">
      <c r="A26" t="s">
        <v>400</v>
      </c>
      <c r="B26" t="s">
        <v>427</v>
      </c>
      <c r="D26" t="s">
        <v>454</v>
      </c>
      <c r="E26" t="s">
        <v>67</v>
      </c>
      <c r="F26">
        <v>1.75</v>
      </c>
      <c r="G26">
        <v>80</v>
      </c>
      <c r="H26">
        <v>60</v>
      </c>
      <c r="K26" s="92">
        <v>1818</v>
      </c>
      <c r="L26" s="92">
        <v>54.54</v>
      </c>
      <c r="O26" s="66"/>
      <c r="S26">
        <v>2023</v>
      </c>
      <c r="U26" t="s">
        <v>99</v>
      </c>
      <c r="V26" t="s">
        <v>455</v>
      </c>
      <c r="W26" s="64" t="s">
        <v>72</v>
      </c>
    </row>
    <row r="27" spans="1:23" x14ac:dyDescent="0.2">
      <c r="A27" t="s">
        <v>400</v>
      </c>
      <c r="B27" t="s">
        <v>427</v>
      </c>
      <c r="D27" t="s">
        <v>456</v>
      </c>
      <c r="E27" t="s">
        <v>67</v>
      </c>
      <c r="F27">
        <v>1.75</v>
      </c>
      <c r="G27">
        <v>80</v>
      </c>
      <c r="H27">
        <v>72</v>
      </c>
      <c r="K27" s="92">
        <v>748</v>
      </c>
      <c r="L27" s="92">
        <v>18.7</v>
      </c>
      <c r="O27" s="66"/>
      <c r="S27">
        <v>2023</v>
      </c>
      <c r="U27" t="s">
        <v>99</v>
      </c>
      <c r="V27" t="s">
        <v>457</v>
      </c>
      <c r="W27" s="64" t="s">
        <v>72</v>
      </c>
    </row>
    <row r="28" spans="1:23" x14ac:dyDescent="0.2">
      <c r="A28" t="s">
        <v>400</v>
      </c>
      <c r="B28" t="s">
        <v>427</v>
      </c>
      <c r="D28" t="s">
        <v>458</v>
      </c>
      <c r="E28" t="s">
        <v>67</v>
      </c>
      <c r="F28">
        <v>1.75</v>
      </c>
      <c r="G28">
        <v>80</v>
      </c>
      <c r="H28">
        <v>72</v>
      </c>
      <c r="K28" s="92">
        <v>760</v>
      </c>
      <c r="L28" s="92">
        <v>19</v>
      </c>
      <c r="O28" s="66"/>
      <c r="S28">
        <v>2023</v>
      </c>
      <c r="U28" t="s">
        <v>99</v>
      </c>
      <c r="V28" t="s">
        <v>459</v>
      </c>
      <c r="W28" s="64" t="s">
        <v>72</v>
      </c>
    </row>
    <row r="29" spans="1:23" x14ac:dyDescent="0.2">
      <c r="A29" t="s">
        <v>400</v>
      </c>
      <c r="B29" t="s">
        <v>402</v>
      </c>
      <c r="C29" t="s">
        <v>460</v>
      </c>
      <c r="D29" t="s">
        <v>461</v>
      </c>
      <c r="E29" t="s">
        <v>67</v>
      </c>
      <c r="F29">
        <v>1.75</v>
      </c>
      <c r="G29">
        <v>81.75</v>
      </c>
      <c r="H29">
        <v>65.5</v>
      </c>
      <c r="I29" t="s">
        <v>406</v>
      </c>
      <c r="K29" s="92">
        <v>3058.3</v>
      </c>
      <c r="L29" s="92">
        <v>82.245759506968284</v>
      </c>
      <c r="O29" s="66"/>
      <c r="S29">
        <v>2023</v>
      </c>
      <c r="U29" t="s">
        <v>99</v>
      </c>
      <c r="V29" t="s">
        <v>462</v>
      </c>
      <c r="W29" s="64" t="s">
        <v>72</v>
      </c>
    </row>
    <row r="30" spans="1:23" x14ac:dyDescent="0.2">
      <c r="A30" t="s">
        <v>400</v>
      </c>
      <c r="B30" t="s">
        <v>402</v>
      </c>
      <c r="C30" t="s">
        <v>403</v>
      </c>
      <c r="D30" t="s">
        <v>463</v>
      </c>
      <c r="E30" t="s">
        <v>67</v>
      </c>
      <c r="F30">
        <v>1.75</v>
      </c>
      <c r="G30">
        <v>81.5</v>
      </c>
      <c r="H30">
        <v>37.5</v>
      </c>
      <c r="I30" t="s">
        <v>406</v>
      </c>
      <c r="K30" s="92">
        <v>958</v>
      </c>
      <c r="L30" s="92">
        <v>45.137668711656453</v>
      </c>
      <c r="O30" s="66"/>
      <c r="S30">
        <v>2023</v>
      </c>
      <c r="U30" t="s">
        <v>99</v>
      </c>
      <c r="V30" t="s">
        <v>464</v>
      </c>
      <c r="W30" s="64" t="s">
        <v>72</v>
      </c>
    </row>
    <row r="31" spans="1:23" x14ac:dyDescent="0.2">
      <c r="A31" t="s">
        <v>400</v>
      </c>
      <c r="B31" t="s">
        <v>402</v>
      </c>
      <c r="C31" t="s">
        <v>465</v>
      </c>
      <c r="D31" t="s">
        <v>466</v>
      </c>
      <c r="E31" t="s">
        <v>67</v>
      </c>
      <c r="F31">
        <v>1.375</v>
      </c>
      <c r="G31">
        <v>81.75</v>
      </c>
      <c r="H31">
        <v>64.563000000000002</v>
      </c>
      <c r="I31" t="s">
        <v>406</v>
      </c>
      <c r="K31" s="92">
        <v>2598</v>
      </c>
      <c r="L31" s="92">
        <v>70.881055371987841</v>
      </c>
      <c r="O31" s="66"/>
      <c r="S31">
        <v>2023</v>
      </c>
      <c r="U31" t="s">
        <v>99</v>
      </c>
      <c r="V31" t="s">
        <v>467</v>
      </c>
      <c r="W31" s="64" t="s">
        <v>72</v>
      </c>
    </row>
    <row r="32" spans="1:23" x14ac:dyDescent="0.2">
      <c r="A32" t="s">
        <v>400</v>
      </c>
      <c r="B32" t="s">
        <v>402</v>
      </c>
      <c r="C32" t="s">
        <v>465</v>
      </c>
      <c r="D32" t="s">
        <v>468</v>
      </c>
      <c r="E32" t="s">
        <v>67</v>
      </c>
      <c r="F32">
        <v>1.375</v>
      </c>
      <c r="G32">
        <v>81.75</v>
      </c>
      <c r="H32">
        <v>37.75</v>
      </c>
      <c r="I32" t="s">
        <v>406</v>
      </c>
      <c r="K32" s="92">
        <v>1348</v>
      </c>
      <c r="L32" s="92">
        <v>62.899568625068348</v>
      </c>
      <c r="O32" s="66"/>
      <c r="S32">
        <v>2023</v>
      </c>
      <c r="U32" t="s">
        <v>99</v>
      </c>
      <c r="V32" t="s">
        <v>469</v>
      </c>
      <c r="W32" s="64" t="s">
        <v>72</v>
      </c>
    </row>
    <row r="33" spans="1:23" x14ac:dyDescent="0.2">
      <c r="A33" t="s">
        <v>400</v>
      </c>
      <c r="B33" t="s">
        <v>402</v>
      </c>
      <c r="C33" t="s">
        <v>465</v>
      </c>
      <c r="D33" t="s">
        <v>470</v>
      </c>
      <c r="E33" t="s">
        <v>67</v>
      </c>
      <c r="F33">
        <v>1.375</v>
      </c>
      <c r="G33">
        <v>81.75</v>
      </c>
      <c r="H33">
        <v>37.75</v>
      </c>
      <c r="I33" t="s">
        <v>406</v>
      </c>
      <c r="K33" s="92">
        <v>1538</v>
      </c>
      <c r="L33" s="92">
        <v>71.765234825931103</v>
      </c>
      <c r="O33" s="66"/>
      <c r="S33">
        <v>2023</v>
      </c>
      <c r="U33" t="s">
        <v>99</v>
      </c>
      <c r="V33" t="s">
        <v>471</v>
      </c>
      <c r="W33" s="64" t="s">
        <v>72</v>
      </c>
    </row>
    <row r="34" spans="1:23" x14ac:dyDescent="0.2">
      <c r="A34" t="s">
        <v>400</v>
      </c>
      <c r="B34" t="s">
        <v>402</v>
      </c>
      <c r="C34" t="s">
        <v>472</v>
      </c>
      <c r="D34" t="s">
        <v>473</v>
      </c>
      <c r="E34" t="s">
        <v>67</v>
      </c>
      <c r="F34">
        <v>1.75</v>
      </c>
      <c r="G34">
        <v>81.561999999999998</v>
      </c>
      <c r="H34">
        <v>37.375</v>
      </c>
      <c r="I34" t="s">
        <v>406</v>
      </c>
      <c r="K34" s="92">
        <v>698</v>
      </c>
      <c r="L34" s="92">
        <v>32.972269941105601</v>
      </c>
      <c r="O34" s="66"/>
      <c r="S34">
        <v>2023</v>
      </c>
      <c r="U34" t="s">
        <v>99</v>
      </c>
      <c r="V34" t="s">
        <v>474</v>
      </c>
      <c r="W34" s="64" t="s">
        <v>72</v>
      </c>
    </row>
    <row r="35" spans="1:23" x14ac:dyDescent="0.2">
      <c r="A35" t="s">
        <v>400</v>
      </c>
      <c r="B35" t="s">
        <v>402</v>
      </c>
      <c r="C35" t="s">
        <v>403</v>
      </c>
      <c r="D35" t="s">
        <v>475</v>
      </c>
      <c r="E35" t="s">
        <v>67</v>
      </c>
      <c r="F35">
        <v>1.75</v>
      </c>
      <c r="G35">
        <v>81.5</v>
      </c>
      <c r="H35">
        <v>37.5</v>
      </c>
      <c r="I35" t="s">
        <v>406</v>
      </c>
      <c r="K35" s="92">
        <v>1498</v>
      </c>
      <c r="L35" s="92">
        <v>70.580613496932514</v>
      </c>
      <c r="O35" s="66"/>
      <c r="S35">
        <v>2023</v>
      </c>
      <c r="U35" t="s">
        <v>99</v>
      </c>
      <c r="V35" t="s">
        <v>476</v>
      </c>
      <c r="W35" s="64" t="s">
        <v>72</v>
      </c>
    </row>
    <row r="36" spans="1:23" x14ac:dyDescent="0.2">
      <c r="A36" t="s">
        <v>400</v>
      </c>
      <c r="B36" t="s">
        <v>402</v>
      </c>
      <c r="C36" t="s">
        <v>477</v>
      </c>
      <c r="D36" t="s">
        <v>4697</v>
      </c>
      <c r="E36" t="s">
        <v>67</v>
      </c>
      <c r="F36">
        <v>1.75</v>
      </c>
      <c r="G36">
        <v>81.5</v>
      </c>
      <c r="H36">
        <v>37.5</v>
      </c>
      <c r="I36" t="s">
        <v>406</v>
      </c>
      <c r="K36" s="92">
        <v>758</v>
      </c>
      <c r="L36" s="92">
        <v>35.71435582822086</v>
      </c>
      <c r="O36" s="66"/>
      <c r="S36">
        <v>2023</v>
      </c>
      <c r="U36" t="s">
        <v>99</v>
      </c>
      <c r="V36" t="s">
        <v>478</v>
      </c>
      <c r="W36" s="64" t="s">
        <v>72</v>
      </c>
    </row>
    <row r="37" spans="1:23" x14ac:dyDescent="0.2">
      <c r="A37" t="s">
        <v>400</v>
      </c>
      <c r="B37" t="s">
        <v>402</v>
      </c>
      <c r="C37" t="s">
        <v>477</v>
      </c>
      <c r="D37" t="s">
        <v>4698</v>
      </c>
      <c r="E37" t="s">
        <v>67</v>
      </c>
      <c r="F37">
        <v>1.75</v>
      </c>
      <c r="G37">
        <v>81.5</v>
      </c>
      <c r="H37">
        <v>37.5</v>
      </c>
      <c r="I37" t="s">
        <v>406</v>
      </c>
      <c r="K37" s="92">
        <v>455</v>
      </c>
      <c r="L37" s="92">
        <v>21.438036809815952</v>
      </c>
      <c r="O37" s="66"/>
      <c r="S37">
        <v>2023</v>
      </c>
      <c r="U37" t="s">
        <v>99</v>
      </c>
      <c r="V37" t="s">
        <v>479</v>
      </c>
      <c r="W37" s="64" t="s">
        <v>72</v>
      </c>
    </row>
    <row r="38" spans="1:23" x14ac:dyDescent="0.2">
      <c r="A38" t="s">
        <v>400</v>
      </c>
      <c r="B38" t="s">
        <v>402</v>
      </c>
      <c r="C38" t="s">
        <v>477</v>
      </c>
      <c r="D38" t="s">
        <v>4699</v>
      </c>
      <c r="E38" t="s">
        <v>67</v>
      </c>
      <c r="F38">
        <v>1.75</v>
      </c>
      <c r="G38">
        <v>81.5</v>
      </c>
      <c r="H38">
        <v>37.5</v>
      </c>
      <c r="I38" t="s">
        <v>416</v>
      </c>
      <c r="K38" s="92">
        <v>909</v>
      </c>
      <c r="L38" s="92">
        <v>42.82895705521473</v>
      </c>
      <c r="O38" s="66"/>
      <c r="S38">
        <v>2023</v>
      </c>
      <c r="U38" t="s">
        <v>99</v>
      </c>
      <c r="V38" t="s">
        <v>480</v>
      </c>
      <c r="W38" s="64" t="s">
        <v>72</v>
      </c>
    </row>
    <row r="39" spans="1:23" x14ac:dyDescent="0.2">
      <c r="A39" t="s">
        <v>400</v>
      </c>
      <c r="B39" t="s">
        <v>402</v>
      </c>
      <c r="C39" t="s">
        <v>477</v>
      </c>
      <c r="D39" t="s">
        <v>4700</v>
      </c>
      <c r="E39" t="s">
        <v>67</v>
      </c>
      <c r="F39">
        <v>1.75</v>
      </c>
      <c r="G39">
        <v>81.5</v>
      </c>
      <c r="H39">
        <v>37.5</v>
      </c>
      <c r="I39" t="s">
        <v>406</v>
      </c>
      <c r="K39" s="92">
        <v>909</v>
      </c>
      <c r="L39" s="92">
        <v>42.82895705521473</v>
      </c>
      <c r="O39" s="66"/>
      <c r="S39">
        <v>2023</v>
      </c>
      <c r="U39" t="s">
        <v>99</v>
      </c>
      <c r="V39" t="s">
        <v>481</v>
      </c>
      <c r="W39" s="64" t="s">
        <v>72</v>
      </c>
    </row>
    <row r="40" spans="1:23" x14ac:dyDescent="0.2">
      <c r="A40" t="s">
        <v>400</v>
      </c>
      <c r="B40" t="s">
        <v>402</v>
      </c>
      <c r="C40" t="s">
        <v>477</v>
      </c>
      <c r="D40" t="s">
        <v>4701</v>
      </c>
      <c r="E40" t="s">
        <v>67</v>
      </c>
      <c r="F40">
        <v>1.75</v>
      </c>
      <c r="G40">
        <v>81.5</v>
      </c>
      <c r="H40">
        <v>37.5</v>
      </c>
      <c r="I40" t="s">
        <v>406</v>
      </c>
      <c r="K40" s="92">
        <v>659</v>
      </c>
      <c r="L40" s="92">
        <v>31.049815950920241</v>
      </c>
      <c r="O40" s="66"/>
      <c r="S40">
        <v>2023</v>
      </c>
      <c r="U40" t="s">
        <v>99</v>
      </c>
      <c r="V40" t="s">
        <v>482</v>
      </c>
      <c r="W40" s="64" t="s">
        <v>72</v>
      </c>
    </row>
    <row r="41" spans="1:23" x14ac:dyDescent="0.2">
      <c r="A41" t="s">
        <v>400</v>
      </c>
      <c r="B41" t="s">
        <v>402</v>
      </c>
      <c r="C41" t="s">
        <v>477</v>
      </c>
      <c r="D41" t="s">
        <v>4702</v>
      </c>
      <c r="E41" t="s">
        <v>67</v>
      </c>
      <c r="F41">
        <v>1.75</v>
      </c>
      <c r="G41">
        <v>81.5</v>
      </c>
      <c r="H41">
        <v>37.5</v>
      </c>
      <c r="I41" t="s">
        <v>406</v>
      </c>
      <c r="K41" s="92">
        <v>374</v>
      </c>
      <c r="L41" s="92">
        <v>17.621595092024538</v>
      </c>
      <c r="O41" s="66"/>
      <c r="S41">
        <v>2023</v>
      </c>
      <c r="U41" t="s">
        <v>99</v>
      </c>
      <c r="V41" t="s">
        <v>483</v>
      </c>
      <c r="W41" s="64" t="s">
        <v>72</v>
      </c>
    </row>
    <row r="42" spans="1:23" x14ac:dyDescent="0.2">
      <c r="A42" t="s">
        <v>400</v>
      </c>
      <c r="B42" t="s">
        <v>402</v>
      </c>
      <c r="C42" t="s">
        <v>465</v>
      </c>
      <c r="D42" t="s">
        <v>484</v>
      </c>
      <c r="E42" t="s">
        <v>67</v>
      </c>
      <c r="F42">
        <v>1.75</v>
      </c>
      <c r="G42">
        <v>81.75</v>
      </c>
      <c r="H42">
        <v>37.563000000000002</v>
      </c>
      <c r="I42" t="s">
        <v>406</v>
      </c>
      <c r="K42" s="92">
        <v>1688</v>
      </c>
      <c r="L42" s="92">
        <v>79.156558266515916</v>
      </c>
      <c r="O42" s="66"/>
      <c r="S42">
        <v>2023</v>
      </c>
      <c r="U42" t="s">
        <v>99</v>
      </c>
      <c r="V42" t="s">
        <v>485</v>
      </c>
      <c r="W42" s="64" t="s">
        <v>72</v>
      </c>
    </row>
    <row r="43" spans="1:23" x14ac:dyDescent="0.2">
      <c r="A43" t="s">
        <v>400</v>
      </c>
      <c r="B43" t="s">
        <v>402</v>
      </c>
      <c r="C43" t="s">
        <v>465</v>
      </c>
      <c r="D43" t="s">
        <v>486</v>
      </c>
      <c r="E43" t="s">
        <v>67</v>
      </c>
      <c r="F43">
        <v>1.75</v>
      </c>
      <c r="G43">
        <v>81.75</v>
      </c>
      <c r="H43">
        <v>37.438000000000002</v>
      </c>
      <c r="I43" t="s">
        <v>406</v>
      </c>
      <c r="K43" s="92">
        <v>1528</v>
      </c>
      <c r="L43" s="92">
        <v>71.89280772957467</v>
      </c>
      <c r="O43" s="66"/>
      <c r="S43">
        <v>2023</v>
      </c>
      <c r="U43" t="s">
        <v>99</v>
      </c>
      <c r="V43" t="s">
        <v>487</v>
      </c>
      <c r="W43" s="64" t="s">
        <v>72</v>
      </c>
    </row>
    <row r="44" spans="1:23" x14ac:dyDescent="0.2">
      <c r="A44" t="s">
        <v>400</v>
      </c>
      <c r="B44" t="s">
        <v>402</v>
      </c>
      <c r="C44" t="s">
        <v>465</v>
      </c>
      <c r="D44" t="s">
        <v>488</v>
      </c>
      <c r="E44" t="s">
        <v>67</v>
      </c>
      <c r="F44">
        <v>1.75</v>
      </c>
      <c r="G44">
        <v>81.75</v>
      </c>
      <c r="H44">
        <v>37.438000000000002</v>
      </c>
      <c r="I44" t="s">
        <v>406</v>
      </c>
      <c r="K44" s="92">
        <v>1528</v>
      </c>
      <c r="L44" s="92">
        <v>71.89280772957467</v>
      </c>
      <c r="O44" s="66"/>
      <c r="S44">
        <v>2023</v>
      </c>
      <c r="U44" t="s">
        <v>99</v>
      </c>
      <c r="V44" t="s">
        <v>489</v>
      </c>
      <c r="W44" s="64" t="s">
        <v>72</v>
      </c>
    </row>
    <row r="45" spans="1:23" x14ac:dyDescent="0.2">
      <c r="A45" t="s">
        <v>400</v>
      </c>
      <c r="B45" t="s">
        <v>402</v>
      </c>
      <c r="C45" t="s">
        <v>490</v>
      </c>
      <c r="D45" t="s">
        <v>491</v>
      </c>
      <c r="E45" t="s">
        <v>67</v>
      </c>
      <c r="F45">
        <v>1.75</v>
      </c>
      <c r="G45">
        <v>81.625</v>
      </c>
      <c r="H45">
        <v>50.5</v>
      </c>
      <c r="I45" t="s">
        <v>406</v>
      </c>
      <c r="K45" s="92">
        <v>1988</v>
      </c>
      <c r="L45" s="92">
        <v>69.448728640092185</v>
      </c>
      <c r="O45" s="66"/>
      <c r="S45">
        <v>2023</v>
      </c>
      <c r="U45" t="s">
        <v>99</v>
      </c>
      <c r="V45" t="s">
        <v>492</v>
      </c>
      <c r="W45" s="64" t="s">
        <v>72</v>
      </c>
    </row>
    <row r="46" spans="1:23" x14ac:dyDescent="0.2">
      <c r="A46" t="s">
        <v>400</v>
      </c>
      <c r="B46" t="s">
        <v>402</v>
      </c>
      <c r="D46" t="s">
        <v>4703</v>
      </c>
      <c r="E46" t="s">
        <v>67</v>
      </c>
      <c r="F46">
        <v>1.75</v>
      </c>
      <c r="G46">
        <v>79</v>
      </c>
      <c r="H46">
        <v>35.75</v>
      </c>
      <c r="I46" t="s">
        <v>406</v>
      </c>
      <c r="K46" s="92">
        <v>770</v>
      </c>
      <c r="L46" s="92">
        <v>39.259980525803307</v>
      </c>
      <c r="O46" s="66"/>
      <c r="S46">
        <v>2023</v>
      </c>
      <c r="U46" t="s">
        <v>99</v>
      </c>
      <c r="V46" t="s">
        <v>493</v>
      </c>
      <c r="W46" s="64" t="s">
        <v>72</v>
      </c>
    </row>
    <row r="47" spans="1:23" x14ac:dyDescent="0.2">
      <c r="A47" t="s">
        <v>400</v>
      </c>
      <c r="B47" t="s">
        <v>402</v>
      </c>
      <c r="C47" t="s">
        <v>490</v>
      </c>
      <c r="D47" t="s">
        <v>494</v>
      </c>
      <c r="E47" t="s">
        <v>67</v>
      </c>
      <c r="F47">
        <v>1.75</v>
      </c>
      <c r="G47">
        <v>81.625</v>
      </c>
      <c r="H47">
        <v>63.5</v>
      </c>
      <c r="I47" t="s">
        <v>406</v>
      </c>
      <c r="K47" s="92">
        <v>3898</v>
      </c>
      <c r="L47" s="92">
        <v>108.2947510581085</v>
      </c>
      <c r="O47" s="66"/>
      <c r="S47">
        <v>2023</v>
      </c>
      <c r="U47" t="s">
        <v>99</v>
      </c>
      <c r="V47" t="s">
        <v>495</v>
      </c>
      <c r="W47" s="64" t="s">
        <v>72</v>
      </c>
    </row>
    <row r="48" spans="1:23" x14ac:dyDescent="0.2">
      <c r="A48" t="s">
        <v>400</v>
      </c>
      <c r="B48" t="s">
        <v>402</v>
      </c>
      <c r="C48" t="s">
        <v>490</v>
      </c>
      <c r="D48" t="s">
        <v>496</v>
      </c>
      <c r="E48" t="s">
        <v>67</v>
      </c>
      <c r="F48">
        <v>1.75</v>
      </c>
      <c r="G48">
        <v>81.625</v>
      </c>
      <c r="H48">
        <v>63.5</v>
      </c>
      <c r="I48" t="s">
        <v>406</v>
      </c>
      <c r="K48" s="92">
        <v>2228</v>
      </c>
      <c r="L48" s="92">
        <v>61.898590394424282</v>
      </c>
      <c r="O48" s="66"/>
      <c r="S48">
        <v>2023</v>
      </c>
      <c r="U48" t="s">
        <v>99</v>
      </c>
      <c r="V48" t="s">
        <v>497</v>
      </c>
      <c r="W48" s="64" t="s">
        <v>72</v>
      </c>
    </row>
    <row r="49" spans="1:23" x14ac:dyDescent="0.2">
      <c r="A49" t="s">
        <v>400</v>
      </c>
      <c r="B49" t="s">
        <v>402</v>
      </c>
      <c r="C49" t="s">
        <v>490</v>
      </c>
      <c r="D49" t="s">
        <v>498</v>
      </c>
      <c r="E49" t="s">
        <v>67</v>
      </c>
      <c r="F49">
        <v>1.75</v>
      </c>
      <c r="G49">
        <v>81.625</v>
      </c>
      <c r="H49">
        <v>66</v>
      </c>
      <c r="I49" t="s">
        <v>406</v>
      </c>
      <c r="K49" s="92">
        <v>1718</v>
      </c>
      <c r="L49" s="92">
        <v>45.921759710427388</v>
      </c>
      <c r="O49" s="66"/>
      <c r="S49">
        <v>2023</v>
      </c>
      <c r="U49" t="s">
        <v>99</v>
      </c>
      <c r="V49" t="s">
        <v>499</v>
      </c>
      <c r="W49" s="64" t="s">
        <v>72</v>
      </c>
    </row>
    <row r="50" spans="1:23" x14ac:dyDescent="0.2">
      <c r="A50" t="s">
        <v>400</v>
      </c>
      <c r="B50" t="s">
        <v>402</v>
      </c>
      <c r="C50" t="s">
        <v>490</v>
      </c>
      <c r="D50" t="s">
        <v>500</v>
      </c>
      <c r="E50" t="s">
        <v>67</v>
      </c>
      <c r="F50">
        <v>1.75</v>
      </c>
      <c r="G50">
        <v>81.625</v>
      </c>
      <c r="H50">
        <v>63.5</v>
      </c>
      <c r="I50" t="s">
        <v>406</v>
      </c>
      <c r="K50" s="92">
        <v>2188</v>
      </c>
      <c r="L50" s="92">
        <v>60.787305109066573</v>
      </c>
      <c r="O50" s="66"/>
      <c r="S50">
        <v>2023</v>
      </c>
      <c r="U50" t="s">
        <v>99</v>
      </c>
      <c r="V50" t="s">
        <v>501</v>
      </c>
      <c r="W50" s="64" t="s">
        <v>72</v>
      </c>
    </row>
    <row r="51" spans="1:23" x14ac:dyDescent="0.2">
      <c r="A51" t="s">
        <v>400</v>
      </c>
      <c r="B51" t="s">
        <v>402</v>
      </c>
      <c r="C51" t="s">
        <v>490</v>
      </c>
      <c r="D51" t="s">
        <v>502</v>
      </c>
      <c r="E51" t="s">
        <v>67</v>
      </c>
      <c r="F51">
        <v>1.75</v>
      </c>
      <c r="G51">
        <v>81.625</v>
      </c>
      <c r="H51">
        <v>66</v>
      </c>
      <c r="I51" t="s">
        <v>406</v>
      </c>
      <c r="K51" s="92">
        <v>1878</v>
      </c>
      <c r="L51" s="92">
        <v>50.198524293470697</v>
      </c>
      <c r="O51" s="66"/>
      <c r="S51">
        <v>2023</v>
      </c>
      <c r="U51" t="s">
        <v>99</v>
      </c>
      <c r="V51" t="s">
        <v>503</v>
      </c>
      <c r="W51" s="64" t="s">
        <v>72</v>
      </c>
    </row>
    <row r="52" spans="1:23" x14ac:dyDescent="0.2">
      <c r="A52" t="s">
        <v>400</v>
      </c>
      <c r="B52" t="s">
        <v>402</v>
      </c>
      <c r="C52" t="s">
        <v>490</v>
      </c>
      <c r="D52" t="s">
        <v>504</v>
      </c>
      <c r="E52" t="s">
        <v>67</v>
      </c>
      <c r="F52">
        <v>1.75</v>
      </c>
      <c r="G52">
        <v>81.625</v>
      </c>
      <c r="H52">
        <v>74</v>
      </c>
      <c r="I52" t="s">
        <v>406</v>
      </c>
      <c r="K52" s="92">
        <v>1568</v>
      </c>
      <c r="L52" s="92">
        <v>37.381234220437896</v>
      </c>
      <c r="O52" s="66"/>
      <c r="S52">
        <v>2023</v>
      </c>
      <c r="U52" t="s">
        <v>99</v>
      </c>
      <c r="V52" t="s">
        <v>505</v>
      </c>
      <c r="W52" s="64" t="s">
        <v>72</v>
      </c>
    </row>
    <row r="53" spans="1:23" x14ac:dyDescent="0.2">
      <c r="A53" t="s">
        <v>400</v>
      </c>
      <c r="B53" t="s">
        <v>402</v>
      </c>
      <c r="C53" t="s">
        <v>490</v>
      </c>
      <c r="D53" t="s">
        <v>506</v>
      </c>
      <c r="E53" t="s">
        <v>67</v>
      </c>
      <c r="F53">
        <v>1.75</v>
      </c>
      <c r="G53">
        <v>81.625</v>
      </c>
      <c r="H53">
        <v>67.5</v>
      </c>
      <c r="I53" t="s">
        <v>406</v>
      </c>
      <c r="K53" s="92">
        <v>2428</v>
      </c>
      <c r="L53" s="92">
        <v>63.457682491066883</v>
      </c>
      <c r="O53" s="66"/>
      <c r="S53">
        <v>2023</v>
      </c>
      <c r="U53" t="s">
        <v>99</v>
      </c>
      <c r="V53" t="s">
        <v>507</v>
      </c>
      <c r="W53" s="64" t="s">
        <v>72</v>
      </c>
    </row>
    <row r="54" spans="1:23" x14ac:dyDescent="0.2">
      <c r="A54" t="s">
        <v>400</v>
      </c>
      <c r="B54" t="s">
        <v>402</v>
      </c>
      <c r="C54" t="s">
        <v>490</v>
      </c>
      <c r="D54" t="s">
        <v>508</v>
      </c>
      <c r="E54" t="s">
        <v>67</v>
      </c>
      <c r="F54">
        <v>1.75</v>
      </c>
      <c r="G54">
        <v>81.625</v>
      </c>
      <c r="H54">
        <v>67.5</v>
      </c>
      <c r="I54" t="s">
        <v>406</v>
      </c>
      <c r="K54" s="92">
        <v>3798</v>
      </c>
      <c r="L54" s="92">
        <v>99.26370597243492</v>
      </c>
      <c r="O54" s="66"/>
      <c r="S54">
        <v>2023</v>
      </c>
      <c r="U54" t="s">
        <v>99</v>
      </c>
      <c r="V54" t="s">
        <v>509</v>
      </c>
      <c r="W54" s="64" t="s">
        <v>72</v>
      </c>
    </row>
    <row r="55" spans="1:23" x14ac:dyDescent="0.2">
      <c r="A55" t="s">
        <v>400</v>
      </c>
      <c r="B55" t="s">
        <v>402</v>
      </c>
      <c r="C55" t="s">
        <v>490</v>
      </c>
      <c r="D55" t="s">
        <v>510</v>
      </c>
      <c r="E55" t="s">
        <v>67</v>
      </c>
      <c r="F55">
        <v>1.75</v>
      </c>
      <c r="G55">
        <v>81.625</v>
      </c>
      <c r="H55">
        <v>50.5</v>
      </c>
      <c r="I55" t="s">
        <v>406</v>
      </c>
      <c r="K55" s="92">
        <v>1928</v>
      </c>
      <c r="L55" s="92">
        <v>67.352690552363043</v>
      </c>
      <c r="O55" s="66"/>
      <c r="S55">
        <v>2023</v>
      </c>
      <c r="U55" t="s">
        <v>99</v>
      </c>
      <c r="V55" t="s">
        <v>511</v>
      </c>
      <c r="W55" s="64" t="s">
        <v>72</v>
      </c>
    </row>
    <row r="56" spans="1:23" x14ac:dyDescent="0.2">
      <c r="A56" t="s">
        <v>400</v>
      </c>
      <c r="B56" t="s">
        <v>402</v>
      </c>
      <c r="C56" t="s">
        <v>490</v>
      </c>
      <c r="D56" t="s">
        <v>512</v>
      </c>
      <c r="E56" t="s">
        <v>67</v>
      </c>
      <c r="F56">
        <v>1.75</v>
      </c>
      <c r="G56">
        <v>81.625</v>
      </c>
      <c r="H56">
        <v>66</v>
      </c>
      <c r="I56" t="s">
        <v>413</v>
      </c>
      <c r="K56" s="92">
        <v>1698</v>
      </c>
      <c r="L56" s="92">
        <v>45.387164137546989</v>
      </c>
      <c r="O56" s="66"/>
      <c r="S56">
        <v>2023</v>
      </c>
      <c r="U56" t="s">
        <v>99</v>
      </c>
      <c r="V56" t="s">
        <v>513</v>
      </c>
      <c r="W56" s="64" t="s">
        <v>72</v>
      </c>
    </row>
    <row r="57" spans="1:23" x14ac:dyDescent="0.2">
      <c r="A57" t="s">
        <v>400</v>
      </c>
      <c r="B57" t="s">
        <v>402</v>
      </c>
      <c r="C57" t="s">
        <v>490</v>
      </c>
      <c r="D57" t="s">
        <v>514</v>
      </c>
      <c r="E57" t="s">
        <v>67</v>
      </c>
      <c r="F57">
        <v>1.75</v>
      </c>
      <c r="G57">
        <v>81.625</v>
      </c>
      <c r="H57">
        <v>63.5</v>
      </c>
      <c r="I57" t="s">
        <v>413</v>
      </c>
      <c r="K57" s="92">
        <v>2228</v>
      </c>
      <c r="L57" s="92">
        <v>61.898590394424282</v>
      </c>
      <c r="O57" s="66"/>
      <c r="S57">
        <v>2023</v>
      </c>
      <c r="U57" t="s">
        <v>99</v>
      </c>
      <c r="V57" t="s">
        <v>515</v>
      </c>
      <c r="W57" s="64" t="s">
        <v>72</v>
      </c>
    </row>
    <row r="58" spans="1:23" x14ac:dyDescent="0.2">
      <c r="A58" t="s">
        <v>400</v>
      </c>
      <c r="B58" t="s">
        <v>402</v>
      </c>
      <c r="C58" t="s">
        <v>490</v>
      </c>
      <c r="D58" t="s">
        <v>516</v>
      </c>
      <c r="E58" t="s">
        <v>67</v>
      </c>
      <c r="F58">
        <v>1.75</v>
      </c>
      <c r="G58">
        <v>81.625</v>
      </c>
      <c r="H58">
        <v>50.5</v>
      </c>
      <c r="I58" t="s">
        <v>413</v>
      </c>
      <c r="K58" s="92">
        <v>1568</v>
      </c>
      <c r="L58" s="92">
        <v>54.776462025988202</v>
      </c>
      <c r="O58" s="66"/>
      <c r="S58">
        <v>2023</v>
      </c>
      <c r="U58" t="s">
        <v>99</v>
      </c>
      <c r="V58" t="s">
        <v>517</v>
      </c>
      <c r="W58" s="64" t="s">
        <v>72</v>
      </c>
    </row>
    <row r="59" spans="1:23" x14ac:dyDescent="0.2">
      <c r="A59" t="s">
        <v>400</v>
      </c>
      <c r="B59" t="s">
        <v>402</v>
      </c>
      <c r="C59" t="s">
        <v>490</v>
      </c>
      <c r="D59" t="s">
        <v>518</v>
      </c>
      <c r="E59" t="s">
        <v>67</v>
      </c>
      <c r="F59">
        <v>1.75</v>
      </c>
      <c r="G59">
        <v>81.625</v>
      </c>
      <c r="H59">
        <v>50.5</v>
      </c>
      <c r="I59" t="s">
        <v>413</v>
      </c>
      <c r="K59" s="92">
        <v>1818</v>
      </c>
      <c r="L59" s="92">
        <v>63.509954058192953</v>
      </c>
      <c r="O59" s="66"/>
      <c r="S59">
        <v>2023</v>
      </c>
      <c r="U59" t="s">
        <v>99</v>
      </c>
      <c r="V59" t="s">
        <v>519</v>
      </c>
      <c r="W59" s="64" t="s">
        <v>72</v>
      </c>
    </row>
    <row r="60" spans="1:23" x14ac:dyDescent="0.2">
      <c r="A60" t="s">
        <v>400</v>
      </c>
      <c r="B60" t="s">
        <v>402</v>
      </c>
      <c r="C60" t="s">
        <v>490</v>
      </c>
      <c r="D60" t="s">
        <v>520</v>
      </c>
      <c r="E60" t="s">
        <v>67</v>
      </c>
      <c r="F60">
        <v>1.75</v>
      </c>
      <c r="G60">
        <v>81.625</v>
      </c>
      <c r="H60">
        <v>74</v>
      </c>
      <c r="I60" t="s">
        <v>413</v>
      </c>
      <c r="K60" s="92">
        <v>1718</v>
      </c>
      <c r="L60" s="92">
        <v>40.957245147137947</v>
      </c>
      <c r="O60" s="66"/>
      <c r="S60">
        <v>2023</v>
      </c>
      <c r="U60" t="s">
        <v>99</v>
      </c>
      <c r="V60" t="s">
        <v>521</v>
      </c>
      <c r="W60" s="64" t="s">
        <v>72</v>
      </c>
    </row>
    <row r="61" spans="1:23" x14ac:dyDescent="0.2">
      <c r="A61" t="s">
        <v>400</v>
      </c>
      <c r="B61" t="s">
        <v>402</v>
      </c>
      <c r="C61" t="s">
        <v>490</v>
      </c>
      <c r="D61" t="s">
        <v>522</v>
      </c>
      <c r="E61" t="s">
        <v>67</v>
      </c>
      <c r="F61">
        <v>1.75</v>
      </c>
      <c r="G61">
        <v>81.625</v>
      </c>
      <c r="H61">
        <v>74</v>
      </c>
      <c r="I61" t="s">
        <v>413</v>
      </c>
      <c r="K61" s="92">
        <v>1888</v>
      </c>
      <c r="L61" s="92">
        <v>45.010057530731338</v>
      </c>
      <c r="O61" s="66"/>
      <c r="S61">
        <v>2023</v>
      </c>
      <c r="U61" t="s">
        <v>99</v>
      </c>
      <c r="V61" t="s">
        <v>523</v>
      </c>
      <c r="W61" s="64" t="s">
        <v>72</v>
      </c>
    </row>
    <row r="62" spans="1:23" x14ac:dyDescent="0.2">
      <c r="A62" t="s">
        <v>400</v>
      </c>
      <c r="B62" t="s">
        <v>402</v>
      </c>
      <c r="C62" t="s">
        <v>477</v>
      </c>
      <c r="D62" t="s">
        <v>4704</v>
      </c>
      <c r="E62" t="s">
        <v>67</v>
      </c>
      <c r="F62">
        <v>1.75</v>
      </c>
      <c r="G62">
        <v>81.5</v>
      </c>
      <c r="H62">
        <v>33.5</v>
      </c>
      <c r="I62" t="s">
        <v>413</v>
      </c>
      <c r="K62" s="92">
        <v>878</v>
      </c>
      <c r="L62" s="92">
        <v>46.307847266733823</v>
      </c>
      <c r="O62" s="66"/>
      <c r="S62">
        <v>2023</v>
      </c>
      <c r="U62" t="s">
        <v>99</v>
      </c>
      <c r="V62" t="s">
        <v>524</v>
      </c>
      <c r="W62" s="64" t="s">
        <v>72</v>
      </c>
    </row>
    <row r="63" spans="1:23" x14ac:dyDescent="0.2">
      <c r="A63" t="s">
        <v>400</v>
      </c>
      <c r="B63" t="s">
        <v>402</v>
      </c>
      <c r="C63" t="s">
        <v>477</v>
      </c>
      <c r="D63" t="s">
        <v>4705</v>
      </c>
      <c r="E63" t="s">
        <v>67</v>
      </c>
      <c r="F63">
        <v>1.75</v>
      </c>
      <c r="G63">
        <v>81.5</v>
      </c>
      <c r="H63">
        <v>33.5</v>
      </c>
      <c r="I63" t="s">
        <v>413</v>
      </c>
      <c r="K63" s="92">
        <v>377</v>
      </c>
      <c r="L63" s="92">
        <v>19.883893416353811</v>
      </c>
      <c r="O63" s="66"/>
      <c r="S63">
        <v>2023</v>
      </c>
      <c r="U63" t="s">
        <v>99</v>
      </c>
      <c r="V63" t="s">
        <v>525</v>
      </c>
      <c r="W63" s="64" t="s">
        <v>72</v>
      </c>
    </row>
    <row r="64" spans="1:23" x14ac:dyDescent="0.2">
      <c r="A64" t="s">
        <v>400</v>
      </c>
      <c r="B64" t="s">
        <v>402</v>
      </c>
      <c r="C64" t="s">
        <v>477</v>
      </c>
      <c r="D64" t="s">
        <v>4706</v>
      </c>
      <c r="E64" t="s">
        <v>67</v>
      </c>
      <c r="F64">
        <v>1.75</v>
      </c>
      <c r="G64">
        <v>81.5</v>
      </c>
      <c r="H64">
        <v>33.5</v>
      </c>
      <c r="I64" t="s">
        <v>413</v>
      </c>
      <c r="K64" s="92">
        <v>377</v>
      </c>
      <c r="L64" s="92">
        <v>19.883893416353811</v>
      </c>
      <c r="O64" s="66"/>
      <c r="S64">
        <v>2023</v>
      </c>
      <c r="U64" t="s">
        <v>99</v>
      </c>
      <c r="V64" t="s">
        <v>526</v>
      </c>
      <c r="W64" s="64" t="s">
        <v>72</v>
      </c>
    </row>
    <row r="65" spans="1:23" x14ac:dyDescent="0.2">
      <c r="A65" t="s">
        <v>400</v>
      </c>
      <c r="B65" t="s">
        <v>402</v>
      </c>
      <c r="C65" t="s">
        <v>477</v>
      </c>
      <c r="D65" t="s">
        <v>4707</v>
      </c>
      <c r="E65" t="s">
        <v>67</v>
      </c>
      <c r="F65">
        <v>1.75</v>
      </c>
      <c r="G65">
        <v>81.5</v>
      </c>
      <c r="H65">
        <v>37.5</v>
      </c>
      <c r="I65" t="s">
        <v>413</v>
      </c>
      <c r="K65" s="92">
        <v>1358</v>
      </c>
      <c r="L65" s="92">
        <v>63.984294478527609</v>
      </c>
      <c r="O65" s="66"/>
      <c r="S65">
        <v>2023</v>
      </c>
      <c r="U65" t="s">
        <v>99</v>
      </c>
      <c r="V65" t="s">
        <v>527</v>
      </c>
      <c r="W65" s="64" t="s">
        <v>72</v>
      </c>
    </row>
    <row r="66" spans="1:23" x14ac:dyDescent="0.2">
      <c r="A66" t="s">
        <v>400</v>
      </c>
      <c r="B66" t="s">
        <v>402</v>
      </c>
      <c r="C66" t="s">
        <v>472</v>
      </c>
      <c r="D66" t="s">
        <v>528</v>
      </c>
      <c r="E66" t="s">
        <v>67</v>
      </c>
      <c r="F66">
        <v>1.75</v>
      </c>
      <c r="G66">
        <v>81.561999999999998</v>
      </c>
      <c r="H66">
        <v>37.375</v>
      </c>
      <c r="I66" t="s">
        <v>413</v>
      </c>
      <c r="K66" s="92">
        <v>1168</v>
      </c>
      <c r="L66" s="92">
        <v>55.174228210904502</v>
      </c>
      <c r="O66" s="66"/>
      <c r="S66">
        <v>2023</v>
      </c>
      <c r="U66" t="s">
        <v>99</v>
      </c>
      <c r="V66" t="s">
        <v>529</v>
      </c>
      <c r="W66" s="64" t="s">
        <v>72</v>
      </c>
    </row>
    <row r="67" spans="1:23" x14ac:dyDescent="0.2">
      <c r="A67" t="s">
        <v>400</v>
      </c>
      <c r="B67" t="s">
        <v>402</v>
      </c>
      <c r="C67" t="s">
        <v>472</v>
      </c>
      <c r="D67" t="s">
        <v>530</v>
      </c>
      <c r="E67" t="s">
        <v>67</v>
      </c>
      <c r="F67">
        <v>1.75</v>
      </c>
      <c r="G67">
        <v>81.561999999999998</v>
      </c>
      <c r="H67">
        <v>37.375</v>
      </c>
      <c r="I67" t="s">
        <v>413</v>
      </c>
      <c r="K67" s="92">
        <v>858</v>
      </c>
      <c r="L67" s="92">
        <v>40.530383394654159</v>
      </c>
      <c r="O67" s="66"/>
      <c r="S67">
        <v>2023</v>
      </c>
      <c r="U67" t="s">
        <v>99</v>
      </c>
      <c r="V67" t="s">
        <v>531</v>
      </c>
      <c r="W67" s="64" t="s">
        <v>72</v>
      </c>
    </row>
    <row r="68" spans="1:23" x14ac:dyDescent="0.2">
      <c r="A68" t="s">
        <v>400</v>
      </c>
      <c r="B68" t="s">
        <v>402</v>
      </c>
      <c r="C68" t="s">
        <v>472</v>
      </c>
      <c r="D68" t="s">
        <v>532</v>
      </c>
      <c r="E68" t="s">
        <v>67</v>
      </c>
      <c r="F68">
        <v>1.75</v>
      </c>
      <c r="G68">
        <v>81.561999999999998</v>
      </c>
      <c r="H68">
        <v>37.375</v>
      </c>
      <c r="I68" t="s">
        <v>413</v>
      </c>
      <c r="K68" s="92">
        <v>1138</v>
      </c>
      <c r="L68" s="92">
        <v>53.757081938364138</v>
      </c>
      <c r="O68" s="66"/>
      <c r="S68">
        <v>2023</v>
      </c>
      <c r="U68" t="s">
        <v>99</v>
      </c>
      <c r="V68" t="s">
        <v>533</v>
      </c>
      <c r="W68" s="64" t="s">
        <v>72</v>
      </c>
    </row>
    <row r="69" spans="1:23" x14ac:dyDescent="0.2">
      <c r="A69" t="s">
        <v>400</v>
      </c>
      <c r="B69" t="s">
        <v>402</v>
      </c>
      <c r="C69" t="s">
        <v>472</v>
      </c>
      <c r="D69" t="s">
        <v>534</v>
      </c>
      <c r="E69" t="s">
        <v>67</v>
      </c>
      <c r="F69">
        <v>1.75</v>
      </c>
      <c r="G69">
        <v>81.561999999999998</v>
      </c>
      <c r="H69">
        <v>37.375</v>
      </c>
      <c r="I69" t="s">
        <v>413</v>
      </c>
      <c r="K69" s="92">
        <v>1188</v>
      </c>
      <c r="L69" s="92">
        <v>56.118992392598066</v>
      </c>
      <c r="O69" s="66"/>
      <c r="S69">
        <v>2023</v>
      </c>
      <c r="U69" t="s">
        <v>99</v>
      </c>
      <c r="V69" t="s">
        <v>535</v>
      </c>
      <c r="W69" s="64" t="s">
        <v>72</v>
      </c>
    </row>
    <row r="70" spans="1:23" x14ac:dyDescent="0.2">
      <c r="A70" t="s">
        <v>400</v>
      </c>
      <c r="B70" t="s">
        <v>402</v>
      </c>
      <c r="C70" t="s">
        <v>460</v>
      </c>
      <c r="D70" t="s">
        <v>536</v>
      </c>
      <c r="E70" t="s">
        <v>67</v>
      </c>
      <c r="F70">
        <v>1.75</v>
      </c>
      <c r="G70">
        <v>81.75</v>
      </c>
      <c r="H70">
        <v>73.5</v>
      </c>
      <c r="I70" t="s">
        <v>413</v>
      </c>
      <c r="K70" s="92">
        <v>2012.8</v>
      </c>
      <c r="L70" s="92">
        <v>48.237858079011417</v>
      </c>
      <c r="O70" s="66"/>
      <c r="S70">
        <v>2023</v>
      </c>
      <c r="U70" t="s">
        <v>99</v>
      </c>
      <c r="V70" t="s">
        <v>537</v>
      </c>
      <c r="W70" s="64" t="s">
        <v>72</v>
      </c>
    </row>
    <row r="71" spans="1:23" x14ac:dyDescent="0.2">
      <c r="A71" t="s">
        <v>400</v>
      </c>
      <c r="B71" t="s">
        <v>402</v>
      </c>
      <c r="C71" t="s">
        <v>460</v>
      </c>
      <c r="D71" t="s">
        <v>538</v>
      </c>
      <c r="E71" t="s">
        <v>67</v>
      </c>
      <c r="F71">
        <v>2</v>
      </c>
      <c r="G71">
        <v>81.75</v>
      </c>
      <c r="H71">
        <v>66</v>
      </c>
      <c r="I71" t="s">
        <v>413</v>
      </c>
      <c r="K71" s="92">
        <v>2786.3</v>
      </c>
      <c r="L71" s="92">
        <v>74.363302752293578</v>
      </c>
      <c r="O71" s="66"/>
      <c r="S71">
        <v>2023</v>
      </c>
      <c r="U71" t="s">
        <v>99</v>
      </c>
      <c r="V71" t="s">
        <v>539</v>
      </c>
      <c r="W71" s="64" t="s">
        <v>72</v>
      </c>
    </row>
    <row r="72" spans="1:23" x14ac:dyDescent="0.2">
      <c r="A72" t="s">
        <v>400</v>
      </c>
      <c r="B72" t="s">
        <v>402</v>
      </c>
      <c r="C72" t="s">
        <v>460</v>
      </c>
      <c r="D72" t="s">
        <v>540</v>
      </c>
      <c r="E72" t="s">
        <v>67</v>
      </c>
      <c r="F72">
        <v>2</v>
      </c>
      <c r="G72">
        <v>81.75</v>
      </c>
      <c r="H72">
        <v>68.5</v>
      </c>
      <c r="I72" t="s">
        <v>413</v>
      </c>
      <c r="K72" s="92">
        <v>3324.61</v>
      </c>
      <c r="L72" s="92">
        <v>85.491879729458248</v>
      </c>
      <c r="O72" s="66"/>
      <c r="S72">
        <v>2023</v>
      </c>
      <c r="U72" t="s">
        <v>99</v>
      </c>
      <c r="V72" t="s">
        <v>541</v>
      </c>
      <c r="W72" s="64" t="s">
        <v>72</v>
      </c>
    </row>
    <row r="73" spans="1:23" x14ac:dyDescent="0.2">
      <c r="A73" t="s">
        <v>400</v>
      </c>
      <c r="B73" t="s">
        <v>402</v>
      </c>
      <c r="C73" t="s">
        <v>460</v>
      </c>
      <c r="D73" t="s">
        <v>542</v>
      </c>
      <c r="E73" t="s">
        <v>67</v>
      </c>
      <c r="F73">
        <v>1.75</v>
      </c>
      <c r="G73">
        <v>81.75</v>
      </c>
      <c r="H73">
        <v>37.5</v>
      </c>
      <c r="I73" t="s">
        <v>413</v>
      </c>
      <c r="K73" s="92">
        <v>938</v>
      </c>
      <c r="L73" s="92">
        <v>44.060183486238543</v>
      </c>
      <c r="O73" s="66"/>
      <c r="S73">
        <v>2023</v>
      </c>
      <c r="U73" t="s">
        <v>99</v>
      </c>
      <c r="V73" t="s">
        <v>543</v>
      </c>
      <c r="W73" s="64" t="s">
        <v>72</v>
      </c>
    </row>
    <row r="74" spans="1:23" x14ac:dyDescent="0.2">
      <c r="A74" t="s">
        <v>400</v>
      </c>
      <c r="B74" t="s">
        <v>402</v>
      </c>
      <c r="C74" t="s">
        <v>460</v>
      </c>
      <c r="D74" t="s">
        <v>544</v>
      </c>
      <c r="E74" t="s">
        <v>67</v>
      </c>
      <c r="F74">
        <v>1.75</v>
      </c>
      <c r="G74">
        <v>81.75</v>
      </c>
      <c r="H74">
        <v>31.5</v>
      </c>
      <c r="I74" t="s">
        <v>413</v>
      </c>
      <c r="K74" s="92">
        <v>998</v>
      </c>
      <c r="L74" s="92">
        <v>55.807776321537787</v>
      </c>
      <c r="O74" s="66"/>
      <c r="S74">
        <v>2023</v>
      </c>
      <c r="U74" t="s">
        <v>99</v>
      </c>
      <c r="V74" t="s">
        <v>545</v>
      </c>
      <c r="W74" s="64" t="s">
        <v>72</v>
      </c>
    </row>
    <row r="75" spans="1:23" x14ac:dyDescent="0.2">
      <c r="A75" t="s">
        <v>400</v>
      </c>
      <c r="B75" t="s">
        <v>402</v>
      </c>
      <c r="C75" t="s">
        <v>460</v>
      </c>
      <c r="D75" t="s">
        <v>546</v>
      </c>
      <c r="E75" t="s">
        <v>67</v>
      </c>
      <c r="F75">
        <v>1.75</v>
      </c>
      <c r="G75">
        <v>81</v>
      </c>
      <c r="H75">
        <v>31.5</v>
      </c>
      <c r="I75" t="s">
        <v>413</v>
      </c>
      <c r="K75" s="92">
        <v>958</v>
      </c>
      <c r="L75" s="92">
        <v>54.067019400352727</v>
      </c>
      <c r="O75" s="66"/>
      <c r="S75">
        <v>2023</v>
      </c>
      <c r="U75" t="s">
        <v>99</v>
      </c>
      <c r="V75" t="s">
        <v>547</v>
      </c>
      <c r="W75" s="64" t="s">
        <v>72</v>
      </c>
    </row>
    <row r="76" spans="1:23" x14ac:dyDescent="0.2">
      <c r="A76" t="s">
        <v>400</v>
      </c>
      <c r="B76" t="s">
        <v>402</v>
      </c>
      <c r="C76" t="s">
        <v>460</v>
      </c>
      <c r="D76" t="s">
        <v>548</v>
      </c>
      <c r="E76" t="s">
        <v>67</v>
      </c>
      <c r="F76">
        <v>1.75</v>
      </c>
      <c r="G76">
        <v>81.75</v>
      </c>
      <c r="H76">
        <v>31.5</v>
      </c>
      <c r="I76" t="s">
        <v>413</v>
      </c>
      <c r="K76" s="92">
        <v>1028</v>
      </c>
      <c r="L76" s="92">
        <v>57.485364788117082</v>
      </c>
      <c r="O76" s="66"/>
      <c r="S76">
        <v>2023</v>
      </c>
      <c r="U76" t="s">
        <v>99</v>
      </c>
      <c r="V76" t="s">
        <v>549</v>
      </c>
      <c r="W76" s="64" t="s">
        <v>72</v>
      </c>
    </row>
    <row r="77" spans="1:23" x14ac:dyDescent="0.2">
      <c r="A77" t="s">
        <v>400</v>
      </c>
      <c r="B77" t="s">
        <v>402</v>
      </c>
      <c r="C77" t="s">
        <v>403</v>
      </c>
      <c r="D77" t="s">
        <v>550</v>
      </c>
      <c r="E77" t="s">
        <v>67</v>
      </c>
      <c r="F77">
        <v>1.75</v>
      </c>
      <c r="G77">
        <v>81.5</v>
      </c>
      <c r="H77">
        <v>37.5</v>
      </c>
      <c r="I77" t="s">
        <v>413</v>
      </c>
      <c r="K77" s="92">
        <v>1148</v>
      </c>
      <c r="L77" s="92">
        <v>54.089815950920247</v>
      </c>
      <c r="O77" s="66"/>
      <c r="S77">
        <v>2023</v>
      </c>
      <c r="U77" t="s">
        <v>99</v>
      </c>
      <c r="V77" t="s">
        <v>551</v>
      </c>
      <c r="W77" s="64" t="s">
        <v>72</v>
      </c>
    </row>
    <row r="78" spans="1:23" x14ac:dyDescent="0.2">
      <c r="A78" t="s">
        <v>400</v>
      </c>
      <c r="B78" t="s">
        <v>402</v>
      </c>
      <c r="C78" t="s">
        <v>403</v>
      </c>
      <c r="D78" t="s">
        <v>552</v>
      </c>
      <c r="E78" t="s">
        <v>67</v>
      </c>
      <c r="F78">
        <v>1.75</v>
      </c>
      <c r="G78">
        <v>81.5</v>
      </c>
      <c r="H78">
        <v>33.5</v>
      </c>
      <c r="I78" t="s">
        <v>413</v>
      </c>
      <c r="K78" s="92">
        <v>1038</v>
      </c>
      <c r="L78" s="92">
        <v>54.746634923541812</v>
      </c>
      <c r="O78" s="66"/>
      <c r="S78">
        <v>2023</v>
      </c>
      <c r="U78" t="s">
        <v>99</v>
      </c>
      <c r="V78" t="s">
        <v>553</v>
      </c>
      <c r="W78" s="64" t="s">
        <v>72</v>
      </c>
    </row>
    <row r="79" spans="1:23" x14ac:dyDescent="0.2">
      <c r="A79" t="s">
        <v>400</v>
      </c>
      <c r="B79" t="s">
        <v>402</v>
      </c>
      <c r="C79" t="s">
        <v>403</v>
      </c>
      <c r="D79" t="s">
        <v>554</v>
      </c>
      <c r="E79" t="s">
        <v>67</v>
      </c>
      <c r="F79">
        <v>1.75</v>
      </c>
      <c r="G79">
        <v>81.5</v>
      </c>
      <c r="H79">
        <v>33.5</v>
      </c>
      <c r="I79" t="s">
        <v>413</v>
      </c>
      <c r="K79" s="92">
        <v>1108</v>
      </c>
      <c r="L79" s="92">
        <v>58.438604523395298</v>
      </c>
      <c r="O79" s="66"/>
      <c r="S79">
        <v>2023</v>
      </c>
      <c r="U79" t="s">
        <v>99</v>
      </c>
      <c r="V79" t="s">
        <v>555</v>
      </c>
      <c r="W79" s="64" t="s">
        <v>72</v>
      </c>
    </row>
    <row r="80" spans="1:23" x14ac:dyDescent="0.2">
      <c r="A80" t="s">
        <v>400</v>
      </c>
      <c r="B80" t="s">
        <v>402</v>
      </c>
      <c r="C80" t="s">
        <v>403</v>
      </c>
      <c r="D80" t="s">
        <v>556</v>
      </c>
      <c r="E80" t="s">
        <v>67</v>
      </c>
      <c r="F80">
        <v>1.75</v>
      </c>
      <c r="G80">
        <v>80.75</v>
      </c>
      <c r="H80">
        <v>33.5</v>
      </c>
      <c r="I80" t="s">
        <v>413</v>
      </c>
      <c r="K80" s="92">
        <v>1098</v>
      </c>
      <c r="L80" s="92">
        <v>58.449055034425392</v>
      </c>
      <c r="O80" s="66"/>
      <c r="S80">
        <v>2023</v>
      </c>
      <c r="U80" t="s">
        <v>99</v>
      </c>
      <c r="V80" t="s">
        <v>557</v>
      </c>
      <c r="W80" s="64" t="s">
        <v>72</v>
      </c>
    </row>
    <row r="81" spans="1:23" x14ac:dyDescent="0.2">
      <c r="A81" t="s">
        <v>400</v>
      </c>
      <c r="B81" t="s">
        <v>402</v>
      </c>
      <c r="C81" t="s">
        <v>403</v>
      </c>
      <c r="D81" t="s">
        <v>558</v>
      </c>
      <c r="E81" t="s">
        <v>67</v>
      </c>
      <c r="F81">
        <v>1.75</v>
      </c>
      <c r="G81">
        <v>81.5</v>
      </c>
      <c r="H81">
        <v>33.5</v>
      </c>
      <c r="I81" t="s">
        <v>413</v>
      </c>
      <c r="K81" s="92">
        <v>978</v>
      </c>
      <c r="L81" s="92">
        <v>51.582089552238813</v>
      </c>
      <c r="O81" s="66"/>
      <c r="S81">
        <v>2023</v>
      </c>
      <c r="U81" t="s">
        <v>99</v>
      </c>
      <c r="V81" t="s">
        <v>559</v>
      </c>
      <c r="W81" s="64" t="s">
        <v>72</v>
      </c>
    </row>
    <row r="82" spans="1:23" x14ac:dyDescent="0.2">
      <c r="A82" t="s">
        <v>400</v>
      </c>
      <c r="B82" t="s">
        <v>402</v>
      </c>
      <c r="C82" t="s">
        <v>460</v>
      </c>
      <c r="D82" t="s">
        <v>560</v>
      </c>
      <c r="E82" t="s">
        <v>67</v>
      </c>
      <c r="F82">
        <v>1.75</v>
      </c>
      <c r="G82">
        <v>81.75</v>
      </c>
      <c r="H82">
        <v>53</v>
      </c>
      <c r="I82" t="s">
        <v>413</v>
      </c>
      <c r="K82" s="92">
        <v>1388</v>
      </c>
      <c r="L82" s="92">
        <v>46.13051756967284</v>
      </c>
      <c r="O82" s="66"/>
      <c r="S82">
        <v>2023</v>
      </c>
      <c r="U82" t="s">
        <v>99</v>
      </c>
      <c r="V82" t="s">
        <v>561</v>
      </c>
      <c r="W82" s="64" t="s">
        <v>72</v>
      </c>
    </row>
    <row r="83" spans="1:23" x14ac:dyDescent="0.2">
      <c r="A83" t="s">
        <v>400</v>
      </c>
      <c r="B83" t="s">
        <v>402</v>
      </c>
      <c r="C83" t="s">
        <v>460</v>
      </c>
      <c r="D83" t="s">
        <v>562</v>
      </c>
      <c r="E83" t="s">
        <v>67</v>
      </c>
      <c r="F83">
        <v>1.75</v>
      </c>
      <c r="G83">
        <v>81.75</v>
      </c>
      <c r="H83">
        <v>53</v>
      </c>
      <c r="I83" t="s">
        <v>413</v>
      </c>
      <c r="K83" s="92">
        <v>1388</v>
      </c>
      <c r="L83" s="92">
        <v>46.13051756967284</v>
      </c>
      <c r="O83" s="66"/>
      <c r="S83">
        <v>2023</v>
      </c>
      <c r="U83" t="s">
        <v>99</v>
      </c>
      <c r="V83" t="s">
        <v>563</v>
      </c>
      <c r="W83" s="64" t="s">
        <v>72</v>
      </c>
    </row>
    <row r="84" spans="1:23" x14ac:dyDescent="0.2">
      <c r="A84" t="s">
        <v>400</v>
      </c>
      <c r="B84" t="s">
        <v>402</v>
      </c>
      <c r="C84" t="s">
        <v>403</v>
      </c>
      <c r="D84" t="s">
        <v>564</v>
      </c>
      <c r="E84" t="s">
        <v>67</v>
      </c>
      <c r="F84">
        <v>1.75</v>
      </c>
      <c r="G84">
        <v>81.5</v>
      </c>
      <c r="H84">
        <v>33.5</v>
      </c>
      <c r="I84" t="s">
        <v>413</v>
      </c>
      <c r="K84" s="92">
        <v>1298</v>
      </c>
      <c r="L84" s="92">
        <v>68.459664865854776</v>
      </c>
      <c r="O84" s="66"/>
      <c r="S84">
        <v>2023</v>
      </c>
      <c r="U84" t="s">
        <v>99</v>
      </c>
      <c r="V84" t="s">
        <v>565</v>
      </c>
      <c r="W84" s="64" t="s">
        <v>72</v>
      </c>
    </row>
    <row r="85" spans="1:23" x14ac:dyDescent="0.2">
      <c r="A85" t="s">
        <v>400</v>
      </c>
      <c r="B85" t="s">
        <v>402</v>
      </c>
      <c r="C85" t="s">
        <v>403</v>
      </c>
      <c r="D85" t="s">
        <v>566</v>
      </c>
      <c r="E85" t="s">
        <v>67</v>
      </c>
      <c r="F85">
        <v>1.75</v>
      </c>
      <c r="G85">
        <v>81.5</v>
      </c>
      <c r="H85">
        <v>33.5</v>
      </c>
      <c r="I85" t="s">
        <v>413</v>
      </c>
      <c r="K85" s="92">
        <v>1388</v>
      </c>
      <c r="L85" s="92">
        <v>73.206482922809272</v>
      </c>
      <c r="O85" s="66"/>
      <c r="S85">
        <v>2023</v>
      </c>
      <c r="U85" t="s">
        <v>99</v>
      </c>
      <c r="V85" t="s">
        <v>567</v>
      </c>
      <c r="W85" s="64" t="s">
        <v>72</v>
      </c>
    </row>
    <row r="86" spans="1:23" x14ac:dyDescent="0.2">
      <c r="A86" t="s">
        <v>400</v>
      </c>
      <c r="B86" t="s">
        <v>402</v>
      </c>
      <c r="C86" t="s">
        <v>490</v>
      </c>
      <c r="D86" t="s">
        <v>568</v>
      </c>
      <c r="E86" t="s">
        <v>67</v>
      </c>
      <c r="F86">
        <v>1.75</v>
      </c>
      <c r="G86">
        <v>81.625</v>
      </c>
      <c r="H86">
        <v>67.5</v>
      </c>
      <c r="I86" t="s">
        <v>413</v>
      </c>
      <c r="K86" s="92">
        <v>2388</v>
      </c>
      <c r="L86" s="92">
        <v>62.412251148545181</v>
      </c>
      <c r="O86" s="66"/>
      <c r="S86">
        <v>2023</v>
      </c>
      <c r="U86" t="s">
        <v>99</v>
      </c>
      <c r="V86" t="s">
        <v>569</v>
      </c>
      <c r="W86" s="64" t="s">
        <v>72</v>
      </c>
    </row>
    <row r="87" spans="1:23" x14ac:dyDescent="0.2">
      <c r="A87" t="s">
        <v>400</v>
      </c>
      <c r="B87" t="s">
        <v>402</v>
      </c>
      <c r="C87" t="s">
        <v>460</v>
      </c>
      <c r="D87" t="s">
        <v>570</v>
      </c>
      <c r="E87" t="s">
        <v>67</v>
      </c>
      <c r="F87">
        <v>2</v>
      </c>
      <c r="G87">
        <v>81.75</v>
      </c>
      <c r="H87">
        <v>74</v>
      </c>
      <c r="I87" t="s">
        <v>416</v>
      </c>
      <c r="K87" s="92">
        <v>1689.8</v>
      </c>
      <c r="L87" s="92">
        <v>40.223357302256382</v>
      </c>
      <c r="O87" s="66"/>
      <c r="S87">
        <v>2023</v>
      </c>
      <c r="U87" t="s">
        <v>99</v>
      </c>
      <c r="V87" t="s">
        <v>571</v>
      </c>
      <c r="W87" s="64" t="s">
        <v>72</v>
      </c>
    </row>
    <row r="88" spans="1:23" x14ac:dyDescent="0.2">
      <c r="A88" t="s">
        <v>400</v>
      </c>
      <c r="B88" t="s">
        <v>402</v>
      </c>
      <c r="C88" t="s">
        <v>465</v>
      </c>
      <c r="D88" t="s">
        <v>572</v>
      </c>
      <c r="E88" t="s">
        <v>67</v>
      </c>
      <c r="F88">
        <v>1.375</v>
      </c>
      <c r="G88">
        <v>81.75</v>
      </c>
      <c r="H88">
        <v>64.563000000000002</v>
      </c>
      <c r="I88" t="s">
        <v>416</v>
      </c>
      <c r="K88" s="92">
        <v>2768</v>
      </c>
      <c r="L88" s="92">
        <v>75.519153683472794</v>
      </c>
      <c r="O88" s="66"/>
      <c r="S88">
        <v>2023</v>
      </c>
      <c r="U88" t="s">
        <v>99</v>
      </c>
      <c r="V88" t="s">
        <v>573</v>
      </c>
      <c r="W88" s="64" t="s">
        <v>72</v>
      </c>
    </row>
    <row r="89" spans="1:23" x14ac:dyDescent="0.2">
      <c r="A89" t="s">
        <v>400</v>
      </c>
      <c r="B89" t="s">
        <v>402</v>
      </c>
      <c r="C89" t="s">
        <v>465</v>
      </c>
      <c r="D89" t="s">
        <v>574</v>
      </c>
      <c r="E89" t="s">
        <v>67</v>
      </c>
      <c r="F89">
        <v>1.375</v>
      </c>
      <c r="G89">
        <v>81.75</v>
      </c>
      <c r="H89">
        <v>37.75</v>
      </c>
      <c r="I89" t="s">
        <v>416</v>
      </c>
      <c r="K89" s="92">
        <v>1548</v>
      </c>
      <c r="L89" s="92">
        <v>72.23184883650282</v>
      </c>
      <c r="O89" s="66"/>
      <c r="S89">
        <v>2023</v>
      </c>
      <c r="U89" t="s">
        <v>99</v>
      </c>
      <c r="V89" t="s">
        <v>575</v>
      </c>
      <c r="W89" s="64" t="s">
        <v>72</v>
      </c>
    </row>
    <row r="90" spans="1:23" x14ac:dyDescent="0.2">
      <c r="A90" t="s">
        <v>400</v>
      </c>
      <c r="B90" t="s">
        <v>402</v>
      </c>
      <c r="C90" t="s">
        <v>472</v>
      </c>
      <c r="D90" t="s">
        <v>576</v>
      </c>
      <c r="E90" t="s">
        <v>67</v>
      </c>
      <c r="F90">
        <v>1.75</v>
      </c>
      <c r="G90">
        <v>81.561999999999998</v>
      </c>
      <c r="H90">
        <v>37.375</v>
      </c>
      <c r="I90" t="s">
        <v>416</v>
      </c>
      <c r="K90" s="92">
        <v>1028</v>
      </c>
      <c r="L90" s="92">
        <v>48.560878939049509</v>
      </c>
      <c r="O90" s="66"/>
      <c r="S90">
        <v>2023</v>
      </c>
      <c r="U90" t="s">
        <v>99</v>
      </c>
      <c r="V90" t="s">
        <v>577</v>
      </c>
      <c r="W90" s="64" t="s">
        <v>72</v>
      </c>
    </row>
    <row r="91" spans="1:23" x14ac:dyDescent="0.2">
      <c r="A91" t="s">
        <v>400</v>
      </c>
      <c r="B91" t="s">
        <v>402</v>
      </c>
      <c r="C91" t="s">
        <v>472</v>
      </c>
      <c r="D91" t="s">
        <v>578</v>
      </c>
      <c r="E91" t="s">
        <v>67</v>
      </c>
      <c r="F91">
        <v>1.75</v>
      </c>
      <c r="G91">
        <v>81.561999999999998</v>
      </c>
      <c r="H91">
        <v>37.375</v>
      </c>
      <c r="I91" t="s">
        <v>416</v>
      </c>
      <c r="K91" s="92">
        <v>1068</v>
      </c>
      <c r="L91" s="92">
        <v>50.450407302436638</v>
      </c>
      <c r="O91" s="66"/>
      <c r="S91">
        <v>2023</v>
      </c>
      <c r="U91" t="s">
        <v>99</v>
      </c>
      <c r="V91" t="s">
        <v>579</v>
      </c>
      <c r="W91" s="64" t="s">
        <v>72</v>
      </c>
    </row>
    <row r="92" spans="1:23" x14ac:dyDescent="0.2">
      <c r="A92" t="s">
        <v>400</v>
      </c>
      <c r="B92" t="s">
        <v>402</v>
      </c>
      <c r="C92" t="s">
        <v>472</v>
      </c>
      <c r="D92" t="s">
        <v>580</v>
      </c>
      <c r="E92" t="s">
        <v>67</v>
      </c>
      <c r="F92">
        <v>1.75</v>
      </c>
      <c r="G92">
        <v>81.561999999999998</v>
      </c>
      <c r="H92">
        <v>37.375</v>
      </c>
      <c r="I92" t="s">
        <v>416</v>
      </c>
      <c r="K92" s="92">
        <v>1038</v>
      </c>
      <c r="L92" s="92">
        <v>49.033261029896288</v>
      </c>
      <c r="O92" s="66"/>
      <c r="S92">
        <v>2023</v>
      </c>
      <c r="U92" t="s">
        <v>99</v>
      </c>
      <c r="V92" t="s">
        <v>581</v>
      </c>
      <c r="W92" s="64" t="s">
        <v>72</v>
      </c>
    </row>
    <row r="93" spans="1:23" x14ac:dyDescent="0.2">
      <c r="A93" t="s">
        <v>400</v>
      </c>
      <c r="B93" t="s">
        <v>402</v>
      </c>
      <c r="C93" t="s">
        <v>472</v>
      </c>
      <c r="D93" t="s">
        <v>582</v>
      </c>
      <c r="E93" t="s">
        <v>67</v>
      </c>
      <c r="F93">
        <v>1.75</v>
      </c>
      <c r="G93">
        <v>81.561999999999998</v>
      </c>
      <c r="H93">
        <v>37.375</v>
      </c>
      <c r="I93" t="s">
        <v>416</v>
      </c>
      <c r="K93" s="92">
        <v>858</v>
      </c>
      <c r="L93" s="92">
        <v>40.530383394654159</v>
      </c>
      <c r="O93" s="66"/>
      <c r="S93">
        <v>2023</v>
      </c>
      <c r="U93" t="s">
        <v>99</v>
      </c>
      <c r="V93" t="s">
        <v>583</v>
      </c>
      <c r="W93" s="64" t="s">
        <v>72</v>
      </c>
    </row>
    <row r="94" spans="1:23" x14ac:dyDescent="0.2">
      <c r="A94" t="s">
        <v>400</v>
      </c>
      <c r="B94" t="s">
        <v>402</v>
      </c>
      <c r="C94" t="s">
        <v>472</v>
      </c>
      <c r="D94" t="s">
        <v>584</v>
      </c>
      <c r="E94" t="s">
        <v>67</v>
      </c>
      <c r="F94">
        <v>1.75</v>
      </c>
      <c r="G94">
        <v>81.561999999999998</v>
      </c>
      <c r="H94">
        <v>37.375</v>
      </c>
      <c r="I94" t="s">
        <v>416</v>
      </c>
      <c r="K94" s="92">
        <v>918</v>
      </c>
      <c r="L94" s="92">
        <v>43.364675939734873</v>
      </c>
      <c r="O94" s="66"/>
      <c r="S94">
        <v>2023</v>
      </c>
      <c r="U94" t="s">
        <v>99</v>
      </c>
      <c r="V94" t="s">
        <v>585</v>
      </c>
      <c r="W94" s="64" t="s">
        <v>72</v>
      </c>
    </row>
    <row r="95" spans="1:23" x14ac:dyDescent="0.2">
      <c r="A95" t="s">
        <v>400</v>
      </c>
      <c r="B95" t="s">
        <v>402</v>
      </c>
      <c r="C95" t="s">
        <v>465</v>
      </c>
      <c r="D95" t="s">
        <v>586</v>
      </c>
      <c r="E95" t="s">
        <v>67</v>
      </c>
      <c r="F95">
        <v>1.75</v>
      </c>
      <c r="G95">
        <v>81.75</v>
      </c>
      <c r="H95">
        <v>37.563000000000002</v>
      </c>
      <c r="I95" t="s">
        <v>416</v>
      </c>
      <c r="K95" s="92">
        <v>1638</v>
      </c>
      <c r="L95" s="92">
        <v>76.811873483739973</v>
      </c>
      <c r="O95" s="66"/>
      <c r="S95">
        <v>2023</v>
      </c>
      <c r="U95" t="s">
        <v>99</v>
      </c>
      <c r="V95" t="s">
        <v>587</v>
      </c>
      <c r="W95" s="64" t="s">
        <v>72</v>
      </c>
    </row>
    <row r="96" spans="1:23" x14ac:dyDescent="0.2">
      <c r="A96" t="s">
        <v>400</v>
      </c>
      <c r="B96" t="s">
        <v>402</v>
      </c>
      <c r="C96" t="s">
        <v>465</v>
      </c>
      <c r="D96" t="s">
        <v>588</v>
      </c>
      <c r="E96" t="s">
        <v>67</v>
      </c>
      <c r="F96">
        <v>1.75</v>
      </c>
      <c r="G96">
        <v>81.75</v>
      </c>
      <c r="H96">
        <v>37.563000000000002</v>
      </c>
      <c r="I96" t="s">
        <v>416</v>
      </c>
      <c r="K96" s="92">
        <v>2838</v>
      </c>
      <c r="L96" s="92">
        <v>133.0843082703627</v>
      </c>
      <c r="O96" s="66"/>
      <c r="S96">
        <v>2023</v>
      </c>
      <c r="U96" t="s">
        <v>99</v>
      </c>
      <c r="V96" t="s">
        <v>589</v>
      </c>
      <c r="W96" s="64" t="s">
        <v>72</v>
      </c>
    </row>
    <row r="97" spans="1:23" x14ac:dyDescent="0.2">
      <c r="A97" t="s">
        <v>400</v>
      </c>
      <c r="B97" t="s">
        <v>402</v>
      </c>
      <c r="C97" t="s">
        <v>490</v>
      </c>
      <c r="D97" t="s">
        <v>590</v>
      </c>
      <c r="E97" t="s">
        <v>67</v>
      </c>
      <c r="F97">
        <v>1.75</v>
      </c>
      <c r="G97">
        <v>81.625</v>
      </c>
      <c r="H97">
        <v>74</v>
      </c>
      <c r="I97" t="s">
        <v>416</v>
      </c>
      <c r="K97" s="92">
        <v>2048</v>
      </c>
      <c r="L97" s="92">
        <v>48.824469185878073</v>
      </c>
      <c r="O97" s="66"/>
      <c r="S97">
        <v>2023</v>
      </c>
      <c r="U97" t="s">
        <v>99</v>
      </c>
      <c r="V97" t="s">
        <v>591</v>
      </c>
      <c r="W97" s="64" t="s">
        <v>72</v>
      </c>
    </row>
    <row r="98" spans="1:23" x14ac:dyDescent="0.2">
      <c r="A98" t="s">
        <v>400</v>
      </c>
      <c r="B98" t="s">
        <v>402</v>
      </c>
      <c r="C98" t="s">
        <v>490</v>
      </c>
      <c r="D98" t="s">
        <v>592</v>
      </c>
      <c r="E98" t="s">
        <v>67</v>
      </c>
      <c r="F98">
        <v>1.75</v>
      </c>
      <c r="G98">
        <v>81.625</v>
      </c>
      <c r="H98">
        <v>74</v>
      </c>
      <c r="I98" t="s">
        <v>416</v>
      </c>
      <c r="K98" s="92">
        <v>2218</v>
      </c>
      <c r="L98" s="92">
        <v>52.877281569471457</v>
      </c>
      <c r="O98" s="66"/>
      <c r="S98">
        <v>2023</v>
      </c>
      <c r="U98" t="s">
        <v>99</v>
      </c>
      <c r="V98" t="s">
        <v>593</v>
      </c>
      <c r="W98" s="64" t="s">
        <v>72</v>
      </c>
    </row>
    <row r="99" spans="1:23" x14ac:dyDescent="0.2">
      <c r="A99" t="s">
        <v>400</v>
      </c>
      <c r="B99" t="s">
        <v>402</v>
      </c>
      <c r="C99" t="s">
        <v>490</v>
      </c>
      <c r="D99" t="s">
        <v>594</v>
      </c>
      <c r="E99" t="s">
        <v>67</v>
      </c>
      <c r="F99">
        <v>1.75</v>
      </c>
      <c r="G99">
        <v>81.625</v>
      </c>
      <c r="H99">
        <v>67.5</v>
      </c>
      <c r="I99" t="s">
        <v>416</v>
      </c>
      <c r="K99" s="92">
        <v>2558</v>
      </c>
      <c r="L99" s="92">
        <v>66.855334354262382</v>
      </c>
      <c r="O99" s="66"/>
      <c r="S99">
        <v>2023</v>
      </c>
      <c r="U99" t="s">
        <v>99</v>
      </c>
      <c r="V99" t="s">
        <v>595</v>
      </c>
      <c r="W99" s="64" t="s">
        <v>72</v>
      </c>
    </row>
    <row r="100" spans="1:23" x14ac:dyDescent="0.2">
      <c r="A100" t="s">
        <v>400</v>
      </c>
      <c r="B100" t="s">
        <v>402</v>
      </c>
      <c r="C100" t="s">
        <v>490</v>
      </c>
      <c r="D100" t="s">
        <v>596</v>
      </c>
      <c r="E100" t="s">
        <v>67</v>
      </c>
      <c r="F100">
        <v>1.75</v>
      </c>
      <c r="G100">
        <v>81.625</v>
      </c>
      <c r="H100">
        <v>67.5</v>
      </c>
      <c r="I100" t="s">
        <v>416</v>
      </c>
      <c r="K100" s="92">
        <v>2718</v>
      </c>
      <c r="L100" s="92">
        <v>71.037059724349163</v>
      </c>
      <c r="O100" s="66"/>
      <c r="S100">
        <v>2023</v>
      </c>
      <c r="U100" t="s">
        <v>99</v>
      </c>
      <c r="V100" t="s">
        <v>597</v>
      </c>
      <c r="W100" s="64" t="s">
        <v>72</v>
      </c>
    </row>
    <row r="101" spans="1:23" x14ac:dyDescent="0.2">
      <c r="A101" t="s">
        <v>400</v>
      </c>
      <c r="B101" t="s">
        <v>402</v>
      </c>
      <c r="C101" t="s">
        <v>490</v>
      </c>
      <c r="D101" t="s">
        <v>598</v>
      </c>
      <c r="E101" t="s">
        <v>67</v>
      </c>
      <c r="F101">
        <v>1.75</v>
      </c>
      <c r="G101">
        <v>81.625</v>
      </c>
      <c r="H101">
        <v>67.5</v>
      </c>
      <c r="I101" t="s">
        <v>416</v>
      </c>
      <c r="K101" s="92">
        <v>2718</v>
      </c>
      <c r="L101" s="92">
        <v>71.037059724349163</v>
      </c>
      <c r="O101" s="66"/>
      <c r="S101">
        <v>2023</v>
      </c>
      <c r="U101" t="s">
        <v>99</v>
      </c>
      <c r="V101" t="s">
        <v>599</v>
      </c>
      <c r="W101" s="64" t="s">
        <v>72</v>
      </c>
    </row>
    <row r="102" spans="1:23" x14ac:dyDescent="0.2">
      <c r="A102" t="s">
        <v>400</v>
      </c>
      <c r="B102" t="s">
        <v>402</v>
      </c>
      <c r="C102" t="s">
        <v>490</v>
      </c>
      <c r="D102" t="s">
        <v>600</v>
      </c>
      <c r="E102" t="s">
        <v>67</v>
      </c>
      <c r="F102">
        <v>1.75</v>
      </c>
      <c r="G102">
        <v>81.625</v>
      </c>
      <c r="H102">
        <v>66</v>
      </c>
      <c r="I102" t="s">
        <v>416</v>
      </c>
      <c r="K102" s="92">
        <v>1648</v>
      </c>
      <c r="L102" s="92">
        <v>44.050675205345961</v>
      </c>
      <c r="O102" s="66"/>
      <c r="S102">
        <v>2023</v>
      </c>
      <c r="U102" t="s">
        <v>99</v>
      </c>
      <c r="V102" t="s">
        <v>601</v>
      </c>
      <c r="W102" s="64" t="s">
        <v>72</v>
      </c>
    </row>
    <row r="103" spans="1:23" x14ac:dyDescent="0.2">
      <c r="A103" t="s">
        <v>400</v>
      </c>
      <c r="B103" t="s">
        <v>402</v>
      </c>
      <c r="C103" t="s">
        <v>490</v>
      </c>
      <c r="D103" t="s">
        <v>602</v>
      </c>
      <c r="E103" t="s">
        <v>67</v>
      </c>
      <c r="F103">
        <v>1.75</v>
      </c>
      <c r="G103">
        <v>81.625</v>
      </c>
      <c r="H103">
        <v>63.5</v>
      </c>
      <c r="I103" t="s">
        <v>416</v>
      </c>
      <c r="K103" s="92">
        <v>2298</v>
      </c>
      <c r="L103" s="92">
        <v>63.84333964380027</v>
      </c>
      <c r="O103" s="66"/>
      <c r="S103">
        <v>2023</v>
      </c>
      <c r="U103" t="s">
        <v>99</v>
      </c>
      <c r="V103" t="s">
        <v>603</v>
      </c>
      <c r="W103" s="64" t="s">
        <v>72</v>
      </c>
    </row>
    <row r="104" spans="1:23" x14ac:dyDescent="0.2">
      <c r="A104" t="s">
        <v>400</v>
      </c>
      <c r="B104" t="s">
        <v>402</v>
      </c>
      <c r="C104" t="s">
        <v>490</v>
      </c>
      <c r="D104" t="s">
        <v>604</v>
      </c>
      <c r="E104" t="s">
        <v>67</v>
      </c>
      <c r="F104">
        <v>1.75</v>
      </c>
      <c r="G104">
        <v>81.625</v>
      </c>
      <c r="H104">
        <v>63.5</v>
      </c>
      <c r="I104" t="s">
        <v>416</v>
      </c>
      <c r="K104" s="92">
        <v>2618</v>
      </c>
      <c r="L104" s="92">
        <v>72.733621926661925</v>
      </c>
      <c r="O104" s="66"/>
      <c r="S104">
        <v>2023</v>
      </c>
      <c r="U104" t="s">
        <v>99</v>
      </c>
      <c r="V104" t="s">
        <v>605</v>
      </c>
      <c r="W104" s="64" t="s">
        <v>72</v>
      </c>
    </row>
    <row r="105" spans="1:23" x14ac:dyDescent="0.2">
      <c r="A105" t="s">
        <v>400</v>
      </c>
      <c r="B105" t="s">
        <v>402</v>
      </c>
      <c r="C105" t="s">
        <v>490</v>
      </c>
      <c r="D105" t="s">
        <v>606</v>
      </c>
      <c r="E105" t="s">
        <v>67</v>
      </c>
      <c r="F105">
        <v>1.75</v>
      </c>
      <c r="G105">
        <v>81.625</v>
      </c>
      <c r="H105">
        <v>63.5</v>
      </c>
      <c r="I105" t="s">
        <v>416</v>
      </c>
      <c r="K105" s="92">
        <v>3998</v>
      </c>
      <c r="L105" s="92">
        <v>111.0729642715028</v>
      </c>
      <c r="O105" s="66"/>
      <c r="S105">
        <v>2023</v>
      </c>
      <c r="U105" t="s">
        <v>99</v>
      </c>
      <c r="V105" t="s">
        <v>607</v>
      </c>
      <c r="W105" s="64" t="s">
        <v>72</v>
      </c>
    </row>
    <row r="106" spans="1:23" x14ac:dyDescent="0.2">
      <c r="A106" t="s">
        <v>400</v>
      </c>
      <c r="B106" t="s">
        <v>402</v>
      </c>
      <c r="C106" t="s">
        <v>490</v>
      </c>
      <c r="D106" t="s">
        <v>608</v>
      </c>
      <c r="E106" t="s">
        <v>67</v>
      </c>
      <c r="F106">
        <v>1.75</v>
      </c>
      <c r="G106">
        <v>81.625</v>
      </c>
      <c r="H106">
        <v>50.5</v>
      </c>
      <c r="I106" t="s">
        <v>416</v>
      </c>
      <c r="K106" s="92">
        <v>1798</v>
      </c>
      <c r="L106" s="92">
        <v>62.811274695616582</v>
      </c>
      <c r="O106" s="66"/>
      <c r="S106">
        <v>2023</v>
      </c>
      <c r="U106" t="s">
        <v>99</v>
      </c>
      <c r="V106" t="s">
        <v>609</v>
      </c>
      <c r="W106" s="64" t="s">
        <v>72</v>
      </c>
    </row>
    <row r="107" spans="1:23" x14ac:dyDescent="0.2">
      <c r="A107" t="s">
        <v>400</v>
      </c>
      <c r="B107" t="s">
        <v>402</v>
      </c>
      <c r="C107" t="s">
        <v>490</v>
      </c>
      <c r="D107" t="s">
        <v>610</v>
      </c>
      <c r="E107" t="s">
        <v>67</v>
      </c>
      <c r="F107">
        <v>1.75</v>
      </c>
      <c r="G107">
        <v>81.625</v>
      </c>
      <c r="H107">
        <v>50.5</v>
      </c>
      <c r="I107" t="s">
        <v>416</v>
      </c>
      <c r="K107" s="92">
        <v>2048</v>
      </c>
      <c r="L107" s="92">
        <v>71.544766727821326</v>
      </c>
      <c r="O107" s="66"/>
      <c r="S107">
        <v>2023</v>
      </c>
      <c r="U107" t="s">
        <v>99</v>
      </c>
      <c r="V107" t="s">
        <v>611</v>
      </c>
      <c r="W107" s="64" t="s">
        <v>72</v>
      </c>
    </row>
    <row r="108" spans="1:23" x14ac:dyDescent="0.2">
      <c r="A108" t="s">
        <v>400</v>
      </c>
      <c r="B108" t="s">
        <v>402</v>
      </c>
      <c r="C108" t="s">
        <v>460</v>
      </c>
      <c r="D108" t="s">
        <v>612</v>
      </c>
      <c r="E108" t="s">
        <v>67</v>
      </c>
      <c r="F108">
        <v>2</v>
      </c>
      <c r="G108">
        <v>81.75</v>
      </c>
      <c r="H108">
        <v>74</v>
      </c>
      <c r="I108" t="s">
        <v>419</v>
      </c>
      <c r="K108" s="92">
        <v>1976</v>
      </c>
      <c r="L108" s="92">
        <v>47.035953384577233</v>
      </c>
      <c r="O108" s="66"/>
      <c r="S108">
        <v>2023</v>
      </c>
      <c r="U108" t="s">
        <v>99</v>
      </c>
      <c r="V108" t="s">
        <v>613</v>
      </c>
      <c r="W108" s="64" t="s">
        <v>72</v>
      </c>
    </row>
    <row r="109" spans="1:23" x14ac:dyDescent="0.2">
      <c r="A109" t="s">
        <v>400</v>
      </c>
      <c r="B109" t="s">
        <v>402</v>
      </c>
      <c r="C109" t="s">
        <v>460</v>
      </c>
      <c r="D109" t="s">
        <v>614</v>
      </c>
      <c r="E109" t="s">
        <v>67</v>
      </c>
      <c r="F109">
        <v>2</v>
      </c>
      <c r="G109">
        <v>81.75</v>
      </c>
      <c r="H109">
        <v>74</v>
      </c>
      <c r="I109" t="s">
        <v>419</v>
      </c>
      <c r="K109" s="92">
        <v>3279.3</v>
      </c>
      <c r="L109" s="92">
        <v>78.059211505083084</v>
      </c>
      <c r="O109" s="66"/>
      <c r="S109">
        <v>2023</v>
      </c>
      <c r="U109" t="s">
        <v>99</v>
      </c>
      <c r="V109" t="s">
        <v>615</v>
      </c>
      <c r="W109" s="64" t="s">
        <v>72</v>
      </c>
    </row>
    <row r="110" spans="1:23" x14ac:dyDescent="0.2">
      <c r="A110" t="s">
        <v>400</v>
      </c>
      <c r="B110" t="s">
        <v>402</v>
      </c>
      <c r="C110" t="s">
        <v>460</v>
      </c>
      <c r="D110" t="s">
        <v>616</v>
      </c>
      <c r="E110" t="s">
        <v>67</v>
      </c>
      <c r="F110">
        <v>2</v>
      </c>
      <c r="G110">
        <v>81.75</v>
      </c>
      <c r="H110">
        <v>66</v>
      </c>
      <c r="I110" t="s">
        <v>419</v>
      </c>
      <c r="K110" s="92">
        <v>3160.3</v>
      </c>
      <c r="L110" s="92">
        <v>84.344954128440378</v>
      </c>
      <c r="O110" s="66"/>
      <c r="S110">
        <v>2023</v>
      </c>
      <c r="U110" t="s">
        <v>99</v>
      </c>
      <c r="V110" t="s">
        <v>617</v>
      </c>
      <c r="W110" s="64" t="s">
        <v>72</v>
      </c>
    </row>
    <row r="111" spans="1:23" x14ac:dyDescent="0.2">
      <c r="A111" t="s">
        <v>400</v>
      </c>
      <c r="B111" t="s">
        <v>402</v>
      </c>
      <c r="C111" t="s">
        <v>460</v>
      </c>
      <c r="D111" t="s">
        <v>618</v>
      </c>
      <c r="E111" t="s">
        <v>67</v>
      </c>
      <c r="F111">
        <v>2</v>
      </c>
      <c r="G111">
        <v>81.75</v>
      </c>
      <c r="H111">
        <v>64.5</v>
      </c>
      <c r="I111" t="s">
        <v>419</v>
      </c>
      <c r="K111" s="92">
        <v>3134.8</v>
      </c>
      <c r="L111" s="92">
        <v>85.610070407510136</v>
      </c>
      <c r="O111" s="66"/>
      <c r="S111">
        <v>2023</v>
      </c>
      <c r="U111" t="s">
        <v>99</v>
      </c>
      <c r="V111" t="s">
        <v>619</v>
      </c>
      <c r="W111" s="64" t="s">
        <v>72</v>
      </c>
    </row>
    <row r="112" spans="1:23" x14ac:dyDescent="0.2">
      <c r="A112" t="s">
        <v>400</v>
      </c>
      <c r="B112" t="s">
        <v>402</v>
      </c>
      <c r="C112" t="s">
        <v>460</v>
      </c>
      <c r="D112" t="s">
        <v>620</v>
      </c>
      <c r="E112" t="s">
        <v>67</v>
      </c>
      <c r="F112">
        <v>2</v>
      </c>
      <c r="G112">
        <v>81.75</v>
      </c>
      <c r="H112">
        <v>68.5</v>
      </c>
      <c r="I112" t="s">
        <v>419</v>
      </c>
      <c r="K112" s="92">
        <v>2573.8000000000002</v>
      </c>
      <c r="L112" s="92">
        <v>66.184905913078424</v>
      </c>
      <c r="O112" s="66"/>
      <c r="S112">
        <v>2023</v>
      </c>
      <c r="U112" t="s">
        <v>99</v>
      </c>
      <c r="V112" t="s">
        <v>621</v>
      </c>
      <c r="W112" s="64" t="s">
        <v>72</v>
      </c>
    </row>
    <row r="113" spans="1:23" x14ac:dyDescent="0.2">
      <c r="A113" t="s">
        <v>400</v>
      </c>
      <c r="B113" t="s">
        <v>402</v>
      </c>
      <c r="C113" t="s">
        <v>460</v>
      </c>
      <c r="D113" t="s">
        <v>622</v>
      </c>
      <c r="E113" t="s">
        <v>67</v>
      </c>
      <c r="F113">
        <v>2</v>
      </c>
      <c r="G113">
        <v>81.75</v>
      </c>
      <c r="H113">
        <v>53</v>
      </c>
      <c r="I113" t="s">
        <v>419</v>
      </c>
      <c r="K113" s="92">
        <v>1260.42</v>
      </c>
      <c r="L113" s="92">
        <v>41.890365241474818</v>
      </c>
      <c r="O113" s="66"/>
      <c r="S113">
        <v>2023</v>
      </c>
      <c r="U113" t="s">
        <v>99</v>
      </c>
      <c r="V113" t="s">
        <v>623</v>
      </c>
      <c r="W113" s="64" t="s">
        <v>72</v>
      </c>
    </row>
    <row r="114" spans="1:23" x14ac:dyDescent="0.2">
      <c r="A114" t="s">
        <v>400</v>
      </c>
      <c r="B114" t="s">
        <v>402</v>
      </c>
      <c r="C114" t="s">
        <v>460</v>
      </c>
      <c r="D114" t="s">
        <v>624</v>
      </c>
      <c r="E114" t="s">
        <v>67</v>
      </c>
      <c r="F114">
        <v>2</v>
      </c>
      <c r="G114">
        <v>81.75</v>
      </c>
      <c r="H114">
        <v>53</v>
      </c>
      <c r="I114" t="s">
        <v>419</v>
      </c>
      <c r="K114" s="92">
        <v>1290.3</v>
      </c>
      <c r="L114" s="92">
        <v>42.883434308464601</v>
      </c>
      <c r="O114" s="66"/>
      <c r="S114">
        <v>2023</v>
      </c>
      <c r="U114" t="s">
        <v>99</v>
      </c>
      <c r="V114" t="s">
        <v>625</v>
      </c>
      <c r="W114" s="64" t="s">
        <v>72</v>
      </c>
    </row>
    <row r="115" spans="1:23" x14ac:dyDescent="0.2">
      <c r="A115" t="s">
        <v>400</v>
      </c>
      <c r="B115" t="s">
        <v>402</v>
      </c>
      <c r="C115" t="s">
        <v>460</v>
      </c>
      <c r="D115" t="s">
        <v>626</v>
      </c>
      <c r="E115" t="s">
        <v>67</v>
      </c>
      <c r="F115">
        <v>1.75</v>
      </c>
      <c r="G115">
        <v>97.75</v>
      </c>
      <c r="H115">
        <v>37.5</v>
      </c>
      <c r="I115" t="s">
        <v>419</v>
      </c>
      <c r="K115" s="92">
        <v>1672.8</v>
      </c>
      <c r="L115" s="92">
        <v>65.71408695652174</v>
      </c>
      <c r="O115" s="66"/>
      <c r="S115">
        <v>2023</v>
      </c>
      <c r="U115" t="s">
        <v>99</v>
      </c>
      <c r="V115" t="s">
        <v>627</v>
      </c>
      <c r="W115" s="64" t="s">
        <v>72</v>
      </c>
    </row>
    <row r="116" spans="1:23" x14ac:dyDescent="0.2">
      <c r="A116" t="s">
        <v>400</v>
      </c>
      <c r="B116" t="s">
        <v>402</v>
      </c>
      <c r="C116" t="s">
        <v>460</v>
      </c>
      <c r="D116" t="s">
        <v>628</v>
      </c>
      <c r="E116" t="s">
        <v>67</v>
      </c>
      <c r="F116">
        <v>1.75</v>
      </c>
      <c r="G116">
        <v>81.75</v>
      </c>
      <c r="H116">
        <v>37.5</v>
      </c>
      <c r="I116" t="s">
        <v>419</v>
      </c>
      <c r="K116" s="92">
        <v>918</v>
      </c>
      <c r="L116" s="92">
        <v>43.120733944954132</v>
      </c>
      <c r="O116" s="66"/>
      <c r="S116">
        <v>2023</v>
      </c>
      <c r="U116" t="s">
        <v>99</v>
      </c>
      <c r="V116" t="s">
        <v>629</v>
      </c>
      <c r="W116" s="64" t="s">
        <v>72</v>
      </c>
    </row>
    <row r="117" spans="1:23" x14ac:dyDescent="0.2">
      <c r="A117" t="s">
        <v>400</v>
      </c>
      <c r="B117" t="s">
        <v>402</v>
      </c>
      <c r="C117" t="s">
        <v>460</v>
      </c>
      <c r="D117" t="s">
        <v>630</v>
      </c>
      <c r="E117" t="s">
        <v>67</v>
      </c>
      <c r="F117">
        <v>1.75</v>
      </c>
      <c r="G117">
        <v>81.75</v>
      </c>
      <c r="H117">
        <v>37.5</v>
      </c>
      <c r="I117" t="s">
        <v>419</v>
      </c>
      <c r="K117" s="92">
        <v>968</v>
      </c>
      <c r="L117" s="92">
        <v>45.469357798165142</v>
      </c>
      <c r="O117" s="66"/>
      <c r="S117">
        <v>2023</v>
      </c>
      <c r="U117" t="s">
        <v>99</v>
      </c>
      <c r="V117" t="s">
        <v>631</v>
      </c>
      <c r="W117" s="64" t="s">
        <v>72</v>
      </c>
    </row>
    <row r="118" spans="1:23" x14ac:dyDescent="0.2">
      <c r="A118" t="s">
        <v>400</v>
      </c>
      <c r="B118" t="s">
        <v>402</v>
      </c>
      <c r="C118" t="s">
        <v>460</v>
      </c>
      <c r="D118" t="s">
        <v>632</v>
      </c>
      <c r="E118" t="s">
        <v>67</v>
      </c>
      <c r="F118">
        <v>1.75</v>
      </c>
      <c r="G118">
        <v>81.75</v>
      </c>
      <c r="H118">
        <v>37.5</v>
      </c>
      <c r="I118" t="s">
        <v>419</v>
      </c>
      <c r="K118" s="92">
        <v>1158</v>
      </c>
      <c r="L118" s="92">
        <v>54.39412844036697</v>
      </c>
      <c r="O118" s="66"/>
      <c r="S118">
        <v>2023</v>
      </c>
      <c r="U118" t="s">
        <v>99</v>
      </c>
      <c r="V118" t="s">
        <v>633</v>
      </c>
      <c r="W118" s="64" t="s">
        <v>72</v>
      </c>
    </row>
    <row r="119" spans="1:23" x14ac:dyDescent="0.2">
      <c r="A119" t="s">
        <v>400</v>
      </c>
      <c r="B119" t="s">
        <v>402</v>
      </c>
      <c r="C119" t="s">
        <v>460</v>
      </c>
      <c r="D119" t="s">
        <v>634</v>
      </c>
      <c r="E119" t="s">
        <v>67</v>
      </c>
      <c r="F119">
        <v>1.75</v>
      </c>
      <c r="G119">
        <v>81</v>
      </c>
      <c r="H119">
        <v>37.5</v>
      </c>
      <c r="I119" t="s">
        <v>419</v>
      </c>
      <c r="K119" s="92">
        <v>1088</v>
      </c>
      <c r="L119" s="92">
        <v>51.57925925925926</v>
      </c>
      <c r="O119" s="66"/>
      <c r="S119">
        <v>2023</v>
      </c>
      <c r="U119" t="s">
        <v>99</v>
      </c>
      <c r="V119" t="s">
        <v>635</v>
      </c>
      <c r="W119" s="64" t="s">
        <v>72</v>
      </c>
    </row>
    <row r="120" spans="1:23" x14ac:dyDescent="0.2">
      <c r="A120" t="s">
        <v>400</v>
      </c>
      <c r="B120" t="s">
        <v>402</v>
      </c>
      <c r="C120" t="s">
        <v>460</v>
      </c>
      <c r="D120" t="s">
        <v>636</v>
      </c>
      <c r="E120" t="s">
        <v>67</v>
      </c>
      <c r="F120">
        <v>1.75</v>
      </c>
      <c r="G120">
        <v>81.75</v>
      </c>
      <c r="H120">
        <v>33.5</v>
      </c>
      <c r="I120" t="s">
        <v>419</v>
      </c>
      <c r="K120" s="92">
        <v>1109.3499999999999</v>
      </c>
      <c r="L120" s="92">
        <v>58.330877721484313</v>
      </c>
      <c r="O120" s="66"/>
      <c r="S120">
        <v>2023</v>
      </c>
      <c r="U120" t="s">
        <v>99</v>
      </c>
      <c r="V120" t="s">
        <v>637</v>
      </c>
      <c r="W120" s="64" t="s">
        <v>72</v>
      </c>
    </row>
    <row r="121" spans="1:23" x14ac:dyDescent="0.2">
      <c r="A121" t="s">
        <v>400</v>
      </c>
      <c r="B121" t="s">
        <v>402</v>
      </c>
      <c r="C121" t="s">
        <v>460</v>
      </c>
      <c r="D121" t="s">
        <v>638</v>
      </c>
      <c r="E121" t="s">
        <v>67</v>
      </c>
      <c r="F121">
        <v>1.75</v>
      </c>
      <c r="G121">
        <v>81.75</v>
      </c>
      <c r="H121">
        <v>33.5</v>
      </c>
      <c r="I121" t="s">
        <v>419</v>
      </c>
      <c r="K121" s="92">
        <v>1362.55</v>
      </c>
      <c r="L121" s="92">
        <v>71.644420101328222</v>
      </c>
      <c r="O121" s="66"/>
      <c r="S121">
        <v>2023</v>
      </c>
      <c r="U121" t="s">
        <v>99</v>
      </c>
      <c r="V121" t="s">
        <v>639</v>
      </c>
      <c r="W121" s="64" t="s">
        <v>72</v>
      </c>
    </row>
    <row r="122" spans="1:23" x14ac:dyDescent="0.2">
      <c r="A122" t="s">
        <v>400</v>
      </c>
      <c r="B122" t="s">
        <v>402</v>
      </c>
      <c r="C122" t="s">
        <v>460</v>
      </c>
      <c r="D122" t="s">
        <v>640</v>
      </c>
      <c r="E122" t="s">
        <v>67</v>
      </c>
      <c r="F122">
        <v>1.75</v>
      </c>
      <c r="G122">
        <v>81.75</v>
      </c>
      <c r="H122">
        <v>31.5</v>
      </c>
      <c r="I122" t="s">
        <v>419</v>
      </c>
      <c r="K122" s="92">
        <v>1136.49</v>
      </c>
      <c r="L122" s="92">
        <v>63.552083879423328</v>
      </c>
      <c r="O122" s="66"/>
      <c r="S122">
        <v>2023</v>
      </c>
      <c r="U122" t="s">
        <v>99</v>
      </c>
      <c r="V122" t="s">
        <v>641</v>
      </c>
      <c r="W122" s="64" t="s">
        <v>72</v>
      </c>
    </row>
    <row r="123" spans="1:23" x14ac:dyDescent="0.2">
      <c r="A123" t="s">
        <v>400</v>
      </c>
      <c r="B123" t="s">
        <v>402</v>
      </c>
      <c r="C123" t="s">
        <v>460</v>
      </c>
      <c r="D123" t="s">
        <v>642</v>
      </c>
      <c r="E123" t="s">
        <v>67</v>
      </c>
      <c r="F123">
        <v>1.75</v>
      </c>
      <c r="G123">
        <v>81.75</v>
      </c>
      <c r="H123">
        <v>31.5</v>
      </c>
      <c r="I123" t="s">
        <v>419</v>
      </c>
      <c r="K123" s="92">
        <v>1170.8800000000001</v>
      </c>
      <c r="L123" s="92">
        <v>65.475159458278725</v>
      </c>
      <c r="O123" s="66"/>
      <c r="S123">
        <v>2023</v>
      </c>
      <c r="U123" t="s">
        <v>99</v>
      </c>
      <c r="V123" t="s">
        <v>643</v>
      </c>
      <c r="W123" s="64" t="s">
        <v>72</v>
      </c>
    </row>
    <row r="124" spans="1:23" x14ac:dyDescent="0.2">
      <c r="A124" t="s">
        <v>400</v>
      </c>
      <c r="B124" t="s">
        <v>402</v>
      </c>
      <c r="C124" t="s">
        <v>403</v>
      </c>
      <c r="D124" t="s">
        <v>644</v>
      </c>
      <c r="E124" t="s">
        <v>67</v>
      </c>
      <c r="F124">
        <v>1.75</v>
      </c>
      <c r="G124">
        <v>81.5</v>
      </c>
      <c r="H124">
        <v>33.5</v>
      </c>
      <c r="I124" t="s">
        <v>419</v>
      </c>
      <c r="K124" s="92">
        <v>988</v>
      </c>
      <c r="L124" s="92">
        <v>52.109513780789307</v>
      </c>
      <c r="O124" s="66"/>
      <c r="S124">
        <v>2023</v>
      </c>
      <c r="U124" t="s">
        <v>99</v>
      </c>
      <c r="V124" t="s">
        <v>645</v>
      </c>
      <c r="W124" s="64" t="s">
        <v>72</v>
      </c>
    </row>
    <row r="125" spans="1:23" x14ac:dyDescent="0.2">
      <c r="A125" t="s">
        <v>400</v>
      </c>
      <c r="B125" t="s">
        <v>402</v>
      </c>
      <c r="C125" t="s">
        <v>403</v>
      </c>
      <c r="D125" t="s">
        <v>646</v>
      </c>
      <c r="E125" t="s">
        <v>67</v>
      </c>
      <c r="F125">
        <v>1.75</v>
      </c>
      <c r="G125">
        <v>80.75</v>
      </c>
      <c r="H125">
        <v>29.5</v>
      </c>
      <c r="I125" t="s">
        <v>419</v>
      </c>
      <c r="K125" s="92">
        <v>848</v>
      </c>
      <c r="L125" s="92">
        <v>51.261793566668423</v>
      </c>
      <c r="O125" s="66"/>
      <c r="S125">
        <v>2023</v>
      </c>
      <c r="U125" t="s">
        <v>99</v>
      </c>
      <c r="V125" t="s">
        <v>647</v>
      </c>
      <c r="W125" s="64" t="s">
        <v>72</v>
      </c>
    </row>
    <row r="126" spans="1:23" x14ac:dyDescent="0.2">
      <c r="A126" t="s">
        <v>400</v>
      </c>
      <c r="B126" t="s">
        <v>402</v>
      </c>
      <c r="C126" t="s">
        <v>477</v>
      </c>
      <c r="D126" t="s">
        <v>4708</v>
      </c>
      <c r="E126" t="s">
        <v>67</v>
      </c>
      <c r="F126">
        <v>1.75</v>
      </c>
      <c r="G126">
        <v>81.5</v>
      </c>
      <c r="H126">
        <v>33.5</v>
      </c>
      <c r="I126" t="s">
        <v>419</v>
      </c>
      <c r="K126" s="92">
        <v>775</v>
      </c>
      <c r="L126" s="92">
        <v>40.875377712663678</v>
      </c>
      <c r="O126" s="66"/>
      <c r="S126">
        <v>2023</v>
      </c>
      <c r="U126" t="s">
        <v>99</v>
      </c>
      <c r="V126" t="s">
        <v>648</v>
      </c>
      <c r="W126" s="64" t="s">
        <v>72</v>
      </c>
    </row>
    <row r="127" spans="1:23" x14ac:dyDescent="0.2">
      <c r="A127" t="s">
        <v>400</v>
      </c>
      <c r="B127" t="s">
        <v>402</v>
      </c>
      <c r="C127" t="s">
        <v>403</v>
      </c>
      <c r="D127" t="s">
        <v>649</v>
      </c>
      <c r="E127" t="s">
        <v>67</v>
      </c>
      <c r="F127">
        <v>1.75</v>
      </c>
      <c r="G127">
        <v>81.5</v>
      </c>
      <c r="H127">
        <v>33.5</v>
      </c>
      <c r="I127" t="s">
        <v>419</v>
      </c>
      <c r="K127" s="92">
        <v>1088</v>
      </c>
      <c r="L127" s="92">
        <v>57.383756066294303</v>
      </c>
      <c r="O127" s="66"/>
      <c r="S127">
        <v>2023</v>
      </c>
      <c r="U127" t="s">
        <v>99</v>
      </c>
      <c r="V127" t="s">
        <v>650</v>
      </c>
      <c r="W127" s="64" t="s">
        <v>72</v>
      </c>
    </row>
    <row r="128" spans="1:23" x14ac:dyDescent="0.2">
      <c r="A128" t="s">
        <v>400</v>
      </c>
      <c r="B128" t="s">
        <v>402</v>
      </c>
      <c r="C128" t="s">
        <v>460</v>
      </c>
      <c r="D128" t="s">
        <v>651</v>
      </c>
      <c r="E128" t="s">
        <v>67</v>
      </c>
      <c r="F128">
        <v>1.75</v>
      </c>
      <c r="G128">
        <v>81.75</v>
      </c>
      <c r="H128">
        <v>68.5</v>
      </c>
      <c r="I128" t="s">
        <v>419</v>
      </c>
      <c r="K128" s="92">
        <v>3092.3</v>
      </c>
      <c r="L128" s="92">
        <v>79.518060670997116</v>
      </c>
      <c r="O128" s="66"/>
      <c r="S128">
        <v>2023</v>
      </c>
      <c r="U128" t="s">
        <v>99</v>
      </c>
      <c r="V128" t="s">
        <v>652</v>
      </c>
      <c r="W128" s="64" t="s">
        <v>72</v>
      </c>
    </row>
    <row r="129" spans="1:23" x14ac:dyDescent="0.2">
      <c r="A129" t="s">
        <v>400</v>
      </c>
      <c r="B129" t="s">
        <v>402</v>
      </c>
      <c r="C129" t="s">
        <v>460</v>
      </c>
      <c r="D129" t="s">
        <v>653</v>
      </c>
      <c r="E129" t="s">
        <v>67</v>
      </c>
      <c r="F129">
        <v>1.75</v>
      </c>
      <c r="G129">
        <v>81.75</v>
      </c>
      <c r="H129">
        <v>37.5</v>
      </c>
      <c r="I129" t="s">
        <v>419</v>
      </c>
      <c r="K129" s="92">
        <v>1485.8</v>
      </c>
      <c r="L129" s="92">
        <v>69.791706422018336</v>
      </c>
      <c r="O129" s="66"/>
      <c r="S129">
        <v>2023</v>
      </c>
      <c r="U129" t="s">
        <v>99</v>
      </c>
      <c r="V129" t="s">
        <v>654</v>
      </c>
      <c r="W129" s="64" t="s">
        <v>72</v>
      </c>
    </row>
    <row r="130" spans="1:23" x14ac:dyDescent="0.2">
      <c r="A130" t="s">
        <v>400</v>
      </c>
      <c r="B130" t="s">
        <v>402</v>
      </c>
      <c r="C130" t="s">
        <v>460</v>
      </c>
      <c r="D130" t="s">
        <v>655</v>
      </c>
      <c r="E130" t="s">
        <v>67</v>
      </c>
      <c r="F130">
        <v>1.75</v>
      </c>
      <c r="G130">
        <v>81</v>
      </c>
      <c r="H130">
        <v>37.5</v>
      </c>
      <c r="I130" t="s">
        <v>419</v>
      </c>
      <c r="K130" s="92">
        <v>1800.3</v>
      </c>
      <c r="L130" s="92">
        <v>85.347555555555545</v>
      </c>
      <c r="O130" s="66"/>
      <c r="S130">
        <v>2023</v>
      </c>
      <c r="U130" t="s">
        <v>99</v>
      </c>
      <c r="V130" t="s">
        <v>656</v>
      </c>
      <c r="W130" s="64" t="s">
        <v>72</v>
      </c>
    </row>
    <row r="131" spans="1:23" x14ac:dyDescent="0.2">
      <c r="A131" t="s">
        <v>400</v>
      </c>
      <c r="B131" t="s">
        <v>402</v>
      </c>
      <c r="C131" t="s">
        <v>460</v>
      </c>
      <c r="D131" t="s">
        <v>657</v>
      </c>
      <c r="E131" t="s">
        <v>67</v>
      </c>
      <c r="F131">
        <v>1.75</v>
      </c>
      <c r="G131">
        <v>81.75</v>
      </c>
      <c r="H131">
        <v>37.5</v>
      </c>
      <c r="I131" t="s">
        <v>419</v>
      </c>
      <c r="K131" s="92">
        <v>1885.3</v>
      </c>
      <c r="L131" s="92">
        <v>88.55721100917431</v>
      </c>
      <c r="O131" s="66"/>
      <c r="S131">
        <v>2023</v>
      </c>
      <c r="U131" t="s">
        <v>99</v>
      </c>
      <c r="V131" t="s">
        <v>658</v>
      </c>
      <c r="W131" s="64" t="s">
        <v>72</v>
      </c>
    </row>
    <row r="132" spans="1:23" x14ac:dyDescent="0.2">
      <c r="A132" t="s">
        <v>400</v>
      </c>
      <c r="B132" t="s">
        <v>402</v>
      </c>
      <c r="C132" t="s">
        <v>460</v>
      </c>
      <c r="D132" t="s">
        <v>659</v>
      </c>
      <c r="E132" t="s">
        <v>67</v>
      </c>
      <c r="F132">
        <v>1.75</v>
      </c>
      <c r="G132">
        <v>81.75</v>
      </c>
      <c r="H132">
        <v>37.5</v>
      </c>
      <c r="I132" t="s">
        <v>419</v>
      </c>
      <c r="K132" s="92">
        <v>1638.8</v>
      </c>
      <c r="L132" s="92">
        <v>76.97849541284404</v>
      </c>
      <c r="O132" s="66"/>
      <c r="S132">
        <v>2023</v>
      </c>
      <c r="U132" t="s">
        <v>99</v>
      </c>
      <c r="V132" t="s">
        <v>660</v>
      </c>
      <c r="W132" s="64" t="s">
        <v>72</v>
      </c>
    </row>
    <row r="133" spans="1:23" x14ac:dyDescent="0.2">
      <c r="A133" t="s">
        <v>400</v>
      </c>
      <c r="B133" t="s">
        <v>402</v>
      </c>
      <c r="C133" t="s">
        <v>490</v>
      </c>
      <c r="D133" t="s">
        <v>661</v>
      </c>
      <c r="E133" t="s">
        <v>67</v>
      </c>
      <c r="F133">
        <v>1.75</v>
      </c>
      <c r="G133">
        <v>81.625</v>
      </c>
      <c r="H133">
        <v>37.5</v>
      </c>
      <c r="I133" t="s">
        <v>419</v>
      </c>
      <c r="K133" s="92">
        <v>928</v>
      </c>
      <c r="L133" s="92">
        <v>43.657212863705979</v>
      </c>
      <c r="O133" s="66"/>
      <c r="S133">
        <v>2023</v>
      </c>
      <c r="U133" t="s">
        <v>99</v>
      </c>
      <c r="V133" t="s">
        <v>662</v>
      </c>
      <c r="W133" s="64" t="s">
        <v>72</v>
      </c>
    </row>
    <row r="134" spans="1:23" x14ac:dyDescent="0.2">
      <c r="A134" t="s">
        <v>400</v>
      </c>
      <c r="B134" t="s">
        <v>402</v>
      </c>
      <c r="C134" t="s">
        <v>490</v>
      </c>
      <c r="D134" t="s">
        <v>4709</v>
      </c>
      <c r="E134" t="s">
        <v>67</v>
      </c>
      <c r="F134">
        <v>1.75</v>
      </c>
      <c r="G134">
        <v>81.625</v>
      </c>
      <c r="H134">
        <v>37.5</v>
      </c>
      <c r="I134" t="s">
        <v>419</v>
      </c>
      <c r="K134" s="92">
        <v>1268</v>
      </c>
      <c r="L134" s="92">
        <v>59.652312404287898</v>
      </c>
      <c r="O134" s="66"/>
      <c r="S134">
        <v>2023</v>
      </c>
      <c r="U134" t="s">
        <v>99</v>
      </c>
      <c r="V134" t="s">
        <v>663</v>
      </c>
      <c r="W134" s="64" t="s">
        <v>72</v>
      </c>
    </row>
    <row r="135" spans="1:23" x14ac:dyDescent="0.2">
      <c r="A135" t="s">
        <v>400</v>
      </c>
      <c r="B135" t="s">
        <v>402</v>
      </c>
      <c r="C135" t="s">
        <v>490</v>
      </c>
      <c r="D135" t="s">
        <v>4710</v>
      </c>
      <c r="E135" t="s">
        <v>67</v>
      </c>
      <c r="F135">
        <v>1.75</v>
      </c>
      <c r="G135">
        <v>81.625</v>
      </c>
      <c r="H135">
        <v>37.5</v>
      </c>
      <c r="I135" t="s">
        <v>419</v>
      </c>
      <c r="K135" s="92">
        <v>978</v>
      </c>
      <c r="L135" s="92">
        <v>46.009433384379783</v>
      </c>
      <c r="O135" s="66"/>
      <c r="S135">
        <v>2023</v>
      </c>
      <c r="U135" t="s">
        <v>99</v>
      </c>
      <c r="V135" t="s">
        <v>664</v>
      </c>
      <c r="W135" s="64" t="s">
        <v>72</v>
      </c>
    </row>
    <row r="136" spans="1:23" x14ac:dyDescent="0.2">
      <c r="A136" t="s">
        <v>400</v>
      </c>
      <c r="B136" t="s">
        <v>402</v>
      </c>
      <c r="C136" t="s">
        <v>472</v>
      </c>
      <c r="D136" t="s">
        <v>665</v>
      </c>
      <c r="E136" t="s">
        <v>67</v>
      </c>
      <c r="F136">
        <v>1.75</v>
      </c>
      <c r="G136">
        <v>81.561999999999998</v>
      </c>
      <c r="H136">
        <v>37.375</v>
      </c>
      <c r="I136" t="s">
        <v>419</v>
      </c>
      <c r="K136" s="92">
        <v>978</v>
      </c>
      <c r="L136" s="92">
        <v>46.19896848481558</v>
      </c>
      <c r="O136" s="66"/>
      <c r="S136">
        <v>2023</v>
      </c>
      <c r="U136" t="s">
        <v>99</v>
      </c>
      <c r="V136" t="s">
        <v>666</v>
      </c>
      <c r="W136" s="64" t="s">
        <v>72</v>
      </c>
    </row>
    <row r="137" spans="1:23" x14ac:dyDescent="0.2">
      <c r="A137" t="s">
        <v>400</v>
      </c>
      <c r="B137" t="s">
        <v>402</v>
      </c>
      <c r="C137" t="s">
        <v>472</v>
      </c>
      <c r="D137" t="s">
        <v>667</v>
      </c>
      <c r="E137" t="s">
        <v>67</v>
      </c>
      <c r="F137">
        <v>1.75</v>
      </c>
      <c r="G137">
        <v>81.561999999999998</v>
      </c>
      <c r="H137">
        <v>37.375</v>
      </c>
      <c r="I137" t="s">
        <v>419</v>
      </c>
      <c r="K137" s="92">
        <v>908</v>
      </c>
      <c r="L137" s="92">
        <v>42.89229384888808</v>
      </c>
      <c r="O137" s="66"/>
      <c r="S137">
        <v>2023</v>
      </c>
      <c r="U137" t="s">
        <v>99</v>
      </c>
      <c r="V137" t="s">
        <v>668</v>
      </c>
      <c r="W137" s="64" t="s">
        <v>72</v>
      </c>
    </row>
    <row r="138" spans="1:23" x14ac:dyDescent="0.2">
      <c r="A138" t="s">
        <v>400</v>
      </c>
      <c r="B138" t="s">
        <v>402</v>
      </c>
      <c r="C138" t="s">
        <v>472</v>
      </c>
      <c r="D138" t="s">
        <v>669</v>
      </c>
      <c r="E138" t="s">
        <v>67</v>
      </c>
      <c r="F138">
        <v>1.75</v>
      </c>
      <c r="G138">
        <v>81.561999999999998</v>
      </c>
      <c r="H138">
        <v>37.375</v>
      </c>
      <c r="I138" t="s">
        <v>419</v>
      </c>
      <c r="K138" s="92">
        <v>838</v>
      </c>
      <c r="L138" s="92">
        <v>39.585619212960587</v>
      </c>
      <c r="O138" s="66"/>
      <c r="S138">
        <v>2023</v>
      </c>
      <c r="U138" t="s">
        <v>99</v>
      </c>
      <c r="V138" t="s">
        <v>670</v>
      </c>
      <c r="W138" s="64" t="s">
        <v>72</v>
      </c>
    </row>
    <row r="139" spans="1:23" x14ac:dyDescent="0.2">
      <c r="A139" t="s">
        <v>400</v>
      </c>
      <c r="B139" t="s">
        <v>402</v>
      </c>
      <c r="C139" t="s">
        <v>472</v>
      </c>
      <c r="D139" t="s">
        <v>671</v>
      </c>
      <c r="E139" t="s">
        <v>67</v>
      </c>
      <c r="F139">
        <v>1.75</v>
      </c>
      <c r="G139">
        <v>81.561999999999998</v>
      </c>
      <c r="H139">
        <v>37.375</v>
      </c>
      <c r="I139" t="s">
        <v>419</v>
      </c>
      <c r="K139" s="92">
        <v>1248</v>
      </c>
      <c r="L139" s="92">
        <v>58.953284937678767</v>
      </c>
      <c r="O139" s="66"/>
      <c r="S139">
        <v>2023</v>
      </c>
      <c r="U139" t="s">
        <v>99</v>
      </c>
      <c r="V139" t="s">
        <v>672</v>
      </c>
      <c r="W139" s="64" t="s">
        <v>72</v>
      </c>
    </row>
    <row r="140" spans="1:23" x14ac:dyDescent="0.2">
      <c r="A140" t="s">
        <v>400</v>
      </c>
      <c r="B140" t="s">
        <v>402</v>
      </c>
      <c r="C140" t="s">
        <v>490</v>
      </c>
      <c r="D140" t="s">
        <v>673</v>
      </c>
      <c r="E140" t="s">
        <v>67</v>
      </c>
      <c r="F140">
        <v>1.75</v>
      </c>
      <c r="G140">
        <v>81.625</v>
      </c>
      <c r="H140">
        <v>67.5</v>
      </c>
      <c r="I140" t="s">
        <v>419</v>
      </c>
      <c r="K140" s="92">
        <v>2618</v>
      </c>
      <c r="L140" s="92">
        <v>68.423481368044918</v>
      </c>
      <c r="O140" s="66"/>
      <c r="S140">
        <v>2023</v>
      </c>
      <c r="U140" t="s">
        <v>99</v>
      </c>
      <c r="V140" t="s">
        <v>674</v>
      </c>
      <c r="W140" s="64" t="s">
        <v>72</v>
      </c>
    </row>
    <row r="141" spans="1:23" x14ac:dyDescent="0.2">
      <c r="A141" t="s">
        <v>400</v>
      </c>
      <c r="B141" t="s">
        <v>402</v>
      </c>
      <c r="C141" t="s">
        <v>490</v>
      </c>
      <c r="D141" t="s">
        <v>675</v>
      </c>
      <c r="E141" t="s">
        <v>67</v>
      </c>
      <c r="F141">
        <v>1.75</v>
      </c>
      <c r="G141">
        <v>81.625</v>
      </c>
      <c r="H141">
        <v>66</v>
      </c>
      <c r="I141" t="s">
        <v>419</v>
      </c>
      <c r="K141" s="92">
        <v>2118</v>
      </c>
      <c r="L141" s="92">
        <v>56.613671168035637</v>
      </c>
      <c r="O141" s="66"/>
      <c r="S141">
        <v>2023</v>
      </c>
      <c r="U141" t="s">
        <v>99</v>
      </c>
      <c r="V141" t="s">
        <v>676</v>
      </c>
      <c r="W141" s="64" t="s">
        <v>72</v>
      </c>
    </row>
    <row r="142" spans="1:23" x14ac:dyDescent="0.2">
      <c r="A142" t="s">
        <v>400</v>
      </c>
      <c r="B142" t="s">
        <v>402</v>
      </c>
      <c r="C142" t="s">
        <v>465</v>
      </c>
      <c r="D142" t="s">
        <v>677</v>
      </c>
      <c r="E142" t="s">
        <v>67</v>
      </c>
      <c r="F142">
        <v>1.75</v>
      </c>
      <c r="G142">
        <v>81.75</v>
      </c>
      <c r="H142">
        <v>37.563000000000002</v>
      </c>
      <c r="I142" t="s">
        <v>419</v>
      </c>
      <c r="K142" s="92">
        <v>1768</v>
      </c>
      <c r="L142" s="92">
        <v>82.908053918957421</v>
      </c>
      <c r="O142" s="66"/>
      <c r="S142">
        <v>2023</v>
      </c>
      <c r="U142" t="s">
        <v>99</v>
      </c>
      <c r="V142" t="s">
        <v>678</v>
      </c>
      <c r="W142" s="64" t="s">
        <v>72</v>
      </c>
    </row>
    <row r="143" spans="1:23" x14ac:dyDescent="0.2">
      <c r="A143" t="s">
        <v>400</v>
      </c>
      <c r="B143" t="s">
        <v>402</v>
      </c>
      <c r="C143" t="s">
        <v>477</v>
      </c>
      <c r="D143" t="s">
        <v>4711</v>
      </c>
      <c r="E143" t="s">
        <v>67</v>
      </c>
      <c r="F143">
        <v>1.75</v>
      </c>
      <c r="G143">
        <v>81.5</v>
      </c>
      <c r="H143">
        <v>33.5</v>
      </c>
      <c r="I143" t="s">
        <v>419</v>
      </c>
      <c r="K143" s="92">
        <v>1158</v>
      </c>
      <c r="L143" s="92">
        <v>61.07572566614779</v>
      </c>
      <c r="O143" s="66"/>
      <c r="S143">
        <v>2023</v>
      </c>
      <c r="U143" t="s">
        <v>99</v>
      </c>
      <c r="V143" t="s">
        <v>679</v>
      </c>
      <c r="W143" s="64" t="s">
        <v>72</v>
      </c>
    </row>
    <row r="144" spans="1:23" x14ac:dyDescent="0.2">
      <c r="A144" t="s">
        <v>400</v>
      </c>
      <c r="B144" t="s">
        <v>402</v>
      </c>
      <c r="C144" t="s">
        <v>490</v>
      </c>
      <c r="D144" t="s">
        <v>680</v>
      </c>
      <c r="E144" t="s">
        <v>67</v>
      </c>
      <c r="F144">
        <v>1.75</v>
      </c>
      <c r="G144">
        <v>81.625</v>
      </c>
      <c r="H144">
        <v>74</v>
      </c>
      <c r="I144" t="s">
        <v>419</v>
      </c>
      <c r="K144" s="92">
        <v>2608</v>
      </c>
      <c r="L144" s="92">
        <v>62.174909978891598</v>
      </c>
      <c r="O144" s="66"/>
      <c r="S144">
        <v>2023</v>
      </c>
      <c r="U144" t="s">
        <v>99</v>
      </c>
      <c r="V144" t="s">
        <v>681</v>
      </c>
      <c r="W144" s="64" t="s">
        <v>72</v>
      </c>
    </row>
    <row r="145" spans="1:23" x14ac:dyDescent="0.2">
      <c r="A145" t="s">
        <v>400</v>
      </c>
      <c r="B145" t="s">
        <v>402</v>
      </c>
      <c r="C145" t="s">
        <v>490</v>
      </c>
      <c r="D145" t="s">
        <v>682</v>
      </c>
      <c r="E145" t="s">
        <v>67</v>
      </c>
      <c r="F145">
        <v>1.75</v>
      </c>
      <c r="G145">
        <v>81.625</v>
      </c>
      <c r="H145">
        <v>67.5</v>
      </c>
      <c r="I145" t="s">
        <v>419</v>
      </c>
      <c r="K145" s="92">
        <v>2568</v>
      </c>
      <c r="L145" s="92">
        <v>67.116692189892802</v>
      </c>
      <c r="O145" s="66"/>
      <c r="S145">
        <v>2023</v>
      </c>
      <c r="U145" t="s">
        <v>99</v>
      </c>
      <c r="V145" t="s">
        <v>683</v>
      </c>
      <c r="W145" s="64" t="s">
        <v>72</v>
      </c>
    </row>
    <row r="146" spans="1:23" x14ac:dyDescent="0.2">
      <c r="A146" t="s">
        <v>400</v>
      </c>
      <c r="B146" t="s">
        <v>402</v>
      </c>
      <c r="C146" t="s">
        <v>472</v>
      </c>
      <c r="D146" t="s">
        <v>684</v>
      </c>
      <c r="E146" t="s">
        <v>67</v>
      </c>
      <c r="F146">
        <v>1.75</v>
      </c>
      <c r="G146">
        <v>81.561999999999998</v>
      </c>
      <c r="H146">
        <v>37.375</v>
      </c>
      <c r="I146" t="s">
        <v>685</v>
      </c>
      <c r="K146" s="92">
        <v>828</v>
      </c>
      <c r="L146" s="92">
        <v>39.113237122113802</v>
      </c>
      <c r="O146" s="66"/>
      <c r="S146">
        <v>2023</v>
      </c>
      <c r="U146" t="s">
        <v>99</v>
      </c>
      <c r="V146" t="s">
        <v>686</v>
      </c>
      <c r="W146" s="64" t="s">
        <v>72</v>
      </c>
    </row>
    <row r="147" spans="1:23" x14ac:dyDescent="0.2">
      <c r="A147" t="s">
        <v>400</v>
      </c>
      <c r="B147" t="s">
        <v>402</v>
      </c>
      <c r="C147" t="s">
        <v>472</v>
      </c>
      <c r="D147" t="s">
        <v>687</v>
      </c>
      <c r="E147" t="s">
        <v>67</v>
      </c>
      <c r="F147">
        <v>1.75</v>
      </c>
      <c r="G147">
        <v>81.561999999999998</v>
      </c>
      <c r="H147">
        <v>37.375</v>
      </c>
      <c r="I147" t="s">
        <v>685</v>
      </c>
      <c r="K147" s="92">
        <v>1028</v>
      </c>
      <c r="L147" s="92">
        <v>48.560878939049509</v>
      </c>
      <c r="O147" s="66"/>
      <c r="S147">
        <v>2023</v>
      </c>
      <c r="U147" t="s">
        <v>99</v>
      </c>
      <c r="V147" t="s">
        <v>688</v>
      </c>
      <c r="W147" s="64" t="s">
        <v>72</v>
      </c>
    </row>
    <row r="148" spans="1:23" x14ac:dyDescent="0.2">
      <c r="A148" t="s">
        <v>400</v>
      </c>
      <c r="B148" t="s">
        <v>402</v>
      </c>
      <c r="C148" t="s">
        <v>472</v>
      </c>
      <c r="D148" t="s">
        <v>689</v>
      </c>
      <c r="E148" t="s">
        <v>67</v>
      </c>
      <c r="F148">
        <v>1.75</v>
      </c>
      <c r="G148">
        <v>81.561999999999998</v>
      </c>
      <c r="H148">
        <v>37.375</v>
      </c>
      <c r="I148" t="s">
        <v>685</v>
      </c>
      <c r="K148" s="92">
        <v>778</v>
      </c>
      <c r="L148" s="92">
        <v>36.75132666787988</v>
      </c>
      <c r="O148" s="66"/>
      <c r="S148">
        <v>2023</v>
      </c>
      <c r="U148" t="s">
        <v>99</v>
      </c>
      <c r="V148" t="s">
        <v>690</v>
      </c>
      <c r="W148" s="64" t="s">
        <v>72</v>
      </c>
    </row>
    <row r="149" spans="1:23" x14ac:dyDescent="0.2">
      <c r="A149" t="s">
        <v>400</v>
      </c>
      <c r="B149" t="s">
        <v>402</v>
      </c>
      <c r="C149" t="s">
        <v>472</v>
      </c>
      <c r="D149" t="s">
        <v>691</v>
      </c>
      <c r="E149" t="s">
        <v>67</v>
      </c>
      <c r="F149">
        <v>1.75</v>
      </c>
      <c r="G149">
        <v>81.561999999999998</v>
      </c>
      <c r="H149">
        <v>37.375</v>
      </c>
      <c r="I149" t="s">
        <v>685</v>
      </c>
      <c r="K149" s="92">
        <v>1288</v>
      </c>
      <c r="L149" s="92">
        <v>60.842813301065917</v>
      </c>
      <c r="O149" s="66"/>
      <c r="S149">
        <v>2023</v>
      </c>
      <c r="U149" t="s">
        <v>99</v>
      </c>
      <c r="V149" t="s">
        <v>692</v>
      </c>
      <c r="W149" s="64" t="s">
        <v>72</v>
      </c>
    </row>
    <row r="150" spans="1:23" x14ac:dyDescent="0.2">
      <c r="A150" t="s">
        <v>400</v>
      </c>
      <c r="B150" t="s">
        <v>402</v>
      </c>
      <c r="C150" t="s">
        <v>472</v>
      </c>
      <c r="D150" t="s">
        <v>693</v>
      </c>
      <c r="E150" t="s">
        <v>67</v>
      </c>
      <c r="F150">
        <v>1.75</v>
      </c>
      <c r="G150">
        <v>81.561999999999998</v>
      </c>
      <c r="H150">
        <v>37.375</v>
      </c>
      <c r="I150" t="s">
        <v>685</v>
      </c>
      <c r="K150" s="92">
        <v>938</v>
      </c>
      <c r="L150" s="92">
        <v>44.309440121428437</v>
      </c>
      <c r="O150" s="66"/>
      <c r="S150">
        <v>2023</v>
      </c>
      <c r="U150" t="s">
        <v>99</v>
      </c>
      <c r="V150" t="s">
        <v>694</v>
      </c>
      <c r="W150" s="64" t="s">
        <v>72</v>
      </c>
    </row>
    <row r="151" spans="1:23" x14ac:dyDescent="0.2">
      <c r="A151" t="s">
        <v>400</v>
      </c>
      <c r="B151" t="s">
        <v>402</v>
      </c>
      <c r="C151" t="s">
        <v>472</v>
      </c>
      <c r="D151" t="s">
        <v>695</v>
      </c>
      <c r="E151" t="s">
        <v>67</v>
      </c>
      <c r="F151">
        <v>1.75</v>
      </c>
      <c r="G151">
        <v>81.561999999999998</v>
      </c>
      <c r="H151">
        <v>37.375</v>
      </c>
      <c r="I151" t="s">
        <v>685</v>
      </c>
      <c r="K151" s="92">
        <v>918</v>
      </c>
      <c r="L151" s="92">
        <v>43.364675939734873</v>
      </c>
      <c r="O151" s="66"/>
      <c r="S151">
        <v>2023</v>
      </c>
      <c r="U151" t="s">
        <v>99</v>
      </c>
      <c r="V151" t="s">
        <v>696</v>
      </c>
      <c r="W151" s="64" t="s">
        <v>72</v>
      </c>
    </row>
    <row r="152" spans="1:23" x14ac:dyDescent="0.2">
      <c r="A152" t="s">
        <v>400</v>
      </c>
      <c r="B152" t="s">
        <v>402</v>
      </c>
      <c r="C152" t="s">
        <v>472</v>
      </c>
      <c r="D152" t="s">
        <v>697</v>
      </c>
      <c r="E152" t="s">
        <v>67</v>
      </c>
      <c r="F152">
        <v>1.75</v>
      </c>
      <c r="G152">
        <v>81.561999999999998</v>
      </c>
      <c r="H152">
        <v>37.375</v>
      </c>
      <c r="I152" t="s">
        <v>685</v>
      </c>
      <c r="K152" s="92">
        <v>1048</v>
      </c>
      <c r="L152" s="92">
        <v>49.505643120743073</v>
      </c>
      <c r="O152" s="66"/>
      <c r="S152">
        <v>2023</v>
      </c>
      <c r="U152" t="s">
        <v>99</v>
      </c>
      <c r="V152" t="s">
        <v>698</v>
      </c>
      <c r="W152" s="64" t="s">
        <v>72</v>
      </c>
    </row>
    <row r="153" spans="1:23" x14ac:dyDescent="0.2">
      <c r="A153" t="s">
        <v>400</v>
      </c>
      <c r="B153" t="s">
        <v>402</v>
      </c>
      <c r="C153" t="s">
        <v>472</v>
      </c>
      <c r="D153" t="s">
        <v>699</v>
      </c>
      <c r="E153" t="s">
        <v>67</v>
      </c>
      <c r="F153">
        <v>1.75</v>
      </c>
      <c r="G153">
        <v>81.561999999999998</v>
      </c>
      <c r="H153">
        <v>37.375</v>
      </c>
      <c r="I153" t="s">
        <v>700</v>
      </c>
      <c r="K153" s="92">
        <v>1378</v>
      </c>
      <c r="L153" s="92">
        <v>65.094252118686981</v>
      </c>
      <c r="O153" s="66"/>
      <c r="S153">
        <v>2023</v>
      </c>
      <c r="U153" t="s">
        <v>99</v>
      </c>
      <c r="V153" t="s">
        <v>701</v>
      </c>
      <c r="W153" s="64" t="s">
        <v>72</v>
      </c>
    </row>
    <row r="154" spans="1:23" x14ac:dyDescent="0.2">
      <c r="A154" t="s">
        <v>400</v>
      </c>
      <c r="B154" t="s">
        <v>402</v>
      </c>
      <c r="C154" t="s">
        <v>472</v>
      </c>
      <c r="D154" t="s">
        <v>702</v>
      </c>
      <c r="E154" t="s">
        <v>67</v>
      </c>
      <c r="F154">
        <v>1.75</v>
      </c>
      <c r="G154">
        <v>81.561999999999998</v>
      </c>
      <c r="H154">
        <v>37.375</v>
      </c>
      <c r="I154" t="s">
        <v>700</v>
      </c>
      <c r="K154" s="92">
        <v>1408</v>
      </c>
      <c r="L154" s="92">
        <v>66.511398391227345</v>
      </c>
      <c r="O154" s="66"/>
      <c r="S154">
        <v>2023</v>
      </c>
      <c r="U154" t="s">
        <v>99</v>
      </c>
      <c r="V154" t="s">
        <v>703</v>
      </c>
      <c r="W154" s="64" t="s">
        <v>72</v>
      </c>
    </row>
    <row r="155" spans="1:23" x14ac:dyDescent="0.2">
      <c r="A155" t="s">
        <v>400</v>
      </c>
      <c r="B155" t="s">
        <v>402</v>
      </c>
      <c r="C155" t="s">
        <v>472</v>
      </c>
      <c r="D155" t="s">
        <v>704</v>
      </c>
      <c r="E155" t="s">
        <v>67</v>
      </c>
      <c r="F155">
        <v>1.75</v>
      </c>
      <c r="G155">
        <v>81.561999999999998</v>
      </c>
      <c r="H155">
        <v>37.375</v>
      </c>
      <c r="I155" t="s">
        <v>700</v>
      </c>
      <c r="K155" s="92">
        <v>1038</v>
      </c>
      <c r="L155" s="92">
        <v>49.033261029896288</v>
      </c>
      <c r="O155" s="66"/>
      <c r="S155">
        <v>2023</v>
      </c>
      <c r="U155" t="s">
        <v>99</v>
      </c>
      <c r="V155" t="s">
        <v>705</v>
      </c>
      <c r="W155" s="64" t="s">
        <v>72</v>
      </c>
    </row>
    <row r="156" spans="1:23" x14ac:dyDescent="0.2">
      <c r="A156" t="s">
        <v>400</v>
      </c>
      <c r="B156" t="s">
        <v>402</v>
      </c>
      <c r="C156" t="s">
        <v>472</v>
      </c>
      <c r="D156" t="s">
        <v>706</v>
      </c>
      <c r="E156" t="s">
        <v>67</v>
      </c>
      <c r="F156">
        <v>1.75</v>
      </c>
      <c r="G156">
        <v>81.561999999999998</v>
      </c>
      <c r="H156">
        <v>37.375</v>
      </c>
      <c r="I156" t="s">
        <v>700</v>
      </c>
      <c r="K156" s="92">
        <v>1098</v>
      </c>
      <c r="L156" s="92">
        <v>51.867553574977002</v>
      </c>
      <c r="O156" s="66"/>
      <c r="S156">
        <v>2023</v>
      </c>
      <c r="U156" t="s">
        <v>99</v>
      </c>
      <c r="V156" t="s">
        <v>707</v>
      </c>
      <c r="W156" s="64" t="s">
        <v>72</v>
      </c>
    </row>
    <row r="157" spans="1:23" x14ac:dyDescent="0.2">
      <c r="A157" t="s">
        <v>400</v>
      </c>
      <c r="B157" t="s">
        <v>402</v>
      </c>
      <c r="C157" t="s">
        <v>460</v>
      </c>
      <c r="D157" t="s">
        <v>708</v>
      </c>
      <c r="E157" t="s">
        <v>67</v>
      </c>
      <c r="F157">
        <v>1.75</v>
      </c>
      <c r="G157">
        <v>81</v>
      </c>
      <c r="H157">
        <v>37.5</v>
      </c>
      <c r="K157" s="92">
        <v>778</v>
      </c>
      <c r="L157" s="92">
        <v>36.882962962962957</v>
      </c>
      <c r="O157" s="66"/>
      <c r="S157">
        <v>2023</v>
      </c>
      <c r="U157" t="s">
        <v>99</v>
      </c>
      <c r="V157" t="s">
        <v>709</v>
      </c>
      <c r="W157" s="64" t="s">
        <v>72</v>
      </c>
    </row>
    <row r="158" spans="1:23" x14ac:dyDescent="0.2">
      <c r="A158" t="s">
        <v>400</v>
      </c>
      <c r="B158" t="s">
        <v>402</v>
      </c>
      <c r="C158" t="s">
        <v>477</v>
      </c>
      <c r="D158" t="s">
        <v>4712</v>
      </c>
      <c r="E158" t="s">
        <v>67</v>
      </c>
      <c r="F158">
        <v>1.75</v>
      </c>
      <c r="G158">
        <v>81.5</v>
      </c>
      <c r="H158">
        <v>31.5</v>
      </c>
      <c r="K158" s="92">
        <v>314</v>
      </c>
      <c r="L158" s="92">
        <v>17.612620508326032</v>
      </c>
      <c r="O158" s="66"/>
      <c r="S158">
        <v>2023</v>
      </c>
      <c r="U158" t="s">
        <v>99</v>
      </c>
      <c r="V158" t="s">
        <v>710</v>
      </c>
      <c r="W158" s="64" t="s">
        <v>72</v>
      </c>
    </row>
    <row r="159" spans="1:23" x14ac:dyDescent="0.2">
      <c r="A159" t="s">
        <v>400</v>
      </c>
      <c r="B159" t="s">
        <v>402</v>
      </c>
      <c r="C159" t="s">
        <v>472</v>
      </c>
      <c r="D159" t="s">
        <v>711</v>
      </c>
      <c r="E159" t="s">
        <v>67</v>
      </c>
      <c r="F159">
        <v>1.75</v>
      </c>
      <c r="G159">
        <v>81.525999999999996</v>
      </c>
      <c r="H159">
        <v>37.375</v>
      </c>
      <c r="K159" s="92">
        <v>888</v>
      </c>
      <c r="L159" s="92">
        <v>41.966052728156903</v>
      </c>
      <c r="O159" s="66"/>
      <c r="S159">
        <v>2023</v>
      </c>
      <c r="U159" t="s">
        <v>99</v>
      </c>
      <c r="V159" t="s">
        <v>712</v>
      </c>
      <c r="W159" s="64" t="s">
        <v>72</v>
      </c>
    </row>
    <row r="160" spans="1:23" x14ac:dyDescent="0.2">
      <c r="A160" t="s">
        <v>400</v>
      </c>
      <c r="B160" t="s">
        <v>402</v>
      </c>
      <c r="C160" t="s">
        <v>477</v>
      </c>
      <c r="D160" t="s">
        <v>4713</v>
      </c>
      <c r="E160" t="s">
        <v>67</v>
      </c>
      <c r="F160">
        <v>1.75</v>
      </c>
      <c r="G160">
        <v>81.5</v>
      </c>
      <c r="H160">
        <v>37.5</v>
      </c>
      <c r="K160" s="92">
        <v>356</v>
      </c>
      <c r="L160" s="92">
        <v>16.773496932515339</v>
      </c>
      <c r="O160" s="66"/>
      <c r="S160">
        <v>2023</v>
      </c>
      <c r="U160" t="s">
        <v>99</v>
      </c>
      <c r="V160" t="s">
        <v>713</v>
      </c>
      <c r="W160" s="64" t="s">
        <v>72</v>
      </c>
    </row>
    <row r="161" spans="1:23" x14ac:dyDescent="0.2">
      <c r="A161" t="s">
        <v>400</v>
      </c>
      <c r="B161" t="s">
        <v>402</v>
      </c>
      <c r="C161" t="s">
        <v>477</v>
      </c>
      <c r="D161" t="s">
        <v>4714</v>
      </c>
      <c r="E161" t="s">
        <v>67</v>
      </c>
      <c r="F161">
        <v>1.75</v>
      </c>
      <c r="G161">
        <v>81.5</v>
      </c>
      <c r="H161">
        <v>37.5</v>
      </c>
      <c r="K161" s="92">
        <v>808</v>
      </c>
      <c r="L161" s="92">
        <v>38.070184049079757</v>
      </c>
      <c r="O161" s="66"/>
      <c r="S161">
        <v>2023</v>
      </c>
      <c r="U161" t="s">
        <v>99</v>
      </c>
      <c r="V161" t="s">
        <v>714</v>
      </c>
      <c r="W161" s="64" t="s">
        <v>72</v>
      </c>
    </row>
    <row r="162" spans="1:23" x14ac:dyDescent="0.2">
      <c r="A162" t="s">
        <v>400</v>
      </c>
      <c r="B162" t="s">
        <v>402</v>
      </c>
      <c r="C162" t="s">
        <v>477</v>
      </c>
      <c r="D162" t="s">
        <v>4715</v>
      </c>
      <c r="E162" t="s">
        <v>67</v>
      </c>
      <c r="F162">
        <v>1.75</v>
      </c>
      <c r="G162">
        <v>81.5</v>
      </c>
      <c r="H162">
        <v>37.5</v>
      </c>
      <c r="K162" s="92">
        <v>356</v>
      </c>
      <c r="L162" s="92">
        <v>16.773496932515339</v>
      </c>
      <c r="O162" s="66"/>
      <c r="S162">
        <v>2023</v>
      </c>
      <c r="U162" t="s">
        <v>99</v>
      </c>
      <c r="V162" t="s">
        <v>715</v>
      </c>
      <c r="W162" s="64" t="s">
        <v>72</v>
      </c>
    </row>
    <row r="163" spans="1:23" x14ac:dyDescent="0.2">
      <c r="A163" t="s">
        <v>400</v>
      </c>
      <c r="B163" t="s">
        <v>402</v>
      </c>
      <c r="C163" t="s">
        <v>477</v>
      </c>
      <c r="D163" t="s">
        <v>4716</v>
      </c>
      <c r="E163" t="s">
        <v>67</v>
      </c>
      <c r="F163">
        <v>1.75</v>
      </c>
      <c r="G163">
        <v>81.5</v>
      </c>
      <c r="H163">
        <v>37.5</v>
      </c>
      <c r="K163" s="92">
        <v>269</v>
      </c>
      <c r="L163" s="92">
        <v>12.674355828220859</v>
      </c>
      <c r="O163" s="66"/>
      <c r="S163">
        <v>2023</v>
      </c>
      <c r="U163" t="s">
        <v>99</v>
      </c>
      <c r="V163" t="s">
        <v>716</v>
      </c>
      <c r="W163" s="64" t="s">
        <v>72</v>
      </c>
    </row>
    <row r="164" spans="1:23" x14ac:dyDescent="0.2">
      <c r="A164" t="s">
        <v>400</v>
      </c>
      <c r="B164" t="s">
        <v>402</v>
      </c>
      <c r="C164" t="s">
        <v>477</v>
      </c>
      <c r="D164" t="s">
        <v>4717</v>
      </c>
      <c r="E164" t="s">
        <v>67</v>
      </c>
      <c r="F164">
        <v>1.75</v>
      </c>
      <c r="G164">
        <v>81.5</v>
      </c>
      <c r="H164">
        <v>37.5</v>
      </c>
      <c r="K164" s="92">
        <v>269</v>
      </c>
      <c r="L164" s="92">
        <v>12.674355828220859</v>
      </c>
      <c r="O164" s="66"/>
      <c r="S164">
        <v>2023</v>
      </c>
      <c r="U164" t="s">
        <v>99</v>
      </c>
      <c r="V164" t="s">
        <v>717</v>
      </c>
      <c r="W164" s="64" t="s">
        <v>72</v>
      </c>
    </row>
    <row r="165" spans="1:23" x14ac:dyDescent="0.2">
      <c r="A165" t="s">
        <v>400</v>
      </c>
      <c r="B165" t="s">
        <v>402</v>
      </c>
      <c r="C165" t="s">
        <v>403</v>
      </c>
      <c r="D165" t="s">
        <v>718</v>
      </c>
      <c r="E165" t="s">
        <v>67</v>
      </c>
      <c r="F165">
        <v>1.75</v>
      </c>
      <c r="G165">
        <v>81.5</v>
      </c>
      <c r="H165">
        <v>43.5</v>
      </c>
      <c r="K165" s="92">
        <v>1028</v>
      </c>
      <c r="L165" s="92">
        <v>41.755024328326641</v>
      </c>
      <c r="O165" s="66"/>
      <c r="S165">
        <v>2023</v>
      </c>
      <c r="U165" t="s">
        <v>99</v>
      </c>
      <c r="V165" t="s">
        <v>719</v>
      </c>
      <c r="W165" s="64" t="s">
        <v>72</v>
      </c>
    </row>
    <row r="166" spans="1:23" x14ac:dyDescent="0.2">
      <c r="A166" t="s">
        <v>400</v>
      </c>
      <c r="B166" t="s">
        <v>402</v>
      </c>
      <c r="C166" t="s">
        <v>403</v>
      </c>
      <c r="D166" t="s">
        <v>720</v>
      </c>
      <c r="E166" t="s">
        <v>67</v>
      </c>
      <c r="F166">
        <v>1.75</v>
      </c>
      <c r="G166">
        <v>80</v>
      </c>
      <c r="H166">
        <v>42</v>
      </c>
      <c r="K166" s="92">
        <v>918</v>
      </c>
      <c r="L166" s="92">
        <v>39.342857142857142</v>
      </c>
      <c r="O166" s="66"/>
      <c r="S166">
        <v>2023</v>
      </c>
      <c r="U166" t="s">
        <v>99</v>
      </c>
      <c r="V166" t="s">
        <v>721</v>
      </c>
      <c r="W166" s="64" t="s">
        <v>72</v>
      </c>
    </row>
    <row r="167" spans="1:23" x14ac:dyDescent="0.2">
      <c r="A167" t="s">
        <v>400</v>
      </c>
      <c r="B167" t="s">
        <v>402</v>
      </c>
      <c r="C167" t="s">
        <v>723</v>
      </c>
      <c r="D167" t="s">
        <v>724</v>
      </c>
      <c r="E167" t="s">
        <v>731</v>
      </c>
      <c r="F167">
        <v>8</v>
      </c>
      <c r="G167">
        <v>98</v>
      </c>
      <c r="H167">
        <v>72</v>
      </c>
      <c r="I167" t="s">
        <v>416</v>
      </c>
      <c r="K167" s="92">
        <v>5698</v>
      </c>
      <c r="L167" s="92">
        <v>116.28571428571431</v>
      </c>
      <c r="O167" s="66"/>
      <c r="S167">
        <v>2023</v>
      </c>
      <c r="U167" t="s">
        <v>99</v>
      </c>
      <c r="V167" t="s">
        <v>726</v>
      </c>
      <c r="W167" s="64" t="s">
        <v>72</v>
      </c>
    </row>
    <row r="168" spans="1:23" x14ac:dyDescent="0.2">
      <c r="A168" t="s">
        <v>400</v>
      </c>
      <c r="B168" t="s">
        <v>402</v>
      </c>
      <c r="C168" t="s">
        <v>723</v>
      </c>
      <c r="D168" t="s">
        <v>727</v>
      </c>
      <c r="E168" t="s">
        <v>731</v>
      </c>
      <c r="F168">
        <v>8</v>
      </c>
      <c r="G168">
        <v>83</v>
      </c>
      <c r="H168">
        <v>62</v>
      </c>
      <c r="I168" t="s">
        <v>416</v>
      </c>
      <c r="K168" s="92">
        <v>4318</v>
      </c>
      <c r="L168" s="92">
        <v>120.8301593470657</v>
      </c>
      <c r="O168" s="66"/>
      <c r="S168">
        <v>2023</v>
      </c>
      <c r="U168" t="s">
        <v>99</v>
      </c>
      <c r="V168" t="s">
        <v>728</v>
      </c>
      <c r="W168" s="64" t="s">
        <v>72</v>
      </c>
    </row>
    <row r="169" spans="1:23" x14ac:dyDescent="0.2">
      <c r="A169" t="s">
        <v>400</v>
      </c>
      <c r="B169" t="s">
        <v>402</v>
      </c>
      <c r="C169" t="s">
        <v>723</v>
      </c>
      <c r="D169" t="s">
        <v>729</v>
      </c>
      <c r="E169" t="s">
        <v>731</v>
      </c>
      <c r="F169">
        <v>8</v>
      </c>
      <c r="G169">
        <v>83</v>
      </c>
      <c r="H169">
        <v>62</v>
      </c>
      <c r="I169" t="s">
        <v>419</v>
      </c>
      <c r="K169" s="92">
        <v>4588</v>
      </c>
      <c r="L169" s="92">
        <v>128.3855421686747</v>
      </c>
      <c r="O169" s="66"/>
      <c r="S169">
        <v>2023</v>
      </c>
      <c r="U169" t="s">
        <v>99</v>
      </c>
      <c r="V169" t="s">
        <v>730</v>
      </c>
      <c r="W169" s="64" t="s">
        <v>72</v>
      </c>
    </row>
    <row r="170" spans="1:23" x14ac:dyDescent="0.2">
      <c r="A170" t="s">
        <v>400</v>
      </c>
      <c r="B170" t="s">
        <v>427</v>
      </c>
      <c r="D170" t="s">
        <v>733</v>
      </c>
      <c r="E170" t="s">
        <v>991</v>
      </c>
      <c r="F170">
        <v>4.5629999999999997</v>
      </c>
      <c r="G170">
        <v>80</v>
      </c>
      <c r="H170">
        <v>60</v>
      </c>
      <c r="K170" s="92">
        <v>4218</v>
      </c>
      <c r="L170" s="92">
        <v>126.54</v>
      </c>
      <c r="O170" s="66"/>
      <c r="S170">
        <v>2023</v>
      </c>
      <c r="U170" t="s">
        <v>99</v>
      </c>
      <c r="V170" t="s">
        <v>734</v>
      </c>
      <c r="W170" s="64" t="s">
        <v>72</v>
      </c>
    </row>
    <row r="171" spans="1:23" x14ac:dyDescent="0.2">
      <c r="A171" t="s">
        <v>400</v>
      </c>
      <c r="B171" t="s">
        <v>427</v>
      </c>
      <c r="D171" t="s">
        <v>4718</v>
      </c>
      <c r="E171" t="s">
        <v>991</v>
      </c>
      <c r="F171">
        <v>4.5625</v>
      </c>
      <c r="G171">
        <v>79.5</v>
      </c>
      <c r="H171">
        <v>70.5</v>
      </c>
      <c r="K171" s="92">
        <v>2708</v>
      </c>
      <c r="L171" s="92">
        <v>69.575270975511842</v>
      </c>
      <c r="O171" s="66"/>
      <c r="S171">
        <v>2023</v>
      </c>
      <c r="U171" t="s">
        <v>99</v>
      </c>
      <c r="V171" t="s">
        <v>735</v>
      </c>
      <c r="W171" s="64" t="s">
        <v>72</v>
      </c>
    </row>
    <row r="172" spans="1:23" x14ac:dyDescent="0.2">
      <c r="A172" t="s">
        <v>400</v>
      </c>
      <c r="B172" t="s">
        <v>427</v>
      </c>
      <c r="D172" t="s">
        <v>736</v>
      </c>
      <c r="E172" t="s">
        <v>991</v>
      </c>
      <c r="F172">
        <v>4.5625</v>
      </c>
      <c r="G172">
        <v>79.5</v>
      </c>
      <c r="H172">
        <v>70.5</v>
      </c>
      <c r="K172" s="92">
        <v>3398</v>
      </c>
      <c r="L172" s="92">
        <v>87.303091128061013</v>
      </c>
      <c r="O172" s="66"/>
      <c r="S172">
        <v>2023</v>
      </c>
      <c r="U172" t="s">
        <v>99</v>
      </c>
      <c r="V172" t="s">
        <v>737</v>
      </c>
      <c r="W172" s="64" t="s">
        <v>72</v>
      </c>
    </row>
    <row r="173" spans="1:23" x14ac:dyDescent="0.2">
      <c r="A173" t="s">
        <v>400</v>
      </c>
      <c r="B173" t="s">
        <v>427</v>
      </c>
      <c r="D173" t="s">
        <v>4719</v>
      </c>
      <c r="E173" t="s">
        <v>991</v>
      </c>
      <c r="F173">
        <v>4.5625</v>
      </c>
      <c r="G173">
        <v>79.5</v>
      </c>
      <c r="H173">
        <v>70.5</v>
      </c>
      <c r="K173" s="92">
        <v>2578</v>
      </c>
      <c r="L173" s="92">
        <v>66.235246888799679</v>
      </c>
      <c r="O173" s="66"/>
      <c r="S173">
        <v>2023</v>
      </c>
      <c r="U173" t="s">
        <v>99</v>
      </c>
      <c r="V173" t="s">
        <v>738</v>
      </c>
      <c r="W173" s="64" t="s">
        <v>72</v>
      </c>
    </row>
    <row r="174" spans="1:23" x14ac:dyDescent="0.2">
      <c r="A174" t="s">
        <v>400</v>
      </c>
      <c r="B174" t="s">
        <v>427</v>
      </c>
      <c r="D174" t="s">
        <v>739</v>
      </c>
      <c r="E174" t="s">
        <v>991</v>
      </c>
      <c r="F174">
        <v>4.5625</v>
      </c>
      <c r="G174">
        <v>79.5</v>
      </c>
      <c r="H174">
        <v>70.5</v>
      </c>
      <c r="K174" s="92">
        <v>3228</v>
      </c>
      <c r="L174" s="92">
        <v>82.935367322360491</v>
      </c>
      <c r="O174" s="66"/>
      <c r="S174">
        <v>2023</v>
      </c>
      <c r="U174" t="s">
        <v>99</v>
      </c>
      <c r="V174" t="s">
        <v>740</v>
      </c>
      <c r="W174" s="64" t="s">
        <v>72</v>
      </c>
    </row>
    <row r="175" spans="1:23" x14ac:dyDescent="0.2">
      <c r="A175" t="s">
        <v>400</v>
      </c>
      <c r="B175" t="s">
        <v>427</v>
      </c>
      <c r="D175" t="s">
        <v>4720</v>
      </c>
      <c r="E175" t="s">
        <v>991</v>
      </c>
      <c r="F175">
        <v>4.5625</v>
      </c>
      <c r="G175">
        <v>79.5</v>
      </c>
      <c r="H175">
        <v>70.5</v>
      </c>
      <c r="K175" s="92">
        <v>2448</v>
      </c>
      <c r="L175" s="92">
        <v>62.895222802087517</v>
      </c>
      <c r="O175" s="66"/>
      <c r="S175">
        <v>2023</v>
      </c>
      <c r="U175" t="s">
        <v>99</v>
      </c>
      <c r="V175" t="s">
        <v>741</v>
      </c>
      <c r="W175" s="64" t="s">
        <v>72</v>
      </c>
    </row>
    <row r="176" spans="1:23" x14ac:dyDescent="0.2">
      <c r="A176" t="s">
        <v>400</v>
      </c>
      <c r="B176" t="s">
        <v>427</v>
      </c>
      <c r="D176" t="s">
        <v>742</v>
      </c>
      <c r="E176" t="s">
        <v>991</v>
      </c>
      <c r="F176">
        <v>4.5625</v>
      </c>
      <c r="G176">
        <v>79.5</v>
      </c>
      <c r="H176">
        <v>70.5</v>
      </c>
      <c r="K176" s="92">
        <v>3628</v>
      </c>
      <c r="L176" s="92">
        <v>93.212364512244079</v>
      </c>
      <c r="O176" s="66"/>
      <c r="S176">
        <v>2023</v>
      </c>
      <c r="U176" t="s">
        <v>99</v>
      </c>
      <c r="V176" t="s">
        <v>743</v>
      </c>
      <c r="W176" s="64" t="s">
        <v>72</v>
      </c>
    </row>
    <row r="177" spans="1:23" x14ac:dyDescent="0.2">
      <c r="A177" t="s">
        <v>400</v>
      </c>
      <c r="B177" t="s">
        <v>427</v>
      </c>
      <c r="D177" t="s">
        <v>4721</v>
      </c>
      <c r="E177" t="s">
        <v>991</v>
      </c>
      <c r="F177">
        <v>5</v>
      </c>
      <c r="G177">
        <v>80</v>
      </c>
      <c r="H177">
        <v>72</v>
      </c>
      <c r="K177" s="92">
        <v>429</v>
      </c>
      <c r="L177" s="92">
        <v>10.725</v>
      </c>
      <c r="O177" s="66"/>
      <c r="S177">
        <v>2023</v>
      </c>
      <c r="U177" t="s">
        <v>99</v>
      </c>
      <c r="V177" t="s">
        <v>744</v>
      </c>
      <c r="W177" s="64" t="s">
        <v>72</v>
      </c>
    </row>
    <row r="178" spans="1:23" x14ac:dyDescent="0.2">
      <c r="A178" t="s">
        <v>400</v>
      </c>
      <c r="B178" t="s">
        <v>402</v>
      </c>
      <c r="C178" t="s">
        <v>403</v>
      </c>
      <c r="D178" t="s">
        <v>746</v>
      </c>
      <c r="E178" t="s">
        <v>731</v>
      </c>
      <c r="F178">
        <v>1.75</v>
      </c>
      <c r="G178">
        <v>80.75</v>
      </c>
      <c r="H178">
        <v>33.5</v>
      </c>
      <c r="I178" t="s">
        <v>406</v>
      </c>
      <c r="K178" s="92">
        <v>808</v>
      </c>
      <c r="L178" s="92">
        <v>43.011690772145471</v>
      </c>
      <c r="O178" s="66"/>
      <c r="S178">
        <v>2023</v>
      </c>
      <c r="U178" t="s">
        <v>99</v>
      </c>
      <c r="V178" t="s">
        <v>748</v>
      </c>
      <c r="W178" s="64" t="s">
        <v>72</v>
      </c>
    </row>
    <row r="179" spans="1:23" x14ac:dyDescent="0.2">
      <c r="A179" t="s">
        <v>400</v>
      </c>
      <c r="B179" t="s">
        <v>402</v>
      </c>
      <c r="C179" t="s">
        <v>477</v>
      </c>
      <c r="D179" t="s">
        <v>4722</v>
      </c>
      <c r="E179" t="s">
        <v>731</v>
      </c>
      <c r="F179">
        <v>1.75</v>
      </c>
      <c r="G179">
        <v>81.5</v>
      </c>
      <c r="H179">
        <v>37.5</v>
      </c>
      <c r="I179" t="s">
        <v>406</v>
      </c>
      <c r="K179" s="92">
        <v>718</v>
      </c>
      <c r="L179" s="92">
        <v>33.82969325153374</v>
      </c>
      <c r="O179" s="66"/>
      <c r="S179">
        <v>2023</v>
      </c>
      <c r="U179" t="s">
        <v>99</v>
      </c>
      <c r="V179" t="s">
        <v>749</v>
      </c>
      <c r="W179" s="64" t="s">
        <v>72</v>
      </c>
    </row>
    <row r="180" spans="1:23" x14ac:dyDescent="0.2">
      <c r="A180" t="s">
        <v>400</v>
      </c>
      <c r="B180" t="s">
        <v>402</v>
      </c>
      <c r="C180" t="s">
        <v>477</v>
      </c>
      <c r="D180" t="s">
        <v>4723</v>
      </c>
      <c r="E180" t="s">
        <v>731</v>
      </c>
      <c r="F180">
        <v>1.75</v>
      </c>
      <c r="G180">
        <v>81.5</v>
      </c>
      <c r="H180">
        <v>37.5</v>
      </c>
      <c r="I180" t="s">
        <v>406</v>
      </c>
      <c r="K180" s="92">
        <v>948</v>
      </c>
      <c r="L180" s="92">
        <v>44.666503067484662</v>
      </c>
      <c r="O180" s="66"/>
      <c r="S180">
        <v>2023</v>
      </c>
      <c r="U180" t="s">
        <v>99</v>
      </c>
      <c r="V180" t="s">
        <v>750</v>
      </c>
      <c r="W180" s="64" t="s">
        <v>72</v>
      </c>
    </row>
    <row r="181" spans="1:23" x14ac:dyDescent="0.2">
      <c r="A181" t="s">
        <v>400</v>
      </c>
      <c r="B181" t="s">
        <v>402</v>
      </c>
      <c r="C181" t="s">
        <v>477</v>
      </c>
      <c r="D181" t="s">
        <v>4724</v>
      </c>
      <c r="E181" t="s">
        <v>731</v>
      </c>
      <c r="F181">
        <v>1.75</v>
      </c>
      <c r="G181">
        <v>81.5</v>
      </c>
      <c r="H181">
        <v>37.5</v>
      </c>
      <c r="I181" t="s">
        <v>406</v>
      </c>
      <c r="K181" s="92">
        <v>505</v>
      </c>
      <c r="L181" s="92">
        <v>23.793865030674851</v>
      </c>
      <c r="O181" s="66"/>
      <c r="S181">
        <v>2023</v>
      </c>
      <c r="U181" t="s">
        <v>99</v>
      </c>
      <c r="V181" t="s">
        <v>751</v>
      </c>
      <c r="W181" s="64" t="s">
        <v>72</v>
      </c>
    </row>
    <row r="182" spans="1:23" x14ac:dyDescent="0.2">
      <c r="A182" t="s">
        <v>400</v>
      </c>
      <c r="B182" t="s">
        <v>402</v>
      </c>
      <c r="C182" t="s">
        <v>477</v>
      </c>
      <c r="D182" t="s">
        <v>4725</v>
      </c>
      <c r="E182" t="s">
        <v>731</v>
      </c>
      <c r="F182">
        <v>1.75</v>
      </c>
      <c r="G182">
        <v>81.5</v>
      </c>
      <c r="H182">
        <v>37.5</v>
      </c>
      <c r="I182" t="s">
        <v>406</v>
      </c>
      <c r="K182" s="92">
        <v>404</v>
      </c>
      <c r="L182" s="92">
        <v>19.035092024539878</v>
      </c>
      <c r="O182" s="66"/>
      <c r="S182">
        <v>2023</v>
      </c>
      <c r="U182" t="s">
        <v>99</v>
      </c>
      <c r="V182" t="s">
        <v>752</v>
      </c>
      <c r="W182" s="64" t="s">
        <v>72</v>
      </c>
    </row>
    <row r="183" spans="1:23" x14ac:dyDescent="0.2">
      <c r="A183" t="s">
        <v>400</v>
      </c>
      <c r="B183" t="s">
        <v>402</v>
      </c>
      <c r="C183" t="s">
        <v>477</v>
      </c>
      <c r="D183" t="s">
        <v>4726</v>
      </c>
      <c r="E183" t="s">
        <v>731</v>
      </c>
      <c r="F183">
        <v>1.75</v>
      </c>
      <c r="G183">
        <v>81.5</v>
      </c>
      <c r="H183">
        <v>33.5</v>
      </c>
      <c r="I183" t="s">
        <v>406</v>
      </c>
      <c r="K183" s="92">
        <v>337</v>
      </c>
      <c r="L183" s="92">
        <v>17.77419650215182</v>
      </c>
      <c r="O183" s="66"/>
      <c r="S183">
        <v>2023</v>
      </c>
      <c r="U183" t="s">
        <v>99</v>
      </c>
      <c r="V183" t="s">
        <v>753</v>
      </c>
      <c r="W183" s="64" t="s">
        <v>72</v>
      </c>
    </row>
    <row r="184" spans="1:23" x14ac:dyDescent="0.2">
      <c r="A184" t="s">
        <v>400</v>
      </c>
      <c r="B184" t="s">
        <v>402</v>
      </c>
      <c r="C184" t="s">
        <v>477</v>
      </c>
      <c r="D184" t="s">
        <v>4727</v>
      </c>
      <c r="E184" t="s">
        <v>731</v>
      </c>
      <c r="F184">
        <v>1.75</v>
      </c>
      <c r="G184">
        <v>81.5</v>
      </c>
      <c r="H184">
        <v>33.5</v>
      </c>
      <c r="I184" t="s">
        <v>406</v>
      </c>
      <c r="K184" s="92">
        <v>337</v>
      </c>
      <c r="L184" s="92">
        <v>17.77419650215182</v>
      </c>
      <c r="O184" s="66"/>
      <c r="S184">
        <v>2023</v>
      </c>
      <c r="U184" t="s">
        <v>99</v>
      </c>
      <c r="V184" t="s">
        <v>754</v>
      </c>
      <c r="W184" s="64" t="s">
        <v>72</v>
      </c>
    </row>
    <row r="185" spans="1:23" x14ac:dyDescent="0.2">
      <c r="A185" t="s">
        <v>400</v>
      </c>
      <c r="B185" t="s">
        <v>402</v>
      </c>
      <c r="C185" t="s">
        <v>477</v>
      </c>
      <c r="D185" t="s">
        <v>4728</v>
      </c>
      <c r="E185" t="s">
        <v>731</v>
      </c>
      <c r="F185">
        <v>1.75</v>
      </c>
      <c r="G185">
        <v>81.5</v>
      </c>
      <c r="H185">
        <v>37.5</v>
      </c>
      <c r="I185" t="s">
        <v>406</v>
      </c>
      <c r="K185" s="92">
        <v>337</v>
      </c>
      <c r="L185" s="92">
        <v>15.87828220858896</v>
      </c>
      <c r="O185" s="66"/>
      <c r="S185">
        <v>2023</v>
      </c>
      <c r="U185" t="s">
        <v>99</v>
      </c>
      <c r="V185" t="s">
        <v>755</v>
      </c>
      <c r="W185" s="64" t="s">
        <v>72</v>
      </c>
    </row>
    <row r="186" spans="1:23" x14ac:dyDescent="0.2">
      <c r="A186" t="s">
        <v>400</v>
      </c>
      <c r="B186" t="s">
        <v>402</v>
      </c>
      <c r="C186" t="s">
        <v>477</v>
      </c>
      <c r="D186" t="s">
        <v>4729</v>
      </c>
      <c r="E186" t="s">
        <v>731</v>
      </c>
      <c r="F186">
        <v>1.75</v>
      </c>
      <c r="G186">
        <v>81.5</v>
      </c>
      <c r="H186">
        <v>37.5</v>
      </c>
      <c r="I186" t="s">
        <v>406</v>
      </c>
      <c r="K186" s="92">
        <v>337</v>
      </c>
      <c r="L186" s="92">
        <v>15.87828220858896</v>
      </c>
      <c r="O186" s="66"/>
      <c r="S186">
        <v>2023</v>
      </c>
      <c r="U186" t="s">
        <v>99</v>
      </c>
      <c r="V186" t="s">
        <v>756</v>
      </c>
      <c r="W186" s="64" t="s">
        <v>72</v>
      </c>
    </row>
    <row r="187" spans="1:23" x14ac:dyDescent="0.2">
      <c r="A187" t="s">
        <v>400</v>
      </c>
      <c r="B187" t="s">
        <v>402</v>
      </c>
      <c r="C187" t="s">
        <v>757</v>
      </c>
      <c r="D187" t="s">
        <v>758</v>
      </c>
      <c r="E187" t="s">
        <v>731</v>
      </c>
      <c r="F187">
        <v>3.25</v>
      </c>
      <c r="G187">
        <v>80.75</v>
      </c>
      <c r="H187">
        <v>36.6</v>
      </c>
      <c r="I187" t="s">
        <v>406</v>
      </c>
      <c r="K187" s="92">
        <v>2338</v>
      </c>
      <c r="L187" s="92">
        <v>113.9156473633457</v>
      </c>
      <c r="O187" s="66"/>
      <c r="S187">
        <v>2023</v>
      </c>
      <c r="U187" t="s">
        <v>99</v>
      </c>
      <c r="V187" t="s">
        <v>759</v>
      </c>
      <c r="W187" s="64" t="s">
        <v>72</v>
      </c>
    </row>
    <row r="188" spans="1:23" x14ac:dyDescent="0.2">
      <c r="A188" t="s">
        <v>400</v>
      </c>
      <c r="B188" t="s">
        <v>402</v>
      </c>
      <c r="C188" t="s">
        <v>757</v>
      </c>
      <c r="D188" t="s">
        <v>760</v>
      </c>
      <c r="E188" t="s">
        <v>731</v>
      </c>
      <c r="F188">
        <v>3.25</v>
      </c>
      <c r="G188">
        <v>80.75</v>
      </c>
      <c r="H188">
        <v>36.6</v>
      </c>
      <c r="I188" t="s">
        <v>406</v>
      </c>
      <c r="K188" s="92">
        <v>2298</v>
      </c>
      <c r="L188" s="92">
        <v>111.96670557783079</v>
      </c>
      <c r="O188" s="66"/>
      <c r="S188">
        <v>2023</v>
      </c>
      <c r="U188" t="s">
        <v>99</v>
      </c>
      <c r="V188" t="s">
        <v>761</v>
      </c>
      <c r="W188" s="64" t="s">
        <v>72</v>
      </c>
    </row>
    <row r="189" spans="1:23" x14ac:dyDescent="0.2">
      <c r="A189" t="s">
        <v>400</v>
      </c>
      <c r="B189" t="s">
        <v>402</v>
      </c>
      <c r="C189" t="s">
        <v>757</v>
      </c>
      <c r="D189" t="s">
        <v>762</v>
      </c>
      <c r="E189" t="s">
        <v>731</v>
      </c>
      <c r="F189">
        <v>3.25</v>
      </c>
      <c r="G189">
        <v>80.75</v>
      </c>
      <c r="H189">
        <v>36.6</v>
      </c>
      <c r="I189" t="s">
        <v>406</v>
      </c>
      <c r="K189" s="92">
        <v>2538</v>
      </c>
      <c r="L189" s="92">
        <v>123.66035629092011</v>
      </c>
      <c r="O189" s="66"/>
      <c r="S189">
        <v>2023</v>
      </c>
      <c r="U189" t="s">
        <v>99</v>
      </c>
      <c r="V189" t="s">
        <v>763</v>
      </c>
      <c r="W189" s="64" t="s">
        <v>72</v>
      </c>
    </row>
    <row r="190" spans="1:23" x14ac:dyDescent="0.2">
      <c r="A190" t="s">
        <v>400</v>
      </c>
      <c r="B190" t="s">
        <v>402</v>
      </c>
      <c r="C190" t="s">
        <v>757</v>
      </c>
      <c r="D190" t="s">
        <v>764</v>
      </c>
      <c r="E190" t="s">
        <v>731</v>
      </c>
      <c r="F190">
        <v>3.25</v>
      </c>
      <c r="G190">
        <v>80.75</v>
      </c>
      <c r="H190">
        <v>36.6</v>
      </c>
      <c r="I190" t="s">
        <v>406</v>
      </c>
      <c r="K190" s="92">
        <v>2738</v>
      </c>
      <c r="L190" s="92">
        <v>133.4050652184946</v>
      </c>
      <c r="O190" s="66"/>
      <c r="S190">
        <v>2023</v>
      </c>
      <c r="U190" t="s">
        <v>99</v>
      </c>
      <c r="V190" t="s">
        <v>765</v>
      </c>
      <c r="W190" s="64" t="s">
        <v>72</v>
      </c>
    </row>
    <row r="191" spans="1:23" x14ac:dyDescent="0.2">
      <c r="A191" t="s">
        <v>400</v>
      </c>
      <c r="B191" t="s">
        <v>402</v>
      </c>
      <c r="C191" t="s">
        <v>403</v>
      </c>
      <c r="D191" t="s">
        <v>766</v>
      </c>
      <c r="E191" t="s">
        <v>731</v>
      </c>
      <c r="F191">
        <v>1.75</v>
      </c>
      <c r="G191">
        <v>81.5</v>
      </c>
      <c r="H191">
        <v>68.5</v>
      </c>
      <c r="I191" t="s">
        <v>406</v>
      </c>
      <c r="K191" s="92">
        <v>2888</v>
      </c>
      <c r="L191" s="92">
        <v>74.492320093144059</v>
      </c>
      <c r="O191" s="66"/>
      <c r="S191">
        <v>2023</v>
      </c>
      <c r="U191" t="s">
        <v>99</v>
      </c>
      <c r="V191" t="s">
        <v>767</v>
      </c>
      <c r="W191" s="64" t="s">
        <v>72</v>
      </c>
    </row>
    <row r="192" spans="1:23" x14ac:dyDescent="0.2">
      <c r="A192" t="s">
        <v>400</v>
      </c>
      <c r="B192" t="s">
        <v>402</v>
      </c>
      <c r="C192" t="s">
        <v>403</v>
      </c>
      <c r="D192" t="s">
        <v>768</v>
      </c>
      <c r="E192" t="s">
        <v>731</v>
      </c>
      <c r="F192">
        <v>1.75</v>
      </c>
      <c r="G192">
        <v>81.5</v>
      </c>
      <c r="H192">
        <v>64.5</v>
      </c>
      <c r="I192" t="s">
        <v>406</v>
      </c>
      <c r="K192" s="92">
        <v>2068</v>
      </c>
      <c r="L192" s="92">
        <v>56.649450706234838</v>
      </c>
      <c r="O192" s="66"/>
      <c r="S192">
        <v>2023</v>
      </c>
      <c r="U192" t="s">
        <v>99</v>
      </c>
      <c r="V192" t="s">
        <v>769</v>
      </c>
      <c r="W192" s="64" t="s">
        <v>72</v>
      </c>
    </row>
    <row r="193" spans="1:23" x14ac:dyDescent="0.2">
      <c r="A193" t="s">
        <v>400</v>
      </c>
      <c r="B193" t="s">
        <v>402</v>
      </c>
      <c r="C193" t="s">
        <v>403</v>
      </c>
      <c r="D193" t="s">
        <v>770</v>
      </c>
      <c r="E193" t="s">
        <v>731</v>
      </c>
      <c r="F193">
        <v>1.75</v>
      </c>
      <c r="G193">
        <v>80.75</v>
      </c>
      <c r="H193">
        <v>36</v>
      </c>
      <c r="I193" t="s">
        <v>406</v>
      </c>
      <c r="K193" s="92">
        <v>908</v>
      </c>
      <c r="L193" s="92">
        <v>44.978328173374607</v>
      </c>
      <c r="O193" s="66"/>
      <c r="S193">
        <v>2023</v>
      </c>
      <c r="U193" t="s">
        <v>99</v>
      </c>
      <c r="V193" t="s">
        <v>771</v>
      </c>
      <c r="W193" s="64" t="s">
        <v>72</v>
      </c>
    </row>
    <row r="194" spans="1:23" x14ac:dyDescent="0.2">
      <c r="A194" t="s">
        <v>400</v>
      </c>
      <c r="B194" t="s">
        <v>402</v>
      </c>
      <c r="C194" t="s">
        <v>465</v>
      </c>
      <c r="D194" t="s">
        <v>772</v>
      </c>
      <c r="E194" t="s">
        <v>731</v>
      </c>
      <c r="F194">
        <v>1.75</v>
      </c>
      <c r="G194">
        <v>81.75</v>
      </c>
      <c r="H194">
        <v>31.437999999999999</v>
      </c>
      <c r="I194" t="s">
        <v>406</v>
      </c>
      <c r="K194" s="92">
        <v>688</v>
      </c>
      <c r="L194" s="92">
        <v>38.548568873874963</v>
      </c>
      <c r="O194" s="66"/>
      <c r="S194">
        <v>2023</v>
      </c>
      <c r="U194" t="s">
        <v>99</v>
      </c>
      <c r="V194" t="s">
        <v>773</v>
      </c>
      <c r="W194" s="64" t="s">
        <v>72</v>
      </c>
    </row>
    <row r="195" spans="1:23" x14ac:dyDescent="0.2">
      <c r="A195" t="s">
        <v>400</v>
      </c>
      <c r="B195" t="s">
        <v>402</v>
      </c>
      <c r="C195" t="s">
        <v>465</v>
      </c>
      <c r="D195" t="s">
        <v>774</v>
      </c>
      <c r="E195" t="s">
        <v>731</v>
      </c>
      <c r="F195">
        <v>1.75</v>
      </c>
      <c r="G195">
        <v>81.375</v>
      </c>
      <c r="H195">
        <v>31.687999999999999</v>
      </c>
      <c r="I195" t="s">
        <v>406</v>
      </c>
      <c r="K195" s="92">
        <v>668</v>
      </c>
      <c r="L195" s="92">
        <v>37.303804257408352</v>
      </c>
      <c r="O195" s="66"/>
      <c r="S195">
        <v>2023</v>
      </c>
      <c r="U195" t="s">
        <v>99</v>
      </c>
      <c r="V195" t="s">
        <v>775</v>
      </c>
      <c r="W195" s="64" t="s">
        <v>72</v>
      </c>
    </row>
    <row r="196" spans="1:23" x14ac:dyDescent="0.2">
      <c r="A196" t="s">
        <v>400</v>
      </c>
      <c r="B196" t="s">
        <v>402</v>
      </c>
      <c r="C196" t="s">
        <v>465</v>
      </c>
      <c r="D196" t="s">
        <v>776</v>
      </c>
      <c r="E196" t="s">
        <v>731</v>
      </c>
      <c r="F196">
        <v>1.75</v>
      </c>
      <c r="G196">
        <v>81.75</v>
      </c>
      <c r="H196">
        <v>37.438000000000002</v>
      </c>
      <c r="I196" t="s">
        <v>406</v>
      </c>
      <c r="K196" s="92">
        <v>628</v>
      </c>
      <c r="L196" s="92">
        <v>29.547567574720478</v>
      </c>
      <c r="O196" s="66"/>
      <c r="S196">
        <v>2023</v>
      </c>
      <c r="U196" t="s">
        <v>99</v>
      </c>
      <c r="V196" t="s">
        <v>777</v>
      </c>
      <c r="W196" s="64" t="s">
        <v>72</v>
      </c>
    </row>
    <row r="197" spans="1:23" x14ac:dyDescent="0.2">
      <c r="A197" t="s">
        <v>400</v>
      </c>
      <c r="B197" t="s">
        <v>402</v>
      </c>
      <c r="C197" t="s">
        <v>465</v>
      </c>
      <c r="D197" t="s">
        <v>778</v>
      </c>
      <c r="E197" t="s">
        <v>731</v>
      </c>
      <c r="F197">
        <v>1.75</v>
      </c>
      <c r="G197">
        <v>81.75</v>
      </c>
      <c r="H197">
        <v>37.438000000000002</v>
      </c>
      <c r="I197" t="s">
        <v>406</v>
      </c>
      <c r="K197" s="92">
        <v>798</v>
      </c>
      <c r="L197" s="92">
        <v>37.546112937304038</v>
      </c>
      <c r="O197" s="66"/>
      <c r="S197">
        <v>2023</v>
      </c>
      <c r="U197" t="s">
        <v>99</v>
      </c>
      <c r="V197" t="s">
        <v>779</v>
      </c>
      <c r="W197" s="64" t="s">
        <v>72</v>
      </c>
    </row>
    <row r="198" spans="1:23" x14ac:dyDescent="0.2">
      <c r="A198" t="s">
        <v>400</v>
      </c>
      <c r="B198" t="s">
        <v>402</v>
      </c>
      <c r="C198" t="s">
        <v>465</v>
      </c>
      <c r="D198" t="s">
        <v>4730</v>
      </c>
      <c r="E198" t="s">
        <v>731</v>
      </c>
      <c r="F198">
        <v>1.75</v>
      </c>
      <c r="G198">
        <v>81.75</v>
      </c>
      <c r="H198">
        <v>53.438000000000002</v>
      </c>
      <c r="I198" t="s">
        <v>413</v>
      </c>
      <c r="K198" s="92">
        <v>1658</v>
      </c>
      <c r="L198" s="92">
        <v>54.652377736215612</v>
      </c>
      <c r="O198" s="66"/>
      <c r="S198">
        <v>2023</v>
      </c>
      <c r="U198" t="s">
        <v>99</v>
      </c>
      <c r="V198" t="s">
        <v>780</v>
      </c>
      <c r="W198" s="64" t="s">
        <v>72</v>
      </c>
    </row>
    <row r="199" spans="1:23" x14ac:dyDescent="0.2">
      <c r="A199" t="s">
        <v>400</v>
      </c>
      <c r="B199" t="s">
        <v>402</v>
      </c>
      <c r="C199" t="s">
        <v>477</v>
      </c>
      <c r="D199" t="s">
        <v>4731</v>
      </c>
      <c r="E199" t="s">
        <v>731</v>
      </c>
      <c r="F199">
        <v>1.75</v>
      </c>
      <c r="G199">
        <v>81.5</v>
      </c>
      <c r="H199">
        <v>37.5</v>
      </c>
      <c r="I199" t="s">
        <v>413</v>
      </c>
      <c r="K199" s="92">
        <v>479</v>
      </c>
      <c r="L199" s="92">
        <v>22.568834355828219</v>
      </c>
      <c r="O199" s="66"/>
      <c r="S199">
        <v>2023</v>
      </c>
      <c r="U199" t="s">
        <v>99</v>
      </c>
      <c r="V199" t="s">
        <v>781</v>
      </c>
      <c r="W199" s="64" t="s">
        <v>72</v>
      </c>
    </row>
    <row r="200" spans="1:23" x14ac:dyDescent="0.2">
      <c r="A200" t="s">
        <v>400</v>
      </c>
      <c r="B200" t="s">
        <v>402</v>
      </c>
      <c r="C200" t="s">
        <v>477</v>
      </c>
      <c r="D200" t="s">
        <v>4732</v>
      </c>
      <c r="E200" t="s">
        <v>731</v>
      </c>
      <c r="F200">
        <v>1.75</v>
      </c>
      <c r="G200">
        <v>81.5</v>
      </c>
      <c r="H200">
        <v>37.5</v>
      </c>
      <c r="I200" t="s">
        <v>413</v>
      </c>
      <c r="K200" s="92">
        <v>339</v>
      </c>
      <c r="L200" s="92">
        <v>15.97251533742331</v>
      </c>
      <c r="O200" s="66"/>
      <c r="S200">
        <v>2023</v>
      </c>
      <c r="U200" t="s">
        <v>99</v>
      </c>
      <c r="V200" t="s">
        <v>782</v>
      </c>
      <c r="W200" s="64" t="s">
        <v>72</v>
      </c>
    </row>
    <row r="201" spans="1:23" x14ac:dyDescent="0.2">
      <c r="A201" t="s">
        <v>400</v>
      </c>
      <c r="B201" t="s">
        <v>402</v>
      </c>
      <c r="C201" t="s">
        <v>477</v>
      </c>
      <c r="D201" t="s">
        <v>4733</v>
      </c>
      <c r="E201" t="s">
        <v>731</v>
      </c>
      <c r="F201">
        <v>1.75</v>
      </c>
      <c r="G201">
        <v>81.5</v>
      </c>
      <c r="H201">
        <v>37.5</v>
      </c>
      <c r="I201" t="s">
        <v>413</v>
      </c>
      <c r="K201" s="92">
        <v>339</v>
      </c>
      <c r="L201" s="92">
        <v>15.97251533742331</v>
      </c>
      <c r="O201" s="66"/>
      <c r="S201">
        <v>2023</v>
      </c>
      <c r="U201" t="s">
        <v>99</v>
      </c>
      <c r="V201" t="s">
        <v>783</v>
      </c>
      <c r="W201" s="64" t="s">
        <v>72</v>
      </c>
    </row>
    <row r="202" spans="1:23" x14ac:dyDescent="0.2">
      <c r="A202" t="s">
        <v>400</v>
      </c>
      <c r="B202" t="s">
        <v>402</v>
      </c>
      <c r="C202" t="s">
        <v>460</v>
      </c>
      <c r="D202" t="s">
        <v>784</v>
      </c>
      <c r="E202" t="s">
        <v>731</v>
      </c>
      <c r="F202">
        <v>1.75</v>
      </c>
      <c r="G202">
        <v>81.75</v>
      </c>
      <c r="H202">
        <v>74</v>
      </c>
      <c r="I202" t="s">
        <v>413</v>
      </c>
      <c r="K202" s="92">
        <v>1409.3</v>
      </c>
      <c r="L202" s="92">
        <v>33.546441854698728</v>
      </c>
      <c r="O202" s="66"/>
      <c r="S202">
        <v>2023</v>
      </c>
      <c r="U202" t="s">
        <v>99</v>
      </c>
      <c r="V202" t="s">
        <v>785</v>
      </c>
      <c r="W202" s="64" t="s">
        <v>72</v>
      </c>
    </row>
    <row r="203" spans="1:23" x14ac:dyDescent="0.2">
      <c r="A203" t="s">
        <v>400</v>
      </c>
      <c r="B203" t="s">
        <v>402</v>
      </c>
      <c r="C203" t="s">
        <v>460</v>
      </c>
      <c r="D203" t="s">
        <v>786</v>
      </c>
      <c r="E203" t="s">
        <v>731</v>
      </c>
      <c r="F203">
        <v>1.75</v>
      </c>
      <c r="G203">
        <v>81.75</v>
      </c>
      <c r="H203">
        <v>53</v>
      </c>
      <c r="I203" t="s">
        <v>413</v>
      </c>
      <c r="K203" s="92">
        <v>1358</v>
      </c>
      <c r="L203" s="92">
        <v>45.133460273498358</v>
      </c>
      <c r="O203" s="66"/>
      <c r="S203">
        <v>2023</v>
      </c>
      <c r="U203" t="s">
        <v>99</v>
      </c>
      <c r="V203" t="s">
        <v>787</v>
      </c>
      <c r="W203" s="64" t="s">
        <v>72</v>
      </c>
    </row>
    <row r="204" spans="1:23" x14ac:dyDescent="0.2">
      <c r="A204" t="s">
        <v>400</v>
      </c>
      <c r="B204" t="s">
        <v>402</v>
      </c>
      <c r="C204" t="s">
        <v>477</v>
      </c>
      <c r="D204" t="s">
        <v>4734</v>
      </c>
      <c r="E204" t="s">
        <v>731</v>
      </c>
      <c r="F204">
        <v>1.75</v>
      </c>
      <c r="G204">
        <v>81.5</v>
      </c>
      <c r="H204">
        <v>37.5</v>
      </c>
      <c r="I204" t="s">
        <v>413</v>
      </c>
      <c r="K204" s="92">
        <v>479</v>
      </c>
      <c r="L204" s="92">
        <v>22.568834355828219</v>
      </c>
      <c r="O204" s="66"/>
      <c r="S204">
        <v>2023</v>
      </c>
      <c r="U204" t="s">
        <v>99</v>
      </c>
      <c r="V204" t="s">
        <v>788</v>
      </c>
      <c r="W204" s="64" t="s">
        <v>72</v>
      </c>
    </row>
    <row r="205" spans="1:23" x14ac:dyDescent="0.2">
      <c r="A205" t="s">
        <v>400</v>
      </c>
      <c r="B205" t="s">
        <v>402</v>
      </c>
      <c r="C205" t="s">
        <v>403</v>
      </c>
      <c r="D205" t="s">
        <v>789</v>
      </c>
      <c r="E205" t="s">
        <v>731</v>
      </c>
      <c r="F205">
        <v>1.75</v>
      </c>
      <c r="G205">
        <v>81.5</v>
      </c>
      <c r="H205">
        <v>33.5</v>
      </c>
      <c r="I205" t="s">
        <v>413</v>
      </c>
      <c r="K205" s="92">
        <v>798</v>
      </c>
      <c r="L205" s="92">
        <v>42.088453438329822</v>
      </c>
      <c r="O205" s="66"/>
      <c r="S205">
        <v>2023</v>
      </c>
      <c r="U205" t="s">
        <v>99</v>
      </c>
      <c r="V205" t="s">
        <v>790</v>
      </c>
      <c r="W205" s="64" t="s">
        <v>72</v>
      </c>
    </row>
    <row r="206" spans="1:23" x14ac:dyDescent="0.2">
      <c r="A206" t="s">
        <v>400</v>
      </c>
      <c r="B206" t="s">
        <v>402</v>
      </c>
      <c r="C206" t="s">
        <v>403</v>
      </c>
      <c r="D206" t="s">
        <v>791</v>
      </c>
      <c r="E206" t="s">
        <v>731</v>
      </c>
      <c r="F206">
        <v>1.75</v>
      </c>
      <c r="G206">
        <v>81.5</v>
      </c>
      <c r="H206">
        <v>33.5</v>
      </c>
      <c r="I206" t="s">
        <v>413</v>
      </c>
      <c r="K206" s="92">
        <v>912.01</v>
      </c>
      <c r="L206" s="92">
        <v>48.101617068034066</v>
      </c>
      <c r="O206" s="66"/>
      <c r="S206">
        <v>2023</v>
      </c>
      <c r="U206" t="s">
        <v>99</v>
      </c>
      <c r="V206" t="s">
        <v>792</v>
      </c>
      <c r="W206" s="64" t="s">
        <v>72</v>
      </c>
    </row>
    <row r="207" spans="1:23" x14ac:dyDescent="0.2">
      <c r="A207" t="s">
        <v>400</v>
      </c>
      <c r="B207" t="s">
        <v>402</v>
      </c>
      <c r="C207" t="s">
        <v>460</v>
      </c>
      <c r="D207" t="s">
        <v>793</v>
      </c>
      <c r="E207" t="s">
        <v>731</v>
      </c>
      <c r="F207">
        <v>1.75</v>
      </c>
      <c r="G207">
        <v>81.75</v>
      </c>
      <c r="H207">
        <v>33.5</v>
      </c>
      <c r="I207" t="s">
        <v>413</v>
      </c>
      <c r="K207" s="92">
        <v>742.65</v>
      </c>
      <c r="L207" s="92">
        <v>39.04937696836916</v>
      </c>
      <c r="O207" s="66"/>
      <c r="S207">
        <v>2023</v>
      </c>
      <c r="U207" t="s">
        <v>99</v>
      </c>
      <c r="V207" t="s">
        <v>794</v>
      </c>
      <c r="W207" s="64" t="s">
        <v>72</v>
      </c>
    </row>
    <row r="208" spans="1:23" x14ac:dyDescent="0.2">
      <c r="A208" t="s">
        <v>400</v>
      </c>
      <c r="B208" t="s">
        <v>402</v>
      </c>
      <c r="C208" t="s">
        <v>460</v>
      </c>
      <c r="D208" t="s">
        <v>795</v>
      </c>
      <c r="E208" t="s">
        <v>731</v>
      </c>
      <c r="F208">
        <v>2</v>
      </c>
      <c r="G208">
        <v>80</v>
      </c>
      <c r="H208">
        <v>32</v>
      </c>
      <c r="I208" t="s">
        <v>413</v>
      </c>
      <c r="K208" s="92">
        <v>1028</v>
      </c>
      <c r="L208" s="92">
        <v>57.825000000000003</v>
      </c>
      <c r="O208" s="66"/>
      <c r="S208">
        <v>2023</v>
      </c>
      <c r="U208" t="s">
        <v>99</v>
      </c>
      <c r="V208" t="s">
        <v>796</v>
      </c>
      <c r="W208" s="64" t="s">
        <v>72</v>
      </c>
    </row>
    <row r="209" spans="1:23" x14ac:dyDescent="0.2">
      <c r="A209" t="s">
        <v>400</v>
      </c>
      <c r="B209" t="s">
        <v>402</v>
      </c>
      <c r="C209" t="s">
        <v>460</v>
      </c>
      <c r="D209" t="s">
        <v>797</v>
      </c>
      <c r="E209" t="s">
        <v>731</v>
      </c>
      <c r="F209">
        <v>1.75</v>
      </c>
      <c r="G209">
        <v>81</v>
      </c>
      <c r="H209">
        <v>37.5</v>
      </c>
      <c r="I209" t="s">
        <v>413</v>
      </c>
      <c r="K209" s="92">
        <v>898</v>
      </c>
      <c r="L209" s="92">
        <v>42.571851851851847</v>
      </c>
      <c r="O209" s="66"/>
      <c r="S209">
        <v>2023</v>
      </c>
      <c r="U209" t="s">
        <v>99</v>
      </c>
      <c r="V209" t="s">
        <v>798</v>
      </c>
      <c r="W209" s="64" t="s">
        <v>72</v>
      </c>
    </row>
    <row r="210" spans="1:23" x14ac:dyDescent="0.2">
      <c r="A210" t="s">
        <v>400</v>
      </c>
      <c r="B210" t="s">
        <v>402</v>
      </c>
      <c r="C210" t="s">
        <v>799</v>
      </c>
      <c r="D210" t="s">
        <v>800</v>
      </c>
      <c r="E210" t="s">
        <v>731</v>
      </c>
      <c r="F210">
        <v>1.75</v>
      </c>
      <c r="G210">
        <v>82.375</v>
      </c>
      <c r="H210">
        <v>33.375</v>
      </c>
      <c r="I210" t="s">
        <v>413</v>
      </c>
      <c r="K210" s="92">
        <v>588</v>
      </c>
      <c r="L210" s="92">
        <v>30.798042659119201</v>
      </c>
      <c r="O210" s="66"/>
      <c r="S210">
        <v>2023</v>
      </c>
      <c r="U210" t="s">
        <v>99</v>
      </c>
      <c r="V210" t="s">
        <v>801</v>
      </c>
      <c r="W210" s="64" t="s">
        <v>72</v>
      </c>
    </row>
    <row r="211" spans="1:23" x14ac:dyDescent="0.2">
      <c r="A211" t="s">
        <v>400</v>
      </c>
      <c r="B211" t="s">
        <v>402</v>
      </c>
      <c r="C211" t="s">
        <v>465</v>
      </c>
      <c r="D211" t="s">
        <v>802</v>
      </c>
      <c r="E211" t="s">
        <v>731</v>
      </c>
      <c r="F211">
        <v>1.75</v>
      </c>
      <c r="G211">
        <v>81.75</v>
      </c>
      <c r="H211">
        <v>37.438000000000002</v>
      </c>
      <c r="I211" t="s">
        <v>413</v>
      </c>
      <c r="K211" s="92">
        <v>1098</v>
      </c>
      <c r="L211" s="92">
        <v>51.66119298892211</v>
      </c>
      <c r="O211" s="66"/>
      <c r="S211">
        <v>2023</v>
      </c>
      <c r="U211" t="s">
        <v>99</v>
      </c>
      <c r="V211" t="s">
        <v>803</v>
      </c>
      <c r="W211" s="64" t="s">
        <v>72</v>
      </c>
    </row>
    <row r="212" spans="1:23" x14ac:dyDescent="0.2">
      <c r="A212" t="s">
        <v>400</v>
      </c>
      <c r="B212" t="s">
        <v>402</v>
      </c>
      <c r="C212" t="s">
        <v>465</v>
      </c>
      <c r="D212" t="s">
        <v>804</v>
      </c>
      <c r="E212" t="s">
        <v>731</v>
      </c>
      <c r="F212">
        <v>1.75</v>
      </c>
      <c r="G212">
        <v>81.75</v>
      </c>
      <c r="H212">
        <v>37.438000000000002</v>
      </c>
      <c r="I212" t="s">
        <v>413</v>
      </c>
      <c r="K212" s="92">
        <v>410.91</v>
      </c>
      <c r="L212" s="92">
        <v>19.333425146701259</v>
      </c>
      <c r="O212" s="66"/>
      <c r="S212">
        <v>2023</v>
      </c>
      <c r="U212" t="s">
        <v>99</v>
      </c>
      <c r="V212" t="s">
        <v>805</v>
      </c>
      <c r="W212" s="64" t="s">
        <v>72</v>
      </c>
    </row>
    <row r="213" spans="1:23" x14ac:dyDescent="0.2">
      <c r="A213" t="s">
        <v>400</v>
      </c>
      <c r="B213" t="s">
        <v>402</v>
      </c>
      <c r="C213" t="s">
        <v>465</v>
      </c>
      <c r="D213" t="s">
        <v>806</v>
      </c>
      <c r="E213" t="s">
        <v>731</v>
      </c>
      <c r="F213">
        <v>1.75</v>
      </c>
      <c r="G213">
        <v>81.75</v>
      </c>
      <c r="H213">
        <v>33.438000000000002</v>
      </c>
      <c r="I213" t="s">
        <v>416</v>
      </c>
      <c r="K213" s="92">
        <v>668</v>
      </c>
      <c r="L213" s="92">
        <v>35.189322042547857</v>
      </c>
      <c r="O213" s="66"/>
      <c r="S213">
        <v>2023</v>
      </c>
      <c r="U213" t="s">
        <v>99</v>
      </c>
      <c r="V213" t="s">
        <v>807</v>
      </c>
      <c r="W213" s="64" t="s">
        <v>72</v>
      </c>
    </row>
    <row r="214" spans="1:23" x14ac:dyDescent="0.2">
      <c r="A214" t="s">
        <v>400</v>
      </c>
      <c r="B214" t="s">
        <v>402</v>
      </c>
      <c r="C214" t="s">
        <v>465</v>
      </c>
      <c r="D214" t="s">
        <v>808</v>
      </c>
      <c r="E214" t="s">
        <v>731</v>
      </c>
      <c r="F214">
        <v>1.75</v>
      </c>
      <c r="G214">
        <v>81.75</v>
      </c>
      <c r="H214">
        <v>33.438000000000002</v>
      </c>
      <c r="I214" t="s">
        <v>416</v>
      </c>
      <c r="K214" s="92">
        <v>688</v>
      </c>
      <c r="L214" s="92">
        <v>36.242894558791811</v>
      </c>
      <c r="O214" s="66"/>
      <c r="S214">
        <v>2023</v>
      </c>
      <c r="U214" t="s">
        <v>99</v>
      </c>
      <c r="V214" t="s">
        <v>809</v>
      </c>
      <c r="W214" s="64" t="s">
        <v>72</v>
      </c>
    </row>
    <row r="215" spans="1:23" x14ac:dyDescent="0.2">
      <c r="A215" t="s">
        <v>400</v>
      </c>
      <c r="B215" t="s">
        <v>402</v>
      </c>
      <c r="C215" t="s">
        <v>477</v>
      </c>
      <c r="D215" t="s">
        <v>4735</v>
      </c>
      <c r="E215" t="s">
        <v>731</v>
      </c>
      <c r="F215">
        <v>1.75</v>
      </c>
      <c r="G215">
        <v>81.5</v>
      </c>
      <c r="H215">
        <v>37.5</v>
      </c>
      <c r="I215" t="s">
        <v>416</v>
      </c>
      <c r="K215" s="92">
        <v>566</v>
      </c>
      <c r="L215" s="92">
        <v>26.667975460122701</v>
      </c>
      <c r="O215" s="66"/>
      <c r="S215">
        <v>2023</v>
      </c>
      <c r="U215" t="s">
        <v>99</v>
      </c>
      <c r="V215" t="s">
        <v>810</v>
      </c>
      <c r="W215" s="64" t="s">
        <v>72</v>
      </c>
    </row>
    <row r="216" spans="1:23" x14ac:dyDescent="0.2">
      <c r="A216" t="s">
        <v>400</v>
      </c>
      <c r="B216" t="s">
        <v>402</v>
      </c>
      <c r="C216" t="s">
        <v>799</v>
      </c>
      <c r="D216" t="s">
        <v>811</v>
      </c>
      <c r="E216" t="s">
        <v>731</v>
      </c>
      <c r="F216">
        <v>1.75</v>
      </c>
      <c r="G216">
        <v>82.375</v>
      </c>
      <c r="H216">
        <v>37.375</v>
      </c>
      <c r="I216" t="s">
        <v>416</v>
      </c>
      <c r="K216" s="92">
        <v>648</v>
      </c>
      <c r="L216" s="92">
        <v>30.308250567140849</v>
      </c>
      <c r="O216" s="66"/>
      <c r="S216">
        <v>2023</v>
      </c>
      <c r="U216" t="s">
        <v>99</v>
      </c>
      <c r="V216" t="s">
        <v>812</v>
      </c>
      <c r="W216" s="64" t="s">
        <v>72</v>
      </c>
    </row>
    <row r="217" spans="1:23" x14ac:dyDescent="0.2">
      <c r="A217" t="s">
        <v>400</v>
      </c>
      <c r="B217" t="s">
        <v>402</v>
      </c>
      <c r="C217" t="s">
        <v>465</v>
      </c>
      <c r="D217" t="s">
        <v>813</v>
      </c>
      <c r="E217" t="s">
        <v>731</v>
      </c>
      <c r="F217">
        <v>1.75</v>
      </c>
      <c r="G217">
        <v>81.75</v>
      </c>
      <c r="H217">
        <v>64.563000000000002</v>
      </c>
      <c r="I217" t="s">
        <v>416</v>
      </c>
      <c r="K217" s="92">
        <v>2758</v>
      </c>
      <c r="L217" s="92">
        <v>75.246324371032514</v>
      </c>
      <c r="O217" s="66"/>
      <c r="S217">
        <v>2023</v>
      </c>
      <c r="U217" t="s">
        <v>99</v>
      </c>
      <c r="V217" t="s">
        <v>814</v>
      </c>
      <c r="W217" s="64" t="s">
        <v>72</v>
      </c>
    </row>
    <row r="218" spans="1:23" x14ac:dyDescent="0.2">
      <c r="A218" t="s">
        <v>400</v>
      </c>
      <c r="B218" t="s">
        <v>402</v>
      </c>
      <c r="C218" t="s">
        <v>465</v>
      </c>
      <c r="D218" t="s">
        <v>815</v>
      </c>
      <c r="E218" t="s">
        <v>731</v>
      </c>
      <c r="F218">
        <v>1.375</v>
      </c>
      <c r="G218">
        <v>80</v>
      </c>
      <c r="H218">
        <v>36</v>
      </c>
      <c r="I218" t="s">
        <v>416</v>
      </c>
      <c r="K218" s="92">
        <v>1628</v>
      </c>
      <c r="L218" s="92">
        <v>81.400000000000006</v>
      </c>
      <c r="O218" s="66"/>
      <c r="S218">
        <v>2023</v>
      </c>
      <c r="U218" t="s">
        <v>99</v>
      </c>
      <c r="V218" t="s">
        <v>816</v>
      </c>
      <c r="W218" s="64" t="s">
        <v>72</v>
      </c>
    </row>
    <row r="219" spans="1:23" x14ac:dyDescent="0.2">
      <c r="A219" t="s">
        <v>400</v>
      </c>
      <c r="B219" t="s">
        <v>402</v>
      </c>
      <c r="C219" t="s">
        <v>465</v>
      </c>
      <c r="D219" t="s">
        <v>817</v>
      </c>
      <c r="E219" t="s">
        <v>731</v>
      </c>
      <c r="F219">
        <v>1.375</v>
      </c>
      <c r="G219">
        <v>80</v>
      </c>
      <c r="H219">
        <v>36</v>
      </c>
      <c r="I219" t="s">
        <v>416</v>
      </c>
      <c r="K219" s="92">
        <v>1038</v>
      </c>
      <c r="L219" s="92">
        <v>51.9</v>
      </c>
      <c r="O219" s="66"/>
      <c r="S219">
        <v>2023</v>
      </c>
      <c r="U219" t="s">
        <v>99</v>
      </c>
      <c r="V219" t="s">
        <v>818</v>
      </c>
      <c r="W219" s="64" t="s">
        <v>72</v>
      </c>
    </row>
    <row r="220" spans="1:23" x14ac:dyDescent="0.2">
      <c r="A220" t="s">
        <v>400</v>
      </c>
      <c r="B220" t="s">
        <v>402</v>
      </c>
      <c r="C220" t="s">
        <v>403</v>
      </c>
      <c r="D220" t="s">
        <v>819</v>
      </c>
      <c r="E220" t="s">
        <v>731</v>
      </c>
      <c r="F220">
        <v>1.75</v>
      </c>
      <c r="G220">
        <v>81.5</v>
      </c>
      <c r="H220">
        <v>64.5</v>
      </c>
      <c r="I220" t="s">
        <v>416</v>
      </c>
      <c r="K220" s="92">
        <v>1458</v>
      </c>
      <c r="L220" s="92">
        <v>39.939506348979883</v>
      </c>
      <c r="O220" s="66"/>
      <c r="S220">
        <v>2023</v>
      </c>
      <c r="U220" t="s">
        <v>99</v>
      </c>
      <c r="V220" t="s">
        <v>820</v>
      </c>
      <c r="W220" s="64" t="s">
        <v>72</v>
      </c>
    </row>
    <row r="221" spans="1:23" x14ac:dyDescent="0.2">
      <c r="A221" t="s">
        <v>400</v>
      </c>
      <c r="B221" t="s">
        <v>402</v>
      </c>
      <c r="C221" t="s">
        <v>403</v>
      </c>
      <c r="D221" t="s">
        <v>821</v>
      </c>
      <c r="E221" t="s">
        <v>731</v>
      </c>
      <c r="F221">
        <v>1.75</v>
      </c>
      <c r="G221">
        <v>81.5</v>
      </c>
      <c r="H221">
        <v>64.5</v>
      </c>
      <c r="I221" t="s">
        <v>416</v>
      </c>
      <c r="K221" s="92">
        <v>1648</v>
      </c>
      <c r="L221" s="92">
        <v>45.144243115993717</v>
      </c>
      <c r="O221" s="66"/>
      <c r="S221">
        <v>2023</v>
      </c>
      <c r="U221" t="s">
        <v>99</v>
      </c>
      <c r="V221" t="s">
        <v>822</v>
      </c>
      <c r="W221" s="64" t="s">
        <v>72</v>
      </c>
    </row>
    <row r="222" spans="1:23" x14ac:dyDescent="0.2">
      <c r="A222" t="s">
        <v>400</v>
      </c>
      <c r="B222" t="s">
        <v>402</v>
      </c>
      <c r="C222" t="s">
        <v>403</v>
      </c>
      <c r="D222" t="s">
        <v>823</v>
      </c>
      <c r="E222" t="s">
        <v>731</v>
      </c>
      <c r="F222">
        <v>1.75</v>
      </c>
      <c r="G222">
        <v>81.5</v>
      </c>
      <c r="H222">
        <v>60.5</v>
      </c>
      <c r="I222" t="s">
        <v>416</v>
      </c>
      <c r="K222" s="92">
        <v>1488</v>
      </c>
      <c r="L222" s="92">
        <v>43.456269330223599</v>
      </c>
      <c r="O222" s="66"/>
      <c r="S222">
        <v>2023</v>
      </c>
      <c r="U222" t="s">
        <v>99</v>
      </c>
      <c r="V222" t="s">
        <v>824</v>
      </c>
      <c r="W222" s="64" t="s">
        <v>72</v>
      </c>
    </row>
    <row r="223" spans="1:23" x14ac:dyDescent="0.2">
      <c r="A223" t="s">
        <v>400</v>
      </c>
      <c r="B223" t="s">
        <v>402</v>
      </c>
      <c r="C223" t="s">
        <v>465</v>
      </c>
      <c r="D223" t="s">
        <v>825</v>
      </c>
      <c r="E223" t="s">
        <v>731</v>
      </c>
      <c r="F223">
        <v>1.75</v>
      </c>
      <c r="G223">
        <v>81.75</v>
      </c>
      <c r="H223">
        <v>37.438000000000002</v>
      </c>
      <c r="I223" t="s">
        <v>416</v>
      </c>
      <c r="K223" s="92">
        <v>948</v>
      </c>
      <c r="L223" s="92">
        <v>44.603652963113078</v>
      </c>
      <c r="O223" s="66"/>
      <c r="S223">
        <v>2023</v>
      </c>
      <c r="U223" t="s">
        <v>99</v>
      </c>
      <c r="V223" t="s">
        <v>826</v>
      </c>
      <c r="W223" s="64" t="s">
        <v>72</v>
      </c>
    </row>
    <row r="224" spans="1:23" x14ac:dyDescent="0.2">
      <c r="A224" t="s">
        <v>400</v>
      </c>
      <c r="B224" t="s">
        <v>402</v>
      </c>
      <c r="C224" t="s">
        <v>465</v>
      </c>
      <c r="D224" t="s">
        <v>827</v>
      </c>
      <c r="E224" t="s">
        <v>731</v>
      </c>
      <c r="F224">
        <v>1.75</v>
      </c>
      <c r="G224">
        <v>81.75</v>
      </c>
      <c r="H224">
        <v>37.438000000000002</v>
      </c>
      <c r="I224" t="s">
        <v>416</v>
      </c>
      <c r="K224" s="92">
        <v>678</v>
      </c>
      <c r="L224" s="92">
        <v>31.900080916656819</v>
      </c>
      <c r="O224" s="66"/>
      <c r="S224">
        <v>2023</v>
      </c>
      <c r="U224" t="s">
        <v>99</v>
      </c>
      <c r="V224" t="s">
        <v>828</v>
      </c>
      <c r="W224" s="64" t="s">
        <v>72</v>
      </c>
    </row>
    <row r="225" spans="1:23" x14ac:dyDescent="0.2">
      <c r="A225" t="s">
        <v>400</v>
      </c>
      <c r="B225" t="s">
        <v>402</v>
      </c>
      <c r="C225" t="s">
        <v>465</v>
      </c>
      <c r="D225" t="s">
        <v>829</v>
      </c>
      <c r="E225" t="s">
        <v>731</v>
      </c>
      <c r="F225">
        <v>1.75</v>
      </c>
      <c r="G225">
        <v>81.75</v>
      </c>
      <c r="H225">
        <v>37.438000000000002</v>
      </c>
      <c r="I225" t="s">
        <v>416</v>
      </c>
      <c r="K225" s="92">
        <v>678</v>
      </c>
      <c r="L225" s="92">
        <v>31.900080916656819</v>
      </c>
      <c r="O225" s="66"/>
      <c r="S225">
        <v>2023</v>
      </c>
      <c r="U225" t="s">
        <v>99</v>
      </c>
      <c r="V225" t="s">
        <v>830</v>
      </c>
      <c r="W225" s="64" t="s">
        <v>72</v>
      </c>
    </row>
    <row r="226" spans="1:23" x14ac:dyDescent="0.2">
      <c r="A226" t="s">
        <v>400</v>
      </c>
      <c r="B226" t="s">
        <v>402</v>
      </c>
      <c r="C226" t="s">
        <v>477</v>
      </c>
      <c r="D226" t="s">
        <v>4736</v>
      </c>
      <c r="E226" t="s">
        <v>731</v>
      </c>
      <c r="F226">
        <v>1.75</v>
      </c>
      <c r="G226">
        <v>81.5</v>
      </c>
      <c r="H226">
        <v>37.5</v>
      </c>
      <c r="I226" t="s">
        <v>419</v>
      </c>
      <c r="K226" s="92">
        <v>414</v>
      </c>
      <c r="L226" s="92">
        <v>19.506257668711658</v>
      </c>
      <c r="O226" s="66"/>
      <c r="S226">
        <v>2023</v>
      </c>
      <c r="U226" t="s">
        <v>99</v>
      </c>
      <c r="V226" t="s">
        <v>831</v>
      </c>
      <c r="W226" s="64" t="s">
        <v>72</v>
      </c>
    </row>
    <row r="227" spans="1:23" x14ac:dyDescent="0.2">
      <c r="A227" t="s">
        <v>400</v>
      </c>
      <c r="B227" t="s">
        <v>402</v>
      </c>
      <c r="C227" t="s">
        <v>477</v>
      </c>
      <c r="D227" t="s">
        <v>4737</v>
      </c>
      <c r="E227" t="s">
        <v>731</v>
      </c>
      <c r="F227">
        <v>1.75</v>
      </c>
      <c r="G227">
        <v>81.5</v>
      </c>
      <c r="H227">
        <v>37.5</v>
      </c>
      <c r="I227" t="s">
        <v>419</v>
      </c>
      <c r="K227" s="92">
        <v>414</v>
      </c>
      <c r="L227" s="92">
        <v>19.506257668711658</v>
      </c>
      <c r="O227" s="66"/>
      <c r="S227">
        <v>2023</v>
      </c>
      <c r="U227" t="s">
        <v>99</v>
      </c>
      <c r="V227" t="s">
        <v>832</v>
      </c>
      <c r="W227" s="64" t="s">
        <v>72</v>
      </c>
    </row>
    <row r="228" spans="1:23" x14ac:dyDescent="0.2">
      <c r="A228" t="s">
        <v>400</v>
      </c>
      <c r="B228" t="s">
        <v>402</v>
      </c>
      <c r="C228" t="s">
        <v>460</v>
      </c>
      <c r="D228" t="s">
        <v>833</v>
      </c>
      <c r="E228" t="s">
        <v>731</v>
      </c>
      <c r="F228">
        <v>1.75</v>
      </c>
      <c r="G228">
        <v>81</v>
      </c>
      <c r="H228">
        <v>37.5</v>
      </c>
      <c r="I228" t="s">
        <v>419</v>
      </c>
      <c r="K228" s="92">
        <v>1009.8</v>
      </c>
      <c r="L228" s="92">
        <v>47.872</v>
      </c>
      <c r="O228" s="66"/>
      <c r="S228">
        <v>2023</v>
      </c>
      <c r="U228" t="s">
        <v>99</v>
      </c>
      <c r="V228" t="s">
        <v>834</v>
      </c>
      <c r="W228" s="64" t="s">
        <v>72</v>
      </c>
    </row>
    <row r="229" spans="1:23" x14ac:dyDescent="0.2">
      <c r="A229" t="s">
        <v>400</v>
      </c>
      <c r="B229" t="s">
        <v>402</v>
      </c>
      <c r="C229" t="s">
        <v>460</v>
      </c>
      <c r="D229" t="s">
        <v>835</v>
      </c>
      <c r="E229" t="s">
        <v>731</v>
      </c>
      <c r="F229">
        <v>1.75</v>
      </c>
      <c r="G229">
        <v>81.75</v>
      </c>
      <c r="H229">
        <v>37.5</v>
      </c>
      <c r="I229" t="s">
        <v>419</v>
      </c>
      <c r="K229" s="92">
        <v>916.3</v>
      </c>
      <c r="L229" s="92">
        <v>43.04088073394496</v>
      </c>
      <c r="O229" s="66"/>
      <c r="S229">
        <v>2023</v>
      </c>
      <c r="U229" t="s">
        <v>99</v>
      </c>
      <c r="V229" t="s">
        <v>836</v>
      </c>
      <c r="W229" s="64" t="s">
        <v>72</v>
      </c>
    </row>
    <row r="230" spans="1:23" x14ac:dyDescent="0.2">
      <c r="A230" t="s">
        <v>400</v>
      </c>
      <c r="B230" t="s">
        <v>402</v>
      </c>
      <c r="C230" t="s">
        <v>460</v>
      </c>
      <c r="D230" t="s">
        <v>837</v>
      </c>
      <c r="E230" t="s">
        <v>731</v>
      </c>
      <c r="F230">
        <v>1.75</v>
      </c>
      <c r="G230">
        <v>81</v>
      </c>
      <c r="H230">
        <v>33.5</v>
      </c>
      <c r="I230" t="s">
        <v>419</v>
      </c>
      <c r="K230" s="92">
        <v>839.8</v>
      </c>
      <c r="L230" s="92">
        <v>44.566500829187397</v>
      </c>
      <c r="O230" s="66"/>
      <c r="S230">
        <v>2023</v>
      </c>
      <c r="U230" t="s">
        <v>99</v>
      </c>
      <c r="V230" t="s">
        <v>838</v>
      </c>
      <c r="W230" s="64" t="s">
        <v>72</v>
      </c>
    </row>
    <row r="231" spans="1:23" x14ac:dyDescent="0.2">
      <c r="A231" t="s">
        <v>400</v>
      </c>
      <c r="B231" t="s">
        <v>402</v>
      </c>
      <c r="C231" t="s">
        <v>460</v>
      </c>
      <c r="D231" t="s">
        <v>839</v>
      </c>
      <c r="E231" t="s">
        <v>731</v>
      </c>
      <c r="F231">
        <v>1.75</v>
      </c>
      <c r="G231">
        <v>81.75</v>
      </c>
      <c r="H231">
        <v>31.5</v>
      </c>
      <c r="I231" t="s">
        <v>419</v>
      </c>
      <c r="K231" s="92">
        <v>786.73</v>
      </c>
      <c r="L231" s="92">
        <v>43.993639143730888</v>
      </c>
      <c r="O231" s="66"/>
      <c r="S231">
        <v>2023</v>
      </c>
      <c r="U231" t="s">
        <v>99</v>
      </c>
      <c r="V231" t="s">
        <v>840</v>
      </c>
      <c r="W231" s="64" t="s">
        <v>72</v>
      </c>
    </row>
    <row r="232" spans="1:23" x14ac:dyDescent="0.2">
      <c r="A232" t="s">
        <v>400</v>
      </c>
      <c r="B232" t="s">
        <v>402</v>
      </c>
      <c r="C232" t="s">
        <v>477</v>
      </c>
      <c r="D232" t="s">
        <v>4738</v>
      </c>
      <c r="E232" t="s">
        <v>731</v>
      </c>
      <c r="F232">
        <v>1.75</v>
      </c>
      <c r="G232">
        <v>81.5</v>
      </c>
      <c r="H232">
        <v>33.5</v>
      </c>
      <c r="I232" t="s">
        <v>419</v>
      </c>
      <c r="K232" s="92">
        <v>998</v>
      </c>
      <c r="L232" s="92">
        <v>52.636938009339801</v>
      </c>
      <c r="O232" s="66"/>
      <c r="S232">
        <v>2023</v>
      </c>
      <c r="U232" t="s">
        <v>99</v>
      </c>
      <c r="V232" t="s">
        <v>841</v>
      </c>
      <c r="W232" s="64" t="s">
        <v>72</v>
      </c>
    </row>
    <row r="233" spans="1:23" x14ac:dyDescent="0.2">
      <c r="A233" t="s">
        <v>400</v>
      </c>
      <c r="B233" t="s">
        <v>402</v>
      </c>
      <c r="C233" t="s">
        <v>477</v>
      </c>
      <c r="D233" t="s">
        <v>4739</v>
      </c>
      <c r="E233" t="s">
        <v>731</v>
      </c>
      <c r="F233">
        <v>1.75</v>
      </c>
      <c r="G233">
        <v>81.5</v>
      </c>
      <c r="H233">
        <v>33.5</v>
      </c>
      <c r="I233" t="s">
        <v>419</v>
      </c>
      <c r="K233" s="92">
        <v>627</v>
      </c>
      <c r="L233" s="92">
        <v>33.069499130116291</v>
      </c>
      <c r="O233" s="66"/>
      <c r="S233">
        <v>2023</v>
      </c>
      <c r="U233" t="s">
        <v>99</v>
      </c>
      <c r="V233" t="s">
        <v>842</v>
      </c>
      <c r="W233" s="64" t="s">
        <v>72</v>
      </c>
    </row>
    <row r="234" spans="1:23" x14ac:dyDescent="0.2">
      <c r="A234" t="s">
        <v>400</v>
      </c>
      <c r="B234" t="s">
        <v>402</v>
      </c>
      <c r="C234" t="s">
        <v>477</v>
      </c>
      <c r="D234" t="s">
        <v>4740</v>
      </c>
      <c r="E234" t="s">
        <v>731</v>
      </c>
      <c r="F234">
        <v>1.75</v>
      </c>
      <c r="G234">
        <v>81.5</v>
      </c>
      <c r="H234">
        <v>33.5</v>
      </c>
      <c r="I234" t="s">
        <v>419</v>
      </c>
      <c r="K234" s="92">
        <v>1038</v>
      </c>
      <c r="L234" s="92">
        <v>54.746634923541812</v>
      </c>
      <c r="O234" s="66"/>
      <c r="S234">
        <v>2023</v>
      </c>
      <c r="U234" t="s">
        <v>99</v>
      </c>
      <c r="V234" t="s">
        <v>843</v>
      </c>
      <c r="W234" s="64" t="s">
        <v>72</v>
      </c>
    </row>
    <row r="235" spans="1:23" x14ac:dyDescent="0.2">
      <c r="A235" t="s">
        <v>400</v>
      </c>
      <c r="B235" t="s">
        <v>402</v>
      </c>
      <c r="C235" t="s">
        <v>477</v>
      </c>
      <c r="D235" t="s">
        <v>4741</v>
      </c>
      <c r="E235" t="s">
        <v>731</v>
      </c>
      <c r="F235">
        <v>1.75</v>
      </c>
      <c r="G235">
        <v>81.5</v>
      </c>
      <c r="H235">
        <v>33.5</v>
      </c>
      <c r="I235" t="s">
        <v>419</v>
      </c>
      <c r="K235" s="92">
        <v>868</v>
      </c>
      <c r="L235" s="92">
        <v>45.780423038183322</v>
      </c>
      <c r="O235" s="66"/>
      <c r="S235">
        <v>2023</v>
      </c>
      <c r="U235" t="s">
        <v>99</v>
      </c>
      <c r="V235" t="s">
        <v>844</v>
      </c>
      <c r="W235" s="64" t="s">
        <v>72</v>
      </c>
    </row>
    <row r="236" spans="1:23" x14ac:dyDescent="0.2">
      <c r="A236" t="s">
        <v>400</v>
      </c>
      <c r="B236" t="s">
        <v>402</v>
      </c>
      <c r="C236" t="s">
        <v>460</v>
      </c>
      <c r="D236" t="s">
        <v>845</v>
      </c>
      <c r="E236" t="s">
        <v>731</v>
      </c>
      <c r="F236">
        <v>1.75</v>
      </c>
      <c r="G236">
        <v>81.75</v>
      </c>
      <c r="H236">
        <v>68.5</v>
      </c>
      <c r="I236" t="s">
        <v>419</v>
      </c>
      <c r="K236" s="92">
        <v>2650.3</v>
      </c>
      <c r="L236" s="92">
        <v>68.152092680640195</v>
      </c>
      <c r="O236" s="66"/>
      <c r="S236">
        <v>2023</v>
      </c>
      <c r="U236" t="s">
        <v>99</v>
      </c>
      <c r="V236" t="s">
        <v>846</v>
      </c>
      <c r="W236" s="64" t="s">
        <v>72</v>
      </c>
    </row>
    <row r="237" spans="1:23" x14ac:dyDescent="0.2">
      <c r="A237" t="s">
        <v>400</v>
      </c>
      <c r="B237" t="s">
        <v>402</v>
      </c>
      <c r="C237" t="s">
        <v>460</v>
      </c>
      <c r="D237" t="s">
        <v>847</v>
      </c>
      <c r="E237" t="s">
        <v>731</v>
      </c>
      <c r="F237">
        <v>1.75</v>
      </c>
      <c r="G237">
        <v>81.75</v>
      </c>
      <c r="H237">
        <v>53</v>
      </c>
      <c r="I237" t="s">
        <v>419</v>
      </c>
      <c r="K237" s="92">
        <v>2663.25</v>
      </c>
      <c r="L237" s="92">
        <v>88.513761467889907</v>
      </c>
      <c r="O237" s="66"/>
      <c r="S237">
        <v>2023</v>
      </c>
      <c r="U237" t="s">
        <v>99</v>
      </c>
      <c r="V237" t="s">
        <v>848</v>
      </c>
      <c r="W237" s="64" t="s">
        <v>72</v>
      </c>
    </row>
    <row r="238" spans="1:23" x14ac:dyDescent="0.2">
      <c r="A238" t="s">
        <v>400</v>
      </c>
      <c r="B238" t="s">
        <v>402</v>
      </c>
      <c r="C238" t="s">
        <v>460</v>
      </c>
      <c r="D238" t="s">
        <v>849</v>
      </c>
      <c r="E238" t="s">
        <v>731</v>
      </c>
      <c r="F238">
        <v>1.75</v>
      </c>
      <c r="G238">
        <v>97.75</v>
      </c>
      <c r="H238">
        <v>37.5</v>
      </c>
      <c r="I238" t="s">
        <v>419</v>
      </c>
      <c r="K238" s="92">
        <v>1553.8</v>
      </c>
      <c r="L238" s="92">
        <v>61.039304347826082</v>
      </c>
      <c r="O238" s="66"/>
      <c r="S238">
        <v>2023</v>
      </c>
      <c r="U238" t="s">
        <v>99</v>
      </c>
      <c r="V238" t="s">
        <v>850</v>
      </c>
      <c r="W238" s="64" t="s">
        <v>72</v>
      </c>
    </row>
    <row r="239" spans="1:23" x14ac:dyDescent="0.2">
      <c r="A239" t="s">
        <v>400</v>
      </c>
      <c r="B239" t="s">
        <v>402</v>
      </c>
      <c r="C239" t="s">
        <v>460</v>
      </c>
      <c r="D239" t="s">
        <v>851</v>
      </c>
      <c r="E239" t="s">
        <v>731</v>
      </c>
      <c r="F239">
        <v>1.75</v>
      </c>
      <c r="G239">
        <v>81.75</v>
      </c>
      <c r="H239">
        <v>37.5</v>
      </c>
      <c r="I239" t="s">
        <v>419</v>
      </c>
      <c r="K239" s="92">
        <v>1273.3</v>
      </c>
      <c r="L239" s="92">
        <v>59.81005504587155</v>
      </c>
      <c r="O239" s="66"/>
      <c r="S239">
        <v>2023</v>
      </c>
      <c r="U239" t="s">
        <v>99</v>
      </c>
      <c r="V239" t="s">
        <v>852</v>
      </c>
      <c r="W239" s="64" t="s">
        <v>72</v>
      </c>
    </row>
    <row r="240" spans="1:23" x14ac:dyDescent="0.2">
      <c r="A240" t="s">
        <v>400</v>
      </c>
      <c r="B240" t="s">
        <v>402</v>
      </c>
      <c r="C240" t="s">
        <v>460</v>
      </c>
      <c r="D240" t="s">
        <v>853</v>
      </c>
      <c r="E240" t="s">
        <v>731</v>
      </c>
      <c r="F240">
        <v>1.75</v>
      </c>
      <c r="G240">
        <v>81.75</v>
      </c>
      <c r="H240">
        <v>37.5</v>
      </c>
      <c r="I240" t="s">
        <v>419</v>
      </c>
      <c r="K240" s="92">
        <v>1596.3</v>
      </c>
      <c r="L240" s="92">
        <v>74.982165137614672</v>
      </c>
      <c r="O240" s="66"/>
      <c r="S240">
        <v>2023</v>
      </c>
      <c r="U240" t="s">
        <v>99</v>
      </c>
      <c r="V240" t="s">
        <v>854</v>
      </c>
      <c r="W240" s="64" t="s">
        <v>72</v>
      </c>
    </row>
    <row r="241" spans="1:23" x14ac:dyDescent="0.2">
      <c r="A241" t="s">
        <v>400</v>
      </c>
      <c r="B241" t="s">
        <v>402</v>
      </c>
      <c r="C241" t="s">
        <v>460</v>
      </c>
      <c r="D241" t="s">
        <v>855</v>
      </c>
      <c r="E241" t="s">
        <v>731</v>
      </c>
      <c r="F241">
        <v>1.75</v>
      </c>
      <c r="G241">
        <v>81.75</v>
      </c>
      <c r="H241">
        <v>37.5</v>
      </c>
      <c r="I241" t="s">
        <v>419</v>
      </c>
      <c r="K241" s="92">
        <v>1970.3</v>
      </c>
      <c r="L241" s="92">
        <v>92.549871559633033</v>
      </c>
      <c r="O241" s="66"/>
      <c r="S241">
        <v>2023</v>
      </c>
      <c r="U241" t="s">
        <v>99</v>
      </c>
      <c r="V241" t="s">
        <v>856</v>
      </c>
      <c r="W241" s="64" t="s">
        <v>72</v>
      </c>
    </row>
    <row r="242" spans="1:23" x14ac:dyDescent="0.2">
      <c r="A242" t="s">
        <v>400</v>
      </c>
      <c r="B242" t="s">
        <v>402</v>
      </c>
      <c r="C242" t="s">
        <v>460</v>
      </c>
      <c r="D242" t="s">
        <v>857</v>
      </c>
      <c r="E242" t="s">
        <v>731</v>
      </c>
      <c r="F242">
        <v>1.75</v>
      </c>
      <c r="G242">
        <v>81.75</v>
      </c>
      <c r="H242">
        <v>37.5</v>
      </c>
      <c r="I242" t="s">
        <v>419</v>
      </c>
      <c r="K242" s="92">
        <v>1545.3</v>
      </c>
      <c r="L242" s="92">
        <v>72.586568807339432</v>
      </c>
      <c r="O242" s="66"/>
      <c r="S242">
        <v>2023</v>
      </c>
      <c r="U242" t="s">
        <v>99</v>
      </c>
      <c r="V242" t="s">
        <v>858</v>
      </c>
      <c r="W242" s="64" t="s">
        <v>72</v>
      </c>
    </row>
    <row r="243" spans="1:23" x14ac:dyDescent="0.2">
      <c r="A243" t="s">
        <v>400</v>
      </c>
      <c r="B243" t="s">
        <v>402</v>
      </c>
      <c r="C243" t="s">
        <v>460</v>
      </c>
      <c r="D243" t="s">
        <v>859</v>
      </c>
      <c r="E243" t="s">
        <v>731</v>
      </c>
      <c r="F243">
        <v>1.75</v>
      </c>
      <c r="G243">
        <v>81.75</v>
      </c>
      <c r="H243">
        <v>31.5</v>
      </c>
      <c r="I243" t="s">
        <v>419</v>
      </c>
      <c r="K243" s="92">
        <v>684.73</v>
      </c>
      <c r="L243" s="92">
        <v>38.28983835736129</v>
      </c>
      <c r="O243" s="66"/>
      <c r="S243">
        <v>2023</v>
      </c>
      <c r="U243" t="s">
        <v>99</v>
      </c>
      <c r="V243" t="s">
        <v>860</v>
      </c>
      <c r="W243" s="64" t="s">
        <v>72</v>
      </c>
    </row>
    <row r="244" spans="1:23" x14ac:dyDescent="0.2">
      <c r="A244" t="s">
        <v>400</v>
      </c>
      <c r="B244" t="s">
        <v>402</v>
      </c>
      <c r="C244" t="s">
        <v>460</v>
      </c>
      <c r="D244" t="s">
        <v>861</v>
      </c>
      <c r="E244" t="s">
        <v>731</v>
      </c>
      <c r="F244">
        <v>1.75</v>
      </c>
      <c r="G244">
        <v>81.75</v>
      </c>
      <c r="H244">
        <v>68.5</v>
      </c>
      <c r="I244" t="s">
        <v>419</v>
      </c>
      <c r="K244" s="92">
        <v>3498</v>
      </c>
      <c r="L244" s="92">
        <v>89.950579254001212</v>
      </c>
      <c r="O244" s="66"/>
      <c r="S244">
        <v>2023</v>
      </c>
      <c r="U244" t="s">
        <v>99</v>
      </c>
      <c r="V244" t="s">
        <v>862</v>
      </c>
      <c r="W244" s="64" t="s">
        <v>72</v>
      </c>
    </row>
    <row r="245" spans="1:23" x14ac:dyDescent="0.2">
      <c r="A245" t="s">
        <v>400</v>
      </c>
      <c r="B245" t="s">
        <v>402</v>
      </c>
      <c r="C245" t="s">
        <v>465</v>
      </c>
      <c r="D245" t="s">
        <v>863</v>
      </c>
      <c r="E245" t="s">
        <v>731</v>
      </c>
      <c r="F245">
        <v>1.75</v>
      </c>
      <c r="G245">
        <v>81.75</v>
      </c>
      <c r="H245">
        <v>53.438000000000002</v>
      </c>
      <c r="I245" t="s">
        <v>419</v>
      </c>
      <c r="K245" s="92">
        <v>2068</v>
      </c>
      <c r="L245" s="92">
        <v>68.167139420080744</v>
      </c>
      <c r="O245" s="66"/>
      <c r="S245">
        <v>2023</v>
      </c>
      <c r="U245" t="s">
        <v>99</v>
      </c>
      <c r="V245" t="s">
        <v>864</v>
      </c>
      <c r="W245" s="64" t="s">
        <v>72</v>
      </c>
    </row>
    <row r="246" spans="1:23" x14ac:dyDescent="0.2">
      <c r="A246" t="s">
        <v>400</v>
      </c>
      <c r="B246" t="s">
        <v>402</v>
      </c>
      <c r="C246" t="s">
        <v>477</v>
      </c>
      <c r="D246" t="s">
        <v>4742</v>
      </c>
      <c r="E246" t="s">
        <v>731</v>
      </c>
      <c r="F246">
        <v>1.75</v>
      </c>
      <c r="G246">
        <v>81.5</v>
      </c>
      <c r="H246">
        <v>37.5</v>
      </c>
      <c r="K246" s="92">
        <v>254</v>
      </c>
      <c r="L246" s="92">
        <v>11.967607361963189</v>
      </c>
      <c r="O246" s="66"/>
      <c r="S246">
        <v>2023</v>
      </c>
      <c r="U246" t="s">
        <v>99</v>
      </c>
      <c r="V246" t="s">
        <v>865</v>
      </c>
      <c r="W246" s="64" t="s">
        <v>72</v>
      </c>
    </row>
    <row r="247" spans="1:23" x14ac:dyDescent="0.2">
      <c r="A247" t="s">
        <v>400</v>
      </c>
      <c r="B247" t="s">
        <v>402</v>
      </c>
      <c r="C247" t="s">
        <v>477</v>
      </c>
      <c r="D247" t="s">
        <v>4743</v>
      </c>
      <c r="E247" t="s">
        <v>731</v>
      </c>
      <c r="F247">
        <v>1.75</v>
      </c>
      <c r="G247">
        <v>81.5</v>
      </c>
      <c r="H247">
        <v>37.5</v>
      </c>
      <c r="K247" s="92">
        <v>274</v>
      </c>
      <c r="L247" s="92">
        <v>12.909938650306749</v>
      </c>
      <c r="O247" s="66"/>
      <c r="S247">
        <v>2023</v>
      </c>
      <c r="U247" t="s">
        <v>99</v>
      </c>
      <c r="V247" t="s">
        <v>866</v>
      </c>
      <c r="W247" s="64" t="s">
        <v>72</v>
      </c>
    </row>
    <row r="248" spans="1:23" x14ac:dyDescent="0.2">
      <c r="A248" t="s">
        <v>400</v>
      </c>
      <c r="B248" t="s">
        <v>402</v>
      </c>
      <c r="C248" t="s">
        <v>477</v>
      </c>
      <c r="D248" t="s">
        <v>4744</v>
      </c>
      <c r="E248" t="s">
        <v>731</v>
      </c>
      <c r="F248">
        <v>1.75</v>
      </c>
      <c r="G248">
        <v>81.5</v>
      </c>
      <c r="H248">
        <v>37.5</v>
      </c>
      <c r="K248" s="92">
        <v>349</v>
      </c>
      <c r="L248" s="92">
        <v>16.44368098159509</v>
      </c>
      <c r="O248" s="66"/>
      <c r="S248">
        <v>2023</v>
      </c>
      <c r="U248" t="s">
        <v>99</v>
      </c>
      <c r="V248" t="s">
        <v>867</v>
      </c>
      <c r="W248" s="64" t="s">
        <v>72</v>
      </c>
    </row>
    <row r="249" spans="1:23" x14ac:dyDescent="0.2">
      <c r="A249" t="s">
        <v>400</v>
      </c>
      <c r="B249" t="s">
        <v>402</v>
      </c>
      <c r="C249" t="s">
        <v>477</v>
      </c>
      <c r="D249" t="s">
        <v>4745</v>
      </c>
      <c r="E249" t="s">
        <v>731</v>
      </c>
      <c r="F249">
        <v>1.75</v>
      </c>
      <c r="G249">
        <v>81.5</v>
      </c>
      <c r="H249">
        <v>33.5</v>
      </c>
      <c r="K249" s="92">
        <v>274</v>
      </c>
      <c r="L249" s="92">
        <v>14.45142386228367</v>
      </c>
      <c r="O249" s="66"/>
      <c r="S249">
        <v>2023</v>
      </c>
      <c r="U249" t="s">
        <v>99</v>
      </c>
      <c r="V249" t="s">
        <v>868</v>
      </c>
      <c r="W249" s="64" t="s">
        <v>72</v>
      </c>
    </row>
    <row r="250" spans="1:23" x14ac:dyDescent="0.2">
      <c r="A250" t="s">
        <v>400</v>
      </c>
      <c r="B250" t="s">
        <v>402</v>
      </c>
      <c r="C250" t="s">
        <v>477</v>
      </c>
      <c r="D250" t="s">
        <v>4746</v>
      </c>
      <c r="E250" t="s">
        <v>731</v>
      </c>
      <c r="F250">
        <v>1.75</v>
      </c>
      <c r="G250">
        <v>81.5</v>
      </c>
      <c r="H250">
        <v>33.5</v>
      </c>
      <c r="K250" s="92">
        <v>274</v>
      </c>
      <c r="L250" s="92">
        <v>14.45142386228367</v>
      </c>
      <c r="O250" s="66"/>
      <c r="S250">
        <v>2023</v>
      </c>
      <c r="U250" t="s">
        <v>99</v>
      </c>
      <c r="V250" t="s">
        <v>869</v>
      </c>
      <c r="W250" s="64" t="s">
        <v>72</v>
      </c>
    </row>
    <row r="251" spans="1:23" x14ac:dyDescent="0.2">
      <c r="A251" t="s">
        <v>400</v>
      </c>
      <c r="B251" t="s">
        <v>402</v>
      </c>
      <c r="C251" t="s">
        <v>477</v>
      </c>
      <c r="D251" t="s">
        <v>4747</v>
      </c>
      <c r="E251" t="s">
        <v>731</v>
      </c>
      <c r="F251">
        <v>1.75</v>
      </c>
      <c r="G251">
        <v>81.5</v>
      </c>
      <c r="H251">
        <v>31.5</v>
      </c>
      <c r="K251" s="92">
        <v>274</v>
      </c>
      <c r="L251" s="92">
        <v>15.36897458369851</v>
      </c>
      <c r="O251" s="66"/>
      <c r="S251">
        <v>2023</v>
      </c>
      <c r="U251" t="s">
        <v>99</v>
      </c>
      <c r="V251" t="s">
        <v>870</v>
      </c>
      <c r="W251" s="64" t="s">
        <v>72</v>
      </c>
    </row>
    <row r="252" spans="1:23" x14ac:dyDescent="0.2">
      <c r="A252" t="s">
        <v>400</v>
      </c>
      <c r="B252" t="s">
        <v>402</v>
      </c>
      <c r="C252" t="s">
        <v>477</v>
      </c>
      <c r="D252" t="s">
        <v>4748</v>
      </c>
      <c r="E252" t="s">
        <v>731</v>
      </c>
      <c r="F252">
        <v>1.75</v>
      </c>
      <c r="G252">
        <v>81.5</v>
      </c>
      <c r="H252">
        <v>31.5</v>
      </c>
      <c r="K252" s="92">
        <v>274</v>
      </c>
      <c r="L252" s="92">
        <v>15.36897458369851</v>
      </c>
      <c r="O252" s="66"/>
      <c r="S252">
        <v>2023</v>
      </c>
      <c r="U252" t="s">
        <v>99</v>
      </c>
      <c r="V252" t="s">
        <v>871</v>
      </c>
      <c r="W252" s="64" t="s">
        <v>72</v>
      </c>
    </row>
    <row r="253" spans="1:23" x14ac:dyDescent="0.2">
      <c r="A253" t="s">
        <v>400</v>
      </c>
      <c r="B253" t="s">
        <v>402</v>
      </c>
      <c r="C253" t="s">
        <v>477</v>
      </c>
      <c r="D253" t="s">
        <v>4749</v>
      </c>
      <c r="E253" t="s">
        <v>731</v>
      </c>
      <c r="F253">
        <v>1.75</v>
      </c>
      <c r="G253">
        <v>81.5</v>
      </c>
      <c r="H253">
        <v>31.5</v>
      </c>
      <c r="K253" s="92">
        <v>244</v>
      </c>
      <c r="L253" s="92">
        <v>13.68624014022787</v>
      </c>
      <c r="O253" s="66"/>
      <c r="S253">
        <v>2023</v>
      </c>
      <c r="U253" t="s">
        <v>99</v>
      </c>
      <c r="V253" t="s">
        <v>872</v>
      </c>
      <c r="W253" s="64" t="s">
        <v>72</v>
      </c>
    </row>
    <row r="254" spans="1:23" x14ac:dyDescent="0.2">
      <c r="A254" t="s">
        <v>400</v>
      </c>
      <c r="B254" t="s">
        <v>402</v>
      </c>
      <c r="C254" t="s">
        <v>477</v>
      </c>
      <c r="D254" t="s">
        <v>4750</v>
      </c>
      <c r="E254" t="s">
        <v>731</v>
      </c>
      <c r="F254">
        <v>1.75</v>
      </c>
      <c r="G254">
        <v>81.5</v>
      </c>
      <c r="H254">
        <v>31.5</v>
      </c>
      <c r="K254" s="92">
        <v>244</v>
      </c>
      <c r="L254" s="92">
        <v>13.68624014022787</v>
      </c>
      <c r="O254" s="66"/>
      <c r="S254">
        <v>2023</v>
      </c>
      <c r="U254" t="s">
        <v>99</v>
      </c>
      <c r="V254" t="s">
        <v>873</v>
      </c>
      <c r="W254" s="64" t="s">
        <v>72</v>
      </c>
    </row>
    <row r="255" spans="1:23" x14ac:dyDescent="0.2">
      <c r="A255" t="s">
        <v>400</v>
      </c>
      <c r="B255" t="s">
        <v>402</v>
      </c>
      <c r="C255" t="s">
        <v>403</v>
      </c>
      <c r="D255" t="s">
        <v>874</v>
      </c>
      <c r="E255" t="s">
        <v>731</v>
      </c>
      <c r="F255">
        <v>1.75</v>
      </c>
      <c r="G255">
        <v>80.75</v>
      </c>
      <c r="H255">
        <v>25.5</v>
      </c>
      <c r="K255" s="92">
        <v>688</v>
      </c>
      <c r="L255" s="92">
        <v>48.113640502640678</v>
      </c>
      <c r="O255" s="66"/>
      <c r="S255">
        <v>2023</v>
      </c>
      <c r="U255" t="s">
        <v>99</v>
      </c>
      <c r="V255" t="s">
        <v>875</v>
      </c>
      <c r="W255" s="64" t="s">
        <v>72</v>
      </c>
    </row>
    <row r="256" spans="1:23" x14ac:dyDescent="0.2">
      <c r="A256" t="s">
        <v>400</v>
      </c>
      <c r="B256" t="s">
        <v>402</v>
      </c>
      <c r="C256" t="s">
        <v>403</v>
      </c>
      <c r="D256" t="s">
        <v>876</v>
      </c>
      <c r="E256" t="s">
        <v>731</v>
      </c>
      <c r="F256">
        <v>1.75</v>
      </c>
      <c r="G256">
        <v>80.75</v>
      </c>
      <c r="H256">
        <v>37.5</v>
      </c>
      <c r="K256" s="92">
        <v>688</v>
      </c>
      <c r="L256" s="92">
        <v>32.717275541795672</v>
      </c>
      <c r="O256" s="66"/>
      <c r="S256">
        <v>2023</v>
      </c>
      <c r="U256" t="s">
        <v>99</v>
      </c>
      <c r="V256" t="s">
        <v>877</v>
      </c>
      <c r="W256" s="64" t="s">
        <v>72</v>
      </c>
    </row>
    <row r="257" spans="1:23" x14ac:dyDescent="0.2">
      <c r="A257" t="s">
        <v>400</v>
      </c>
      <c r="B257" t="s">
        <v>402</v>
      </c>
      <c r="C257" t="s">
        <v>403</v>
      </c>
      <c r="D257" t="s">
        <v>878</v>
      </c>
      <c r="E257" t="s">
        <v>731</v>
      </c>
      <c r="F257">
        <v>1.75</v>
      </c>
      <c r="G257">
        <v>81.5</v>
      </c>
      <c r="H257">
        <v>37.5</v>
      </c>
      <c r="K257" s="92">
        <v>648</v>
      </c>
      <c r="L257" s="92">
        <v>30.531533742331291</v>
      </c>
      <c r="O257" s="66"/>
      <c r="S257">
        <v>2023</v>
      </c>
      <c r="U257" t="s">
        <v>99</v>
      </c>
      <c r="V257" t="s">
        <v>879</v>
      </c>
      <c r="W257" s="64" t="s">
        <v>72</v>
      </c>
    </row>
    <row r="258" spans="1:23" x14ac:dyDescent="0.2">
      <c r="A258" t="s">
        <v>400</v>
      </c>
      <c r="B258" t="s">
        <v>402</v>
      </c>
      <c r="C258" t="s">
        <v>460</v>
      </c>
      <c r="D258" t="s">
        <v>880</v>
      </c>
      <c r="E258" t="s">
        <v>731</v>
      </c>
      <c r="F258">
        <v>1.75</v>
      </c>
      <c r="G258">
        <v>81.75</v>
      </c>
      <c r="H258">
        <v>74</v>
      </c>
      <c r="K258" s="92">
        <v>1202.47</v>
      </c>
      <c r="L258" s="92">
        <v>28.623139102405158</v>
      </c>
      <c r="O258" s="66"/>
      <c r="S258">
        <v>2023</v>
      </c>
      <c r="U258" t="s">
        <v>99</v>
      </c>
      <c r="V258" t="s">
        <v>881</v>
      </c>
      <c r="W258" s="64" t="s">
        <v>72</v>
      </c>
    </row>
    <row r="259" spans="1:23" x14ac:dyDescent="0.2">
      <c r="A259" t="s">
        <v>400</v>
      </c>
      <c r="B259" t="s">
        <v>402</v>
      </c>
      <c r="C259" t="s">
        <v>460</v>
      </c>
      <c r="D259" t="s">
        <v>882</v>
      </c>
      <c r="E259" t="s">
        <v>731</v>
      </c>
      <c r="F259">
        <v>1.75</v>
      </c>
      <c r="G259">
        <v>97.75</v>
      </c>
      <c r="H259">
        <v>37.5</v>
      </c>
      <c r="K259" s="92">
        <v>1103.3</v>
      </c>
      <c r="L259" s="92">
        <v>43.341913043478257</v>
      </c>
      <c r="O259" s="66"/>
      <c r="S259">
        <v>2023</v>
      </c>
      <c r="U259" t="s">
        <v>99</v>
      </c>
      <c r="V259" t="s">
        <v>883</v>
      </c>
      <c r="W259" s="64" t="s">
        <v>72</v>
      </c>
    </row>
    <row r="260" spans="1:23" x14ac:dyDescent="0.2">
      <c r="A260" t="s">
        <v>400</v>
      </c>
      <c r="B260" t="s">
        <v>402</v>
      </c>
      <c r="C260" t="s">
        <v>465</v>
      </c>
      <c r="D260" t="s">
        <v>884</v>
      </c>
      <c r="E260" t="s">
        <v>731</v>
      </c>
      <c r="F260">
        <v>1.375</v>
      </c>
      <c r="G260">
        <v>80</v>
      </c>
      <c r="H260">
        <v>36</v>
      </c>
      <c r="K260" s="92">
        <v>1028</v>
      </c>
      <c r="L260" s="92">
        <v>51.4</v>
      </c>
      <c r="O260" s="66"/>
      <c r="S260">
        <v>2023</v>
      </c>
      <c r="U260" t="s">
        <v>99</v>
      </c>
      <c r="V260" t="s">
        <v>885</v>
      </c>
      <c r="W260" s="64" t="s">
        <v>72</v>
      </c>
    </row>
    <row r="261" spans="1:23" x14ac:dyDescent="0.2">
      <c r="A261" t="s">
        <v>400</v>
      </c>
      <c r="B261" t="s">
        <v>402</v>
      </c>
      <c r="C261" t="s">
        <v>403</v>
      </c>
      <c r="D261" t="s">
        <v>886</v>
      </c>
      <c r="E261" t="s">
        <v>731</v>
      </c>
      <c r="F261">
        <v>1.75</v>
      </c>
      <c r="G261">
        <v>81.5</v>
      </c>
      <c r="H261">
        <v>64.5</v>
      </c>
      <c r="K261" s="92">
        <v>2018</v>
      </c>
      <c r="L261" s="92">
        <v>55.279783135968053</v>
      </c>
      <c r="O261" s="66"/>
      <c r="S261">
        <v>2023</v>
      </c>
      <c r="U261" t="s">
        <v>99</v>
      </c>
      <c r="V261" t="s">
        <v>887</v>
      </c>
      <c r="W261" s="64" t="s">
        <v>72</v>
      </c>
    </row>
    <row r="262" spans="1:23" x14ac:dyDescent="0.2">
      <c r="A262" t="s">
        <v>400</v>
      </c>
      <c r="B262" t="s">
        <v>402</v>
      </c>
      <c r="C262" t="s">
        <v>465</v>
      </c>
      <c r="D262" t="s">
        <v>888</v>
      </c>
      <c r="E262" t="s">
        <v>731</v>
      </c>
      <c r="F262">
        <v>1.75</v>
      </c>
      <c r="G262">
        <v>81.75</v>
      </c>
      <c r="H262">
        <v>37.438000000000002</v>
      </c>
      <c r="K262" s="92">
        <v>578</v>
      </c>
      <c r="L262" s="92">
        <v>27.19505423278413</v>
      </c>
      <c r="O262" s="66"/>
      <c r="S262">
        <v>2023</v>
      </c>
      <c r="U262" t="s">
        <v>99</v>
      </c>
      <c r="V262" t="s">
        <v>889</v>
      </c>
      <c r="W262" s="64" t="s">
        <v>72</v>
      </c>
    </row>
    <row r="263" spans="1:23" x14ac:dyDescent="0.2">
      <c r="A263" t="s">
        <v>400</v>
      </c>
      <c r="B263" t="s">
        <v>402</v>
      </c>
      <c r="C263" t="s">
        <v>465</v>
      </c>
      <c r="D263" t="s">
        <v>890</v>
      </c>
      <c r="E263" t="s">
        <v>731</v>
      </c>
      <c r="F263">
        <v>1.75</v>
      </c>
      <c r="G263">
        <v>81.75</v>
      </c>
      <c r="H263">
        <v>33.438000000000002</v>
      </c>
      <c r="K263" s="92">
        <v>568</v>
      </c>
      <c r="L263" s="92">
        <v>29.92145946132813</v>
      </c>
      <c r="O263" s="66"/>
      <c r="S263">
        <v>2023</v>
      </c>
      <c r="U263" t="s">
        <v>99</v>
      </c>
      <c r="V263" t="s">
        <v>891</v>
      </c>
      <c r="W263" s="64" t="s">
        <v>72</v>
      </c>
    </row>
    <row r="264" spans="1:23" x14ac:dyDescent="0.2">
      <c r="A264" t="s">
        <v>400</v>
      </c>
      <c r="B264" t="s">
        <v>402</v>
      </c>
      <c r="C264" t="s">
        <v>465</v>
      </c>
      <c r="D264" t="s">
        <v>892</v>
      </c>
      <c r="E264" t="s">
        <v>731</v>
      </c>
      <c r="F264">
        <v>1.75</v>
      </c>
      <c r="G264">
        <v>81.75</v>
      </c>
      <c r="H264">
        <v>33.438000000000002</v>
      </c>
      <c r="K264" s="92">
        <v>578</v>
      </c>
      <c r="L264" s="92">
        <v>30.4482457194501</v>
      </c>
      <c r="O264" s="66"/>
      <c r="S264">
        <v>2023</v>
      </c>
      <c r="U264" t="s">
        <v>99</v>
      </c>
      <c r="V264" t="s">
        <v>893</v>
      </c>
      <c r="W264" s="64" t="s">
        <v>72</v>
      </c>
    </row>
    <row r="265" spans="1:23" x14ac:dyDescent="0.2">
      <c r="A265" t="s">
        <v>400</v>
      </c>
      <c r="B265" t="s">
        <v>402</v>
      </c>
      <c r="D265" t="s">
        <v>894</v>
      </c>
      <c r="E265" t="s">
        <v>731</v>
      </c>
      <c r="F265">
        <v>1.75</v>
      </c>
      <c r="G265">
        <v>81.75</v>
      </c>
      <c r="H265">
        <v>37.438000000000002</v>
      </c>
      <c r="K265" s="92">
        <v>269</v>
      </c>
      <c r="L265" s="92">
        <v>12.656521779617529</v>
      </c>
      <c r="O265" s="66"/>
      <c r="S265">
        <v>2023</v>
      </c>
      <c r="U265" t="s">
        <v>99</v>
      </c>
      <c r="V265" t="s">
        <v>895</v>
      </c>
      <c r="W265" s="64" t="s">
        <v>72</v>
      </c>
    </row>
    <row r="266" spans="1:23" x14ac:dyDescent="0.2">
      <c r="A266" t="s">
        <v>400</v>
      </c>
      <c r="B266" t="s">
        <v>402</v>
      </c>
      <c r="D266" t="s">
        <v>4751</v>
      </c>
      <c r="E266" t="s">
        <v>731</v>
      </c>
      <c r="G266">
        <v>80</v>
      </c>
      <c r="H266">
        <v>32</v>
      </c>
      <c r="K266" s="92">
        <v>349</v>
      </c>
      <c r="L266" s="92">
        <v>19.631250000000001</v>
      </c>
      <c r="O266" s="66"/>
      <c r="S266">
        <v>2023</v>
      </c>
      <c r="U266" t="s">
        <v>99</v>
      </c>
      <c r="V266" t="s">
        <v>896</v>
      </c>
      <c r="W266" s="64" t="s">
        <v>72</v>
      </c>
    </row>
    <row r="267" spans="1:23" x14ac:dyDescent="0.2">
      <c r="A267" t="s">
        <v>400</v>
      </c>
      <c r="B267" t="s">
        <v>402</v>
      </c>
      <c r="D267" t="s">
        <v>897</v>
      </c>
      <c r="E267" t="s">
        <v>731</v>
      </c>
      <c r="G267">
        <v>84</v>
      </c>
      <c r="H267">
        <v>35.75</v>
      </c>
      <c r="K267" s="92">
        <v>718</v>
      </c>
      <c r="L267" s="92">
        <v>34.429570429570433</v>
      </c>
      <c r="O267" s="66"/>
      <c r="S267">
        <v>2023</v>
      </c>
      <c r="U267" t="s">
        <v>99</v>
      </c>
      <c r="V267" t="s">
        <v>898</v>
      </c>
      <c r="W267" s="64" t="s">
        <v>72</v>
      </c>
    </row>
    <row r="268" spans="1:23" x14ac:dyDescent="0.2">
      <c r="A268" t="s">
        <v>400</v>
      </c>
      <c r="B268" t="s">
        <v>402</v>
      </c>
      <c r="D268" t="s">
        <v>899</v>
      </c>
      <c r="E268" t="s">
        <v>731</v>
      </c>
      <c r="G268">
        <v>80</v>
      </c>
      <c r="H268">
        <v>35.75</v>
      </c>
      <c r="K268" s="92">
        <v>898</v>
      </c>
      <c r="L268" s="92">
        <v>45.213986013986023</v>
      </c>
      <c r="O268" s="66"/>
      <c r="S268">
        <v>2023</v>
      </c>
      <c r="U268" t="s">
        <v>99</v>
      </c>
      <c r="V268" t="s">
        <v>900</v>
      </c>
      <c r="W268" s="64" t="s">
        <v>72</v>
      </c>
    </row>
    <row r="269" spans="1:23" x14ac:dyDescent="0.2">
      <c r="A269" t="s">
        <v>400</v>
      </c>
      <c r="B269" t="s">
        <v>402</v>
      </c>
      <c r="D269" t="s">
        <v>901</v>
      </c>
      <c r="E269" t="s">
        <v>731</v>
      </c>
      <c r="G269">
        <v>80</v>
      </c>
      <c r="H269">
        <v>35.75</v>
      </c>
      <c r="K269" s="92">
        <v>1058</v>
      </c>
      <c r="L269" s="92">
        <v>53.269930069930069</v>
      </c>
      <c r="O269" s="66"/>
      <c r="S269">
        <v>2023</v>
      </c>
      <c r="U269" t="s">
        <v>99</v>
      </c>
      <c r="V269" t="s">
        <v>902</v>
      </c>
      <c r="W269" s="64" t="s">
        <v>72</v>
      </c>
    </row>
    <row r="270" spans="1:23" x14ac:dyDescent="0.2">
      <c r="A270" t="s">
        <v>400</v>
      </c>
      <c r="B270" t="s">
        <v>402</v>
      </c>
      <c r="D270" t="s">
        <v>903</v>
      </c>
      <c r="E270" t="s">
        <v>731</v>
      </c>
      <c r="G270">
        <v>80</v>
      </c>
      <c r="H270">
        <v>35.75</v>
      </c>
      <c r="K270" s="92">
        <v>768</v>
      </c>
      <c r="L270" s="92">
        <v>38.668531468531469</v>
      </c>
      <c r="O270" s="66"/>
      <c r="S270">
        <v>2023</v>
      </c>
      <c r="U270" t="s">
        <v>99</v>
      </c>
      <c r="V270" t="s">
        <v>904</v>
      </c>
      <c r="W270" s="64" t="s">
        <v>72</v>
      </c>
    </row>
    <row r="271" spans="1:23" x14ac:dyDescent="0.2">
      <c r="A271" t="s">
        <v>400</v>
      </c>
      <c r="B271" t="s">
        <v>402</v>
      </c>
      <c r="D271" t="s">
        <v>905</v>
      </c>
      <c r="E271" t="s">
        <v>731</v>
      </c>
      <c r="G271">
        <v>80</v>
      </c>
      <c r="H271">
        <v>35.75</v>
      </c>
      <c r="K271" s="92">
        <v>998</v>
      </c>
      <c r="L271" s="92">
        <v>50.248951048951049</v>
      </c>
      <c r="O271" s="66"/>
      <c r="S271">
        <v>2023</v>
      </c>
      <c r="U271" t="s">
        <v>99</v>
      </c>
      <c r="V271" t="s">
        <v>906</v>
      </c>
      <c r="W271" s="64" t="s">
        <v>72</v>
      </c>
    </row>
    <row r="272" spans="1:23" x14ac:dyDescent="0.2">
      <c r="A272" t="s">
        <v>400</v>
      </c>
      <c r="B272" t="s">
        <v>402</v>
      </c>
      <c r="D272" t="s">
        <v>907</v>
      </c>
      <c r="E272" t="s">
        <v>731</v>
      </c>
      <c r="G272">
        <v>80</v>
      </c>
      <c r="H272">
        <v>35.75</v>
      </c>
      <c r="K272" s="92">
        <v>998</v>
      </c>
      <c r="L272" s="92">
        <v>50.248951048951049</v>
      </c>
      <c r="O272" s="66"/>
      <c r="S272">
        <v>2023</v>
      </c>
      <c r="U272" t="s">
        <v>99</v>
      </c>
      <c r="V272" t="s">
        <v>908</v>
      </c>
      <c r="W272" s="64" t="s">
        <v>72</v>
      </c>
    </row>
    <row r="273" spans="1:23" x14ac:dyDescent="0.2">
      <c r="A273" t="s">
        <v>400</v>
      </c>
      <c r="B273" t="s">
        <v>402</v>
      </c>
      <c r="D273" t="s">
        <v>909</v>
      </c>
      <c r="E273" t="s">
        <v>731</v>
      </c>
      <c r="G273">
        <v>80</v>
      </c>
      <c r="H273">
        <v>36</v>
      </c>
      <c r="K273" s="92">
        <v>838</v>
      </c>
      <c r="L273" s="92">
        <v>41.900000000000013</v>
      </c>
      <c r="O273" s="66"/>
      <c r="S273">
        <v>2023</v>
      </c>
      <c r="U273" t="s">
        <v>99</v>
      </c>
      <c r="V273" t="s">
        <v>910</v>
      </c>
      <c r="W273" s="64" t="s">
        <v>72</v>
      </c>
    </row>
    <row r="274" spans="1:23" x14ac:dyDescent="0.2">
      <c r="A274" t="s">
        <v>400</v>
      </c>
      <c r="B274" t="s">
        <v>402</v>
      </c>
      <c r="D274" t="s">
        <v>911</v>
      </c>
      <c r="E274" t="s">
        <v>731</v>
      </c>
      <c r="G274">
        <v>80</v>
      </c>
      <c r="H274">
        <v>36</v>
      </c>
      <c r="K274" s="92">
        <v>778</v>
      </c>
      <c r="L274" s="92">
        <v>38.9</v>
      </c>
      <c r="O274" s="66"/>
      <c r="S274">
        <v>2023</v>
      </c>
      <c r="U274" t="s">
        <v>99</v>
      </c>
      <c r="V274" t="s">
        <v>912</v>
      </c>
      <c r="W274" s="64" t="s">
        <v>72</v>
      </c>
    </row>
    <row r="275" spans="1:23" x14ac:dyDescent="0.2">
      <c r="A275" t="s">
        <v>400</v>
      </c>
      <c r="B275" t="s">
        <v>402</v>
      </c>
      <c r="D275" t="s">
        <v>913</v>
      </c>
      <c r="E275" t="s">
        <v>731</v>
      </c>
      <c r="G275">
        <v>80</v>
      </c>
      <c r="H275">
        <v>36</v>
      </c>
      <c r="K275" s="92">
        <v>1138</v>
      </c>
      <c r="L275" s="92">
        <v>56.9</v>
      </c>
      <c r="O275" s="66"/>
      <c r="S275">
        <v>2023</v>
      </c>
      <c r="U275" t="s">
        <v>99</v>
      </c>
      <c r="V275" t="s">
        <v>914</v>
      </c>
      <c r="W275" s="64" t="s">
        <v>72</v>
      </c>
    </row>
    <row r="276" spans="1:23" x14ac:dyDescent="0.2">
      <c r="A276" t="s">
        <v>400</v>
      </c>
      <c r="B276" t="s">
        <v>402</v>
      </c>
      <c r="D276" t="s">
        <v>915</v>
      </c>
      <c r="E276" t="s">
        <v>731</v>
      </c>
      <c r="G276">
        <v>84</v>
      </c>
      <c r="H276">
        <v>35.75</v>
      </c>
      <c r="K276" s="92">
        <v>1198</v>
      </c>
      <c r="L276" s="92">
        <v>57.446553446553438</v>
      </c>
      <c r="O276" s="66"/>
      <c r="S276">
        <v>2023</v>
      </c>
      <c r="U276" t="s">
        <v>99</v>
      </c>
      <c r="V276" t="s">
        <v>916</v>
      </c>
      <c r="W276" s="64" t="s">
        <v>72</v>
      </c>
    </row>
    <row r="277" spans="1:23" x14ac:dyDescent="0.2">
      <c r="A277" t="s">
        <v>400</v>
      </c>
      <c r="B277" t="s">
        <v>427</v>
      </c>
      <c r="D277" t="s">
        <v>4752</v>
      </c>
      <c r="E277" t="s">
        <v>917</v>
      </c>
      <c r="F277">
        <v>5.63</v>
      </c>
      <c r="G277">
        <v>79.75</v>
      </c>
      <c r="H277">
        <v>71.75</v>
      </c>
      <c r="K277" s="92">
        <v>1288</v>
      </c>
      <c r="L277" s="92">
        <v>32.413487269668927</v>
      </c>
      <c r="O277" s="66"/>
      <c r="S277">
        <v>2023</v>
      </c>
      <c r="U277" t="s">
        <v>99</v>
      </c>
      <c r="V277" t="s">
        <v>918</v>
      </c>
      <c r="W277" s="64" t="s">
        <v>72</v>
      </c>
    </row>
    <row r="278" spans="1:23" x14ac:dyDescent="0.2">
      <c r="A278" t="s">
        <v>400</v>
      </c>
      <c r="B278" t="s">
        <v>427</v>
      </c>
      <c r="D278" t="s">
        <v>4753</v>
      </c>
      <c r="E278" t="s">
        <v>917</v>
      </c>
      <c r="F278">
        <v>5.625</v>
      </c>
      <c r="G278">
        <v>79.75</v>
      </c>
      <c r="H278">
        <v>71.75</v>
      </c>
      <c r="K278" s="92">
        <v>1438</v>
      </c>
      <c r="L278" s="92">
        <v>36.188349917534111</v>
      </c>
      <c r="O278" s="66"/>
      <c r="S278">
        <v>2023</v>
      </c>
      <c r="U278" t="s">
        <v>99</v>
      </c>
      <c r="V278" t="s">
        <v>919</v>
      </c>
      <c r="W278" s="64" t="s">
        <v>72</v>
      </c>
    </row>
    <row r="279" spans="1:23" x14ac:dyDescent="0.2">
      <c r="A279" t="s">
        <v>400</v>
      </c>
      <c r="B279" t="s">
        <v>427</v>
      </c>
      <c r="D279" t="s">
        <v>4754</v>
      </c>
      <c r="E279" t="s">
        <v>917</v>
      </c>
      <c r="F279">
        <v>5.63</v>
      </c>
      <c r="G279">
        <v>79.75</v>
      </c>
      <c r="H279">
        <v>71.75</v>
      </c>
      <c r="K279" s="92">
        <v>1268</v>
      </c>
      <c r="L279" s="92">
        <v>31.910172249953579</v>
      </c>
      <c r="O279" s="66"/>
      <c r="S279">
        <v>2023</v>
      </c>
      <c r="U279" t="s">
        <v>99</v>
      </c>
      <c r="V279" t="s">
        <v>920</v>
      </c>
      <c r="W279" s="64" t="s">
        <v>72</v>
      </c>
    </row>
    <row r="280" spans="1:23" x14ac:dyDescent="0.2">
      <c r="A280" t="s">
        <v>400</v>
      </c>
      <c r="B280" t="s">
        <v>427</v>
      </c>
      <c r="D280" t="s">
        <v>4755</v>
      </c>
      <c r="E280" t="s">
        <v>917</v>
      </c>
      <c r="F280">
        <v>5.625</v>
      </c>
      <c r="G280">
        <v>79.75</v>
      </c>
      <c r="H280">
        <v>71.75</v>
      </c>
      <c r="K280" s="92">
        <v>1018.01</v>
      </c>
      <c r="L280" s="92">
        <v>25.618986161021489</v>
      </c>
      <c r="O280" s="66"/>
      <c r="S280">
        <v>2023</v>
      </c>
      <c r="U280" t="s">
        <v>99</v>
      </c>
      <c r="V280" t="s">
        <v>921</v>
      </c>
      <c r="W280" s="64" t="s">
        <v>72</v>
      </c>
    </row>
    <row r="281" spans="1:23" x14ac:dyDescent="0.2">
      <c r="A281" t="s">
        <v>400</v>
      </c>
      <c r="B281" t="s">
        <v>427</v>
      </c>
      <c r="D281" t="s">
        <v>4756</v>
      </c>
      <c r="E281" t="s">
        <v>917</v>
      </c>
      <c r="F281">
        <v>5.63</v>
      </c>
      <c r="G281">
        <v>79.75</v>
      </c>
      <c r="H281">
        <v>59.75</v>
      </c>
      <c r="K281" s="92">
        <v>1268</v>
      </c>
      <c r="L281" s="92">
        <v>38.318909772956808</v>
      </c>
      <c r="O281" s="66"/>
      <c r="S281">
        <v>2023</v>
      </c>
      <c r="U281" t="s">
        <v>99</v>
      </c>
      <c r="V281" t="s">
        <v>922</v>
      </c>
      <c r="W281" s="64" t="s">
        <v>72</v>
      </c>
    </row>
    <row r="282" spans="1:23" x14ac:dyDescent="0.2">
      <c r="A282" t="s">
        <v>400</v>
      </c>
      <c r="B282" t="s">
        <v>427</v>
      </c>
      <c r="D282" t="s">
        <v>4757</v>
      </c>
      <c r="E282" t="s">
        <v>917</v>
      </c>
      <c r="F282">
        <v>4.625</v>
      </c>
      <c r="G282">
        <v>79.625</v>
      </c>
      <c r="H282">
        <v>59.875</v>
      </c>
      <c r="K282" s="92">
        <v>878</v>
      </c>
      <c r="L282" s="92">
        <v>26.519298774592539</v>
      </c>
      <c r="O282" s="66"/>
      <c r="S282">
        <v>2023</v>
      </c>
      <c r="U282" t="s">
        <v>99</v>
      </c>
      <c r="V282" t="s">
        <v>923</v>
      </c>
      <c r="W282" s="64" t="s">
        <v>72</v>
      </c>
    </row>
    <row r="283" spans="1:23" x14ac:dyDescent="0.2">
      <c r="A283" t="s">
        <v>400</v>
      </c>
      <c r="B283" t="s">
        <v>427</v>
      </c>
      <c r="D283" t="s">
        <v>924</v>
      </c>
      <c r="E283" t="s">
        <v>917</v>
      </c>
      <c r="F283">
        <v>3.4380000000000002</v>
      </c>
      <c r="G283">
        <v>79.5</v>
      </c>
      <c r="H283">
        <v>95.5</v>
      </c>
      <c r="K283" s="92">
        <v>789</v>
      </c>
      <c r="L283" s="92">
        <v>14.96473377457276</v>
      </c>
      <c r="O283" s="66"/>
      <c r="S283">
        <v>2023</v>
      </c>
      <c r="U283" t="s">
        <v>99</v>
      </c>
      <c r="V283" t="s">
        <v>925</v>
      </c>
      <c r="W283" s="64" t="s">
        <v>72</v>
      </c>
    </row>
    <row r="284" spans="1:23" x14ac:dyDescent="0.2">
      <c r="A284" t="s">
        <v>400</v>
      </c>
      <c r="B284" t="s">
        <v>427</v>
      </c>
      <c r="D284" t="s">
        <v>926</v>
      </c>
      <c r="E284" t="s">
        <v>917</v>
      </c>
      <c r="F284">
        <v>2.625</v>
      </c>
      <c r="G284">
        <v>79.5</v>
      </c>
      <c r="H284">
        <v>71.5</v>
      </c>
      <c r="K284" s="92">
        <v>1098</v>
      </c>
      <c r="L284" s="92">
        <v>27.81580683467476</v>
      </c>
      <c r="O284" s="66"/>
      <c r="S284">
        <v>2023</v>
      </c>
      <c r="U284" t="s">
        <v>99</v>
      </c>
      <c r="V284" t="s">
        <v>927</v>
      </c>
      <c r="W284" s="64" t="s">
        <v>72</v>
      </c>
    </row>
    <row r="285" spans="1:23" x14ac:dyDescent="0.2">
      <c r="A285" t="s">
        <v>400</v>
      </c>
      <c r="B285" t="s">
        <v>427</v>
      </c>
      <c r="D285" t="s">
        <v>928</v>
      </c>
      <c r="E285" t="s">
        <v>917</v>
      </c>
      <c r="F285">
        <v>2.625</v>
      </c>
      <c r="G285">
        <v>79.5</v>
      </c>
      <c r="H285">
        <v>71.5</v>
      </c>
      <c r="K285" s="92">
        <v>1098</v>
      </c>
      <c r="L285" s="92">
        <v>27.81580683467476</v>
      </c>
      <c r="O285" s="66"/>
      <c r="S285">
        <v>2023</v>
      </c>
      <c r="U285" t="s">
        <v>99</v>
      </c>
      <c r="V285" t="s">
        <v>929</v>
      </c>
      <c r="W285" s="64" t="s">
        <v>72</v>
      </c>
    </row>
    <row r="286" spans="1:23" x14ac:dyDescent="0.2">
      <c r="A286" t="s">
        <v>400</v>
      </c>
      <c r="B286" t="s">
        <v>427</v>
      </c>
      <c r="D286" t="s">
        <v>930</v>
      </c>
      <c r="E286" t="s">
        <v>917</v>
      </c>
      <c r="F286">
        <v>2.625</v>
      </c>
      <c r="G286">
        <v>79.5</v>
      </c>
      <c r="H286">
        <v>71.5</v>
      </c>
      <c r="K286" s="92">
        <v>538</v>
      </c>
      <c r="L286" s="92">
        <v>13.629238685842459</v>
      </c>
      <c r="O286" s="66"/>
      <c r="S286">
        <v>2023</v>
      </c>
      <c r="U286" t="s">
        <v>99</v>
      </c>
      <c r="V286" t="s">
        <v>931</v>
      </c>
      <c r="W286" s="64" t="s">
        <v>72</v>
      </c>
    </row>
    <row r="287" spans="1:23" x14ac:dyDescent="0.2">
      <c r="A287" t="s">
        <v>400</v>
      </c>
      <c r="B287" t="s">
        <v>427</v>
      </c>
      <c r="D287" t="s">
        <v>932</v>
      </c>
      <c r="E287" t="s">
        <v>917</v>
      </c>
      <c r="F287">
        <v>2.625</v>
      </c>
      <c r="G287">
        <v>79.5</v>
      </c>
      <c r="H287">
        <v>59.5</v>
      </c>
      <c r="K287" s="92">
        <v>539</v>
      </c>
      <c r="L287" s="92">
        <v>16.408435072142069</v>
      </c>
      <c r="O287" s="66"/>
      <c r="S287">
        <v>2023</v>
      </c>
      <c r="U287" t="s">
        <v>99</v>
      </c>
      <c r="V287" t="s">
        <v>933</v>
      </c>
      <c r="W287" s="64" t="s">
        <v>72</v>
      </c>
    </row>
    <row r="288" spans="1:23" x14ac:dyDescent="0.2">
      <c r="A288" t="s">
        <v>400</v>
      </c>
      <c r="B288" t="s">
        <v>427</v>
      </c>
      <c r="D288" t="s">
        <v>934</v>
      </c>
      <c r="E288" t="s">
        <v>917</v>
      </c>
      <c r="F288">
        <v>3</v>
      </c>
      <c r="G288">
        <v>80</v>
      </c>
      <c r="H288">
        <v>60</v>
      </c>
      <c r="K288" s="92">
        <v>539</v>
      </c>
      <c r="L288" s="92">
        <v>16.170000000000002</v>
      </c>
      <c r="O288" s="66"/>
      <c r="S288">
        <v>2023</v>
      </c>
      <c r="U288" t="s">
        <v>99</v>
      </c>
      <c r="V288" t="s">
        <v>935</v>
      </c>
      <c r="W288" s="64" t="s">
        <v>72</v>
      </c>
    </row>
    <row r="289" spans="1:23" x14ac:dyDescent="0.2">
      <c r="A289" t="s">
        <v>400</v>
      </c>
      <c r="B289" t="s">
        <v>427</v>
      </c>
      <c r="D289" t="s">
        <v>936</v>
      </c>
      <c r="E289" t="s">
        <v>917</v>
      </c>
      <c r="F289">
        <v>8.5625</v>
      </c>
      <c r="G289">
        <v>96</v>
      </c>
      <c r="H289">
        <v>177</v>
      </c>
      <c r="K289" s="92">
        <v>10668</v>
      </c>
      <c r="L289" s="92">
        <v>90.406779661016955</v>
      </c>
      <c r="O289" s="66"/>
      <c r="S289">
        <v>2023</v>
      </c>
      <c r="U289" t="s">
        <v>99</v>
      </c>
      <c r="V289" t="s">
        <v>937</v>
      </c>
      <c r="W289" s="64" t="s">
        <v>72</v>
      </c>
    </row>
    <row r="290" spans="1:23" x14ac:dyDescent="0.2">
      <c r="A290" t="s">
        <v>400</v>
      </c>
      <c r="B290" t="s">
        <v>427</v>
      </c>
      <c r="D290" t="s">
        <v>938</v>
      </c>
      <c r="E290" t="s">
        <v>917</v>
      </c>
      <c r="F290">
        <v>8.5625</v>
      </c>
      <c r="G290">
        <v>80</v>
      </c>
      <c r="H290">
        <v>177</v>
      </c>
      <c r="K290" s="92">
        <v>9268</v>
      </c>
      <c r="L290" s="92">
        <v>94.250847457627117</v>
      </c>
      <c r="O290" s="66"/>
      <c r="S290">
        <v>2023</v>
      </c>
      <c r="U290" t="s">
        <v>99</v>
      </c>
      <c r="V290" t="s">
        <v>939</v>
      </c>
      <c r="W290" s="64" t="s">
        <v>72</v>
      </c>
    </row>
    <row r="291" spans="1:23" x14ac:dyDescent="0.2">
      <c r="A291" t="s">
        <v>400</v>
      </c>
      <c r="B291" t="s">
        <v>427</v>
      </c>
      <c r="D291" t="s">
        <v>940</v>
      </c>
      <c r="E291" t="s">
        <v>917</v>
      </c>
      <c r="F291">
        <v>8.5625</v>
      </c>
      <c r="G291">
        <v>96</v>
      </c>
      <c r="H291">
        <v>141</v>
      </c>
      <c r="K291" s="92">
        <v>8218</v>
      </c>
      <c r="L291" s="92">
        <v>87.425531914893611</v>
      </c>
      <c r="O291" s="66"/>
      <c r="S291">
        <v>2023</v>
      </c>
      <c r="U291" t="s">
        <v>99</v>
      </c>
      <c r="V291" t="s">
        <v>941</v>
      </c>
      <c r="W291" s="64" t="s">
        <v>72</v>
      </c>
    </row>
    <row r="292" spans="1:23" x14ac:dyDescent="0.2">
      <c r="A292" t="s">
        <v>400</v>
      </c>
      <c r="B292" t="s">
        <v>427</v>
      </c>
      <c r="D292" t="s">
        <v>942</v>
      </c>
      <c r="E292" t="s">
        <v>917</v>
      </c>
      <c r="F292">
        <v>8.5625</v>
      </c>
      <c r="G292">
        <v>96</v>
      </c>
      <c r="H292">
        <v>141</v>
      </c>
      <c r="K292" s="92">
        <v>8798</v>
      </c>
      <c r="L292" s="92">
        <v>93.59574468085107</v>
      </c>
      <c r="O292" s="66"/>
      <c r="S292">
        <v>2023</v>
      </c>
      <c r="U292" t="s">
        <v>99</v>
      </c>
      <c r="V292" t="s">
        <v>943</v>
      </c>
      <c r="W292" s="64" t="s">
        <v>72</v>
      </c>
    </row>
    <row r="293" spans="1:23" x14ac:dyDescent="0.2">
      <c r="A293" t="s">
        <v>400</v>
      </c>
      <c r="B293" t="s">
        <v>427</v>
      </c>
      <c r="D293" t="s">
        <v>944</v>
      </c>
      <c r="E293" t="s">
        <v>917</v>
      </c>
      <c r="F293">
        <v>8.5625</v>
      </c>
      <c r="G293">
        <v>96</v>
      </c>
      <c r="H293">
        <v>141</v>
      </c>
      <c r="K293" s="92">
        <v>8218</v>
      </c>
      <c r="L293" s="92">
        <v>87.425531914893611</v>
      </c>
      <c r="O293" s="66"/>
      <c r="S293">
        <v>2023</v>
      </c>
      <c r="U293" t="s">
        <v>99</v>
      </c>
      <c r="V293" t="s">
        <v>945</v>
      </c>
      <c r="W293" s="64" t="s">
        <v>72</v>
      </c>
    </row>
    <row r="294" spans="1:23" x14ac:dyDescent="0.2">
      <c r="A294" t="s">
        <v>400</v>
      </c>
      <c r="B294" t="s">
        <v>427</v>
      </c>
      <c r="D294" t="s">
        <v>946</v>
      </c>
      <c r="E294" t="s">
        <v>917</v>
      </c>
      <c r="F294">
        <v>8.5625</v>
      </c>
      <c r="G294">
        <v>80</v>
      </c>
      <c r="H294">
        <v>141</v>
      </c>
      <c r="K294" s="92">
        <v>7028</v>
      </c>
      <c r="L294" s="92">
        <v>89.719148936170214</v>
      </c>
      <c r="O294" s="66"/>
      <c r="S294">
        <v>2023</v>
      </c>
      <c r="U294" t="s">
        <v>99</v>
      </c>
      <c r="V294" t="s">
        <v>947</v>
      </c>
      <c r="W294" s="64" t="s">
        <v>72</v>
      </c>
    </row>
    <row r="295" spans="1:23" x14ac:dyDescent="0.2">
      <c r="A295" t="s">
        <v>400</v>
      </c>
      <c r="B295" t="s">
        <v>427</v>
      </c>
      <c r="D295" t="s">
        <v>948</v>
      </c>
      <c r="E295" t="s">
        <v>917</v>
      </c>
      <c r="F295">
        <v>8.5625</v>
      </c>
      <c r="G295">
        <v>80</v>
      </c>
      <c r="H295">
        <v>141</v>
      </c>
      <c r="K295" s="92">
        <v>5379.98</v>
      </c>
      <c r="L295" s="92">
        <v>68.680595744680843</v>
      </c>
      <c r="O295" s="66"/>
      <c r="S295">
        <v>2023</v>
      </c>
      <c r="U295" t="s">
        <v>99</v>
      </c>
      <c r="V295" t="s">
        <v>949</v>
      </c>
      <c r="W295" s="64" t="s">
        <v>72</v>
      </c>
    </row>
    <row r="296" spans="1:23" x14ac:dyDescent="0.2">
      <c r="A296" t="s">
        <v>400</v>
      </c>
      <c r="B296" t="s">
        <v>427</v>
      </c>
      <c r="D296" t="s">
        <v>950</v>
      </c>
      <c r="E296" t="s">
        <v>917</v>
      </c>
      <c r="F296">
        <v>8.5625</v>
      </c>
      <c r="G296">
        <v>80</v>
      </c>
      <c r="H296">
        <v>141</v>
      </c>
      <c r="K296" s="92">
        <v>7518</v>
      </c>
      <c r="L296" s="92">
        <v>95.974468085106395</v>
      </c>
      <c r="O296" s="66"/>
      <c r="S296">
        <v>2023</v>
      </c>
      <c r="U296" t="s">
        <v>99</v>
      </c>
      <c r="V296" t="s">
        <v>951</v>
      </c>
      <c r="W296" s="64" t="s">
        <v>72</v>
      </c>
    </row>
    <row r="297" spans="1:23" x14ac:dyDescent="0.2">
      <c r="A297" t="s">
        <v>400</v>
      </c>
      <c r="B297" t="s">
        <v>427</v>
      </c>
      <c r="D297" t="s">
        <v>952</v>
      </c>
      <c r="E297" t="s">
        <v>917</v>
      </c>
      <c r="F297">
        <v>8.5625</v>
      </c>
      <c r="G297">
        <v>96</v>
      </c>
      <c r="H297">
        <v>105</v>
      </c>
      <c r="K297" s="92">
        <v>6928</v>
      </c>
      <c r="L297" s="92">
        <v>98.971428571428575</v>
      </c>
      <c r="O297" s="66"/>
      <c r="S297">
        <v>2023</v>
      </c>
      <c r="U297" t="s">
        <v>99</v>
      </c>
      <c r="V297" t="s">
        <v>953</v>
      </c>
      <c r="W297" s="64" t="s">
        <v>72</v>
      </c>
    </row>
    <row r="298" spans="1:23" x14ac:dyDescent="0.2">
      <c r="A298" t="s">
        <v>400</v>
      </c>
      <c r="B298" t="s">
        <v>427</v>
      </c>
      <c r="D298" t="s">
        <v>954</v>
      </c>
      <c r="E298" t="s">
        <v>917</v>
      </c>
      <c r="F298">
        <v>8.5625</v>
      </c>
      <c r="G298">
        <v>96</v>
      </c>
      <c r="H298">
        <v>105</v>
      </c>
      <c r="K298" s="92">
        <v>6838</v>
      </c>
      <c r="L298" s="92">
        <v>97.685714285714283</v>
      </c>
      <c r="O298" s="66"/>
      <c r="S298">
        <v>2023</v>
      </c>
      <c r="U298" t="s">
        <v>99</v>
      </c>
      <c r="V298" t="s">
        <v>955</v>
      </c>
      <c r="W298" s="64" t="s">
        <v>72</v>
      </c>
    </row>
    <row r="299" spans="1:23" x14ac:dyDescent="0.2">
      <c r="A299" t="s">
        <v>400</v>
      </c>
      <c r="B299" t="s">
        <v>427</v>
      </c>
      <c r="D299" t="s">
        <v>956</v>
      </c>
      <c r="E299" t="s">
        <v>917</v>
      </c>
      <c r="F299">
        <v>8.5625</v>
      </c>
      <c r="G299">
        <v>96</v>
      </c>
      <c r="H299">
        <v>105</v>
      </c>
      <c r="K299" s="92">
        <v>6928</v>
      </c>
      <c r="L299" s="92">
        <v>98.971428571428575</v>
      </c>
      <c r="O299" s="66"/>
      <c r="S299">
        <v>2023</v>
      </c>
      <c r="U299" t="s">
        <v>99</v>
      </c>
      <c r="V299" t="s">
        <v>957</v>
      </c>
      <c r="W299" s="64" t="s">
        <v>72</v>
      </c>
    </row>
    <row r="300" spans="1:23" x14ac:dyDescent="0.2">
      <c r="A300" t="s">
        <v>400</v>
      </c>
      <c r="B300" t="s">
        <v>427</v>
      </c>
      <c r="D300" t="s">
        <v>958</v>
      </c>
      <c r="E300" t="s">
        <v>917</v>
      </c>
      <c r="F300">
        <v>8.5625</v>
      </c>
      <c r="G300">
        <v>96</v>
      </c>
      <c r="H300">
        <v>105</v>
      </c>
      <c r="K300" s="92">
        <v>7408</v>
      </c>
      <c r="L300" s="92">
        <v>105.82857142857139</v>
      </c>
      <c r="O300" s="66"/>
      <c r="S300">
        <v>2023</v>
      </c>
      <c r="U300" t="s">
        <v>99</v>
      </c>
      <c r="V300" t="s">
        <v>959</v>
      </c>
      <c r="W300" s="64" t="s">
        <v>72</v>
      </c>
    </row>
    <row r="301" spans="1:23" x14ac:dyDescent="0.2">
      <c r="A301" t="s">
        <v>400</v>
      </c>
      <c r="B301" t="s">
        <v>427</v>
      </c>
      <c r="D301" t="s">
        <v>960</v>
      </c>
      <c r="E301" t="s">
        <v>917</v>
      </c>
      <c r="F301">
        <v>8.5625</v>
      </c>
      <c r="G301">
        <v>80</v>
      </c>
      <c r="H301">
        <v>105</v>
      </c>
      <c r="K301" s="92">
        <v>5768</v>
      </c>
      <c r="L301" s="92">
        <v>98.88</v>
      </c>
      <c r="O301" s="66"/>
      <c r="S301">
        <v>2023</v>
      </c>
      <c r="U301" t="s">
        <v>99</v>
      </c>
      <c r="V301" t="s">
        <v>961</v>
      </c>
      <c r="W301" s="64" t="s">
        <v>72</v>
      </c>
    </row>
    <row r="302" spans="1:23" x14ac:dyDescent="0.2">
      <c r="A302" t="s">
        <v>400</v>
      </c>
      <c r="B302" t="s">
        <v>427</v>
      </c>
      <c r="D302" t="s">
        <v>962</v>
      </c>
      <c r="E302" t="s">
        <v>917</v>
      </c>
      <c r="F302">
        <v>8.5625</v>
      </c>
      <c r="G302">
        <v>80</v>
      </c>
      <c r="H302">
        <v>105</v>
      </c>
      <c r="K302" s="92">
        <v>5958</v>
      </c>
      <c r="L302" s="92">
        <v>102.1371428571429</v>
      </c>
      <c r="O302" s="66"/>
      <c r="S302">
        <v>2023</v>
      </c>
      <c r="U302" t="s">
        <v>99</v>
      </c>
      <c r="V302" t="s">
        <v>963</v>
      </c>
      <c r="W302" s="64" t="s">
        <v>72</v>
      </c>
    </row>
    <row r="303" spans="1:23" x14ac:dyDescent="0.2">
      <c r="A303" t="s">
        <v>400</v>
      </c>
      <c r="B303" t="s">
        <v>427</v>
      </c>
      <c r="D303" t="s">
        <v>964</v>
      </c>
      <c r="E303" t="s">
        <v>917</v>
      </c>
      <c r="F303">
        <v>8.5625</v>
      </c>
      <c r="G303">
        <v>80</v>
      </c>
      <c r="H303">
        <v>105</v>
      </c>
      <c r="K303" s="92">
        <v>5408</v>
      </c>
      <c r="L303" s="92">
        <v>92.708571428571432</v>
      </c>
      <c r="O303" s="66"/>
      <c r="S303">
        <v>2023</v>
      </c>
      <c r="U303" t="s">
        <v>99</v>
      </c>
      <c r="V303" t="s">
        <v>965</v>
      </c>
      <c r="W303" s="64" t="s">
        <v>72</v>
      </c>
    </row>
    <row r="304" spans="1:23" x14ac:dyDescent="0.2">
      <c r="A304" t="s">
        <v>400</v>
      </c>
      <c r="B304" t="s">
        <v>427</v>
      </c>
      <c r="D304" t="s">
        <v>966</v>
      </c>
      <c r="E304" t="s">
        <v>917</v>
      </c>
      <c r="F304">
        <v>8.5625</v>
      </c>
      <c r="G304">
        <v>80</v>
      </c>
      <c r="H304">
        <v>105</v>
      </c>
      <c r="K304" s="92">
        <v>5768</v>
      </c>
      <c r="L304" s="92">
        <v>98.88</v>
      </c>
      <c r="O304" s="66"/>
      <c r="S304">
        <v>2023</v>
      </c>
      <c r="U304" t="s">
        <v>99</v>
      </c>
      <c r="V304" t="s">
        <v>967</v>
      </c>
      <c r="W304" s="64" t="s">
        <v>72</v>
      </c>
    </row>
    <row r="305" spans="1:23" x14ac:dyDescent="0.2">
      <c r="A305" t="s">
        <v>400</v>
      </c>
      <c r="B305" t="s">
        <v>427</v>
      </c>
      <c r="D305" t="s">
        <v>968</v>
      </c>
      <c r="E305" t="s">
        <v>917</v>
      </c>
      <c r="F305">
        <v>1.375</v>
      </c>
      <c r="G305">
        <v>80</v>
      </c>
      <c r="H305">
        <v>60</v>
      </c>
      <c r="K305" s="92">
        <v>1228</v>
      </c>
      <c r="L305" s="92">
        <v>36.840000000000003</v>
      </c>
      <c r="O305" s="66"/>
      <c r="S305">
        <v>2023</v>
      </c>
      <c r="U305" t="s">
        <v>99</v>
      </c>
      <c r="V305" t="s">
        <v>969</v>
      </c>
      <c r="W305" s="64" t="s">
        <v>72</v>
      </c>
    </row>
    <row r="306" spans="1:23" x14ac:dyDescent="0.2">
      <c r="A306" t="s">
        <v>400</v>
      </c>
      <c r="B306" t="s">
        <v>427</v>
      </c>
      <c r="D306" t="s">
        <v>970</v>
      </c>
      <c r="E306" t="s">
        <v>917</v>
      </c>
      <c r="F306">
        <v>4.5629999999999997</v>
      </c>
      <c r="G306">
        <v>96</v>
      </c>
      <c r="H306">
        <v>72</v>
      </c>
      <c r="K306" s="92">
        <v>2008</v>
      </c>
      <c r="L306" s="92">
        <v>41.833333333333329</v>
      </c>
      <c r="O306" s="66"/>
      <c r="S306">
        <v>2023</v>
      </c>
      <c r="U306" t="s">
        <v>99</v>
      </c>
      <c r="V306" t="s">
        <v>971</v>
      </c>
      <c r="W306" s="64" t="s">
        <v>72</v>
      </c>
    </row>
    <row r="307" spans="1:23" x14ac:dyDescent="0.2">
      <c r="A307" t="s">
        <v>400</v>
      </c>
      <c r="B307" t="s">
        <v>427</v>
      </c>
      <c r="D307" t="s">
        <v>972</v>
      </c>
      <c r="E307" t="s">
        <v>917</v>
      </c>
      <c r="F307">
        <v>4.5629999999999997</v>
      </c>
      <c r="G307">
        <v>80</v>
      </c>
      <c r="H307">
        <v>72</v>
      </c>
      <c r="K307" s="92">
        <v>2108</v>
      </c>
      <c r="L307" s="92">
        <v>52.7</v>
      </c>
      <c r="O307" s="66"/>
      <c r="S307">
        <v>2023</v>
      </c>
      <c r="U307" t="s">
        <v>99</v>
      </c>
      <c r="V307" t="s">
        <v>973</v>
      </c>
      <c r="W307" s="64" t="s">
        <v>72</v>
      </c>
    </row>
    <row r="308" spans="1:23" x14ac:dyDescent="0.2">
      <c r="A308" t="s">
        <v>400</v>
      </c>
      <c r="B308" t="s">
        <v>427</v>
      </c>
      <c r="D308" t="s">
        <v>974</v>
      </c>
      <c r="E308" t="s">
        <v>917</v>
      </c>
      <c r="F308">
        <v>4.5629999999999997</v>
      </c>
      <c r="G308">
        <v>80</v>
      </c>
      <c r="H308">
        <v>72</v>
      </c>
      <c r="K308" s="92">
        <v>2278</v>
      </c>
      <c r="L308" s="92">
        <v>56.95</v>
      </c>
      <c r="O308" s="66"/>
      <c r="S308">
        <v>2023</v>
      </c>
      <c r="U308" t="s">
        <v>99</v>
      </c>
      <c r="V308" t="s">
        <v>975</v>
      </c>
      <c r="W308" s="64" t="s">
        <v>72</v>
      </c>
    </row>
    <row r="309" spans="1:23" x14ac:dyDescent="0.2">
      <c r="A309" t="s">
        <v>400</v>
      </c>
      <c r="B309" t="s">
        <v>427</v>
      </c>
      <c r="D309" t="s">
        <v>976</v>
      </c>
      <c r="E309" t="s">
        <v>917</v>
      </c>
      <c r="F309">
        <v>4.5629999999999997</v>
      </c>
      <c r="G309">
        <v>80</v>
      </c>
      <c r="H309">
        <v>72</v>
      </c>
      <c r="K309" s="92">
        <v>2568</v>
      </c>
      <c r="L309" s="92">
        <v>64.2</v>
      </c>
      <c r="O309" s="66"/>
      <c r="S309">
        <v>2023</v>
      </c>
      <c r="U309" t="s">
        <v>99</v>
      </c>
      <c r="V309" t="s">
        <v>977</v>
      </c>
      <c r="W309" s="64" t="s">
        <v>72</v>
      </c>
    </row>
    <row r="310" spans="1:23" x14ac:dyDescent="0.2">
      <c r="A310" t="s">
        <v>400</v>
      </c>
      <c r="B310" t="s">
        <v>427</v>
      </c>
      <c r="D310" t="s">
        <v>978</v>
      </c>
      <c r="E310" t="s">
        <v>917</v>
      </c>
      <c r="F310">
        <v>4.5629999999999997</v>
      </c>
      <c r="G310">
        <v>80</v>
      </c>
      <c r="H310">
        <v>72</v>
      </c>
      <c r="K310" s="92">
        <v>1488</v>
      </c>
      <c r="L310" s="92">
        <v>37.200000000000003</v>
      </c>
      <c r="O310" s="66"/>
      <c r="S310">
        <v>2023</v>
      </c>
      <c r="U310" t="s">
        <v>99</v>
      </c>
      <c r="V310" t="s">
        <v>979</v>
      </c>
      <c r="W310" s="64" t="s">
        <v>72</v>
      </c>
    </row>
    <row r="311" spans="1:23" x14ac:dyDescent="0.2">
      <c r="A311" t="s">
        <v>400</v>
      </c>
      <c r="B311" t="s">
        <v>427</v>
      </c>
      <c r="D311" t="s">
        <v>980</v>
      </c>
      <c r="E311" t="s">
        <v>917</v>
      </c>
      <c r="F311">
        <v>4.5629999999999997</v>
      </c>
      <c r="G311">
        <v>80</v>
      </c>
      <c r="H311">
        <v>72</v>
      </c>
      <c r="K311" s="92">
        <v>1838</v>
      </c>
      <c r="L311" s="92">
        <v>45.95</v>
      </c>
      <c r="O311" s="66"/>
      <c r="S311">
        <v>2023</v>
      </c>
      <c r="U311" t="s">
        <v>99</v>
      </c>
      <c r="V311" t="s">
        <v>981</v>
      </c>
      <c r="W311" s="64" t="s">
        <v>72</v>
      </c>
    </row>
    <row r="312" spans="1:23" x14ac:dyDescent="0.2">
      <c r="A312" t="s">
        <v>400</v>
      </c>
      <c r="B312" t="s">
        <v>427</v>
      </c>
      <c r="D312" t="s">
        <v>982</v>
      </c>
      <c r="E312" t="s">
        <v>917</v>
      </c>
      <c r="F312">
        <v>4.5629999999999997</v>
      </c>
      <c r="G312">
        <v>80</v>
      </c>
      <c r="H312">
        <v>72</v>
      </c>
      <c r="K312" s="92">
        <v>2498</v>
      </c>
      <c r="L312" s="92">
        <v>62.45</v>
      </c>
      <c r="O312" s="66"/>
      <c r="S312">
        <v>2023</v>
      </c>
      <c r="U312" t="s">
        <v>99</v>
      </c>
      <c r="V312" t="s">
        <v>983</v>
      </c>
      <c r="W312" s="64" t="s">
        <v>72</v>
      </c>
    </row>
    <row r="313" spans="1:23" x14ac:dyDescent="0.2">
      <c r="A313" t="s">
        <v>400</v>
      </c>
      <c r="B313" t="s">
        <v>427</v>
      </c>
      <c r="D313" t="s">
        <v>984</v>
      </c>
      <c r="E313" t="s">
        <v>917</v>
      </c>
      <c r="F313">
        <v>4.5629999999999997</v>
      </c>
      <c r="G313">
        <v>80</v>
      </c>
      <c r="H313">
        <v>72</v>
      </c>
      <c r="K313" s="92">
        <v>1438</v>
      </c>
      <c r="L313" s="92">
        <v>35.950000000000003</v>
      </c>
      <c r="O313" s="66"/>
      <c r="S313">
        <v>2023</v>
      </c>
      <c r="U313" t="s">
        <v>99</v>
      </c>
      <c r="V313" t="s">
        <v>985</v>
      </c>
      <c r="W313" s="64" t="s">
        <v>72</v>
      </c>
    </row>
    <row r="314" spans="1:23" x14ac:dyDescent="0.2">
      <c r="A314" t="s">
        <v>400</v>
      </c>
      <c r="B314" t="s">
        <v>427</v>
      </c>
      <c r="D314" t="s">
        <v>986</v>
      </c>
      <c r="E314" t="s">
        <v>917</v>
      </c>
      <c r="F314">
        <v>4.5629999999999997</v>
      </c>
      <c r="G314">
        <v>80</v>
      </c>
      <c r="H314">
        <v>60</v>
      </c>
      <c r="K314" s="92">
        <v>2818</v>
      </c>
      <c r="L314" s="92">
        <v>84.539999999999992</v>
      </c>
      <c r="O314" s="66"/>
      <c r="S314">
        <v>2023</v>
      </c>
      <c r="U314" t="s">
        <v>99</v>
      </c>
      <c r="V314" t="s">
        <v>987</v>
      </c>
      <c r="W314" s="64" t="s">
        <v>72</v>
      </c>
    </row>
    <row r="315" spans="1:23" x14ac:dyDescent="0.2">
      <c r="A315" t="s">
        <v>400</v>
      </c>
      <c r="B315" t="s">
        <v>427</v>
      </c>
      <c r="D315" t="s">
        <v>988</v>
      </c>
      <c r="E315" t="s">
        <v>917</v>
      </c>
      <c r="F315">
        <v>4.5629999999999997</v>
      </c>
      <c r="G315">
        <v>80</v>
      </c>
      <c r="H315">
        <v>60</v>
      </c>
      <c r="K315" s="92">
        <v>2208</v>
      </c>
      <c r="L315" s="92">
        <v>66.240000000000009</v>
      </c>
      <c r="O315" s="66"/>
      <c r="S315">
        <v>2023</v>
      </c>
      <c r="U315" t="s">
        <v>99</v>
      </c>
      <c r="V315" t="s">
        <v>989</v>
      </c>
      <c r="W315" s="64" t="s">
        <v>72</v>
      </c>
    </row>
    <row r="316" spans="1:23" x14ac:dyDescent="0.2">
      <c r="A316" t="s">
        <v>400</v>
      </c>
      <c r="B316" t="s">
        <v>402</v>
      </c>
      <c r="C316" t="s">
        <v>403</v>
      </c>
      <c r="D316" t="s">
        <v>990</v>
      </c>
      <c r="E316" t="s">
        <v>991</v>
      </c>
      <c r="F316">
        <v>1.75</v>
      </c>
      <c r="G316">
        <v>81.5</v>
      </c>
      <c r="H316">
        <v>68.5</v>
      </c>
      <c r="I316" t="s">
        <v>406</v>
      </c>
      <c r="K316" s="92">
        <v>4038</v>
      </c>
      <c r="L316" s="92">
        <v>104.1551206842506</v>
      </c>
      <c r="O316" s="66"/>
      <c r="S316">
        <v>2023</v>
      </c>
      <c r="U316" t="s">
        <v>99</v>
      </c>
      <c r="V316" t="s">
        <v>992</v>
      </c>
      <c r="W316" s="64" t="s">
        <v>72</v>
      </c>
    </row>
    <row r="317" spans="1:23" x14ac:dyDescent="0.2">
      <c r="A317" t="s">
        <v>400</v>
      </c>
      <c r="B317" t="s">
        <v>402</v>
      </c>
      <c r="C317" t="s">
        <v>403</v>
      </c>
      <c r="D317" t="s">
        <v>993</v>
      </c>
      <c r="E317" t="s">
        <v>991</v>
      </c>
      <c r="F317">
        <v>1.75</v>
      </c>
      <c r="G317">
        <v>81.5</v>
      </c>
      <c r="H317">
        <v>64.5</v>
      </c>
      <c r="I317" t="s">
        <v>406</v>
      </c>
      <c r="K317" s="92">
        <v>5338</v>
      </c>
      <c r="L317" s="92">
        <v>146.22570980168359</v>
      </c>
      <c r="O317" s="66"/>
      <c r="S317">
        <v>2023</v>
      </c>
      <c r="U317" t="s">
        <v>99</v>
      </c>
      <c r="V317" t="s">
        <v>994</v>
      </c>
      <c r="W317" s="64" t="s">
        <v>72</v>
      </c>
    </row>
    <row r="318" spans="1:23" x14ac:dyDescent="0.2">
      <c r="A318" t="s">
        <v>400</v>
      </c>
      <c r="B318" t="s">
        <v>402</v>
      </c>
      <c r="C318" t="s">
        <v>403</v>
      </c>
      <c r="D318" t="s">
        <v>995</v>
      </c>
      <c r="E318" t="s">
        <v>991</v>
      </c>
      <c r="F318">
        <v>1.75</v>
      </c>
      <c r="G318">
        <v>81.5</v>
      </c>
      <c r="H318">
        <v>64.5</v>
      </c>
      <c r="I318" t="s">
        <v>406</v>
      </c>
      <c r="K318" s="92">
        <v>4018</v>
      </c>
      <c r="L318" s="92">
        <v>110.06648594664</v>
      </c>
      <c r="O318" s="66"/>
      <c r="S318">
        <v>2023</v>
      </c>
      <c r="U318" t="s">
        <v>99</v>
      </c>
      <c r="V318" t="s">
        <v>996</v>
      </c>
      <c r="W318" s="64" t="s">
        <v>72</v>
      </c>
    </row>
    <row r="319" spans="1:23" x14ac:dyDescent="0.2">
      <c r="A319" t="s">
        <v>400</v>
      </c>
      <c r="B319" t="s">
        <v>402</v>
      </c>
      <c r="C319" t="s">
        <v>403</v>
      </c>
      <c r="D319" t="s">
        <v>997</v>
      </c>
      <c r="E319" t="s">
        <v>991</v>
      </c>
      <c r="F319">
        <v>1.75</v>
      </c>
      <c r="G319">
        <v>80</v>
      </c>
      <c r="H319">
        <v>37.5</v>
      </c>
      <c r="I319" t="s">
        <v>406</v>
      </c>
      <c r="K319" s="92">
        <v>2138</v>
      </c>
      <c r="L319" s="92">
        <v>102.624</v>
      </c>
      <c r="O319" s="66"/>
      <c r="S319">
        <v>2023</v>
      </c>
      <c r="U319" t="s">
        <v>99</v>
      </c>
      <c r="V319" t="s">
        <v>998</v>
      </c>
      <c r="W319" s="64" t="s">
        <v>72</v>
      </c>
    </row>
    <row r="320" spans="1:23" x14ac:dyDescent="0.2">
      <c r="A320" t="s">
        <v>400</v>
      </c>
      <c r="B320" t="s">
        <v>402</v>
      </c>
      <c r="C320" t="s">
        <v>403</v>
      </c>
      <c r="D320" t="s">
        <v>999</v>
      </c>
      <c r="E320" t="s">
        <v>991</v>
      </c>
      <c r="F320">
        <v>1.75</v>
      </c>
      <c r="G320">
        <v>80</v>
      </c>
      <c r="H320">
        <v>37.5</v>
      </c>
      <c r="I320" t="s">
        <v>406</v>
      </c>
      <c r="K320" s="92">
        <v>2258</v>
      </c>
      <c r="L320" s="92">
        <v>108.384</v>
      </c>
      <c r="O320" s="66"/>
      <c r="S320">
        <v>2023</v>
      </c>
      <c r="U320" t="s">
        <v>99</v>
      </c>
      <c r="V320" t="s">
        <v>1000</v>
      </c>
      <c r="W320" s="64" t="s">
        <v>72</v>
      </c>
    </row>
    <row r="321" spans="1:23" x14ac:dyDescent="0.2">
      <c r="A321" t="s">
        <v>400</v>
      </c>
      <c r="B321" t="s">
        <v>402</v>
      </c>
      <c r="C321" t="s">
        <v>1001</v>
      </c>
      <c r="D321" t="s">
        <v>1002</v>
      </c>
      <c r="E321" t="s">
        <v>991</v>
      </c>
      <c r="F321">
        <v>1.75</v>
      </c>
      <c r="G321">
        <v>79</v>
      </c>
      <c r="H321">
        <v>36</v>
      </c>
      <c r="I321" t="s">
        <v>406</v>
      </c>
      <c r="K321" s="92">
        <v>2068</v>
      </c>
      <c r="L321" s="92">
        <v>104.7088607594937</v>
      </c>
      <c r="O321" s="66"/>
      <c r="S321">
        <v>2023</v>
      </c>
      <c r="U321" t="s">
        <v>99</v>
      </c>
      <c r="V321" t="s">
        <v>1003</v>
      </c>
      <c r="W321" s="64" t="s">
        <v>72</v>
      </c>
    </row>
    <row r="322" spans="1:23" x14ac:dyDescent="0.2">
      <c r="A322" t="s">
        <v>400</v>
      </c>
      <c r="B322" t="s">
        <v>402</v>
      </c>
      <c r="C322" t="s">
        <v>1001</v>
      </c>
      <c r="D322" t="s">
        <v>1004</v>
      </c>
      <c r="E322" t="s">
        <v>991</v>
      </c>
      <c r="F322">
        <v>1.75</v>
      </c>
      <c r="G322">
        <v>79.5</v>
      </c>
      <c r="H322">
        <v>36</v>
      </c>
      <c r="I322" t="s">
        <v>406</v>
      </c>
      <c r="K322" s="92">
        <v>2208</v>
      </c>
      <c r="L322" s="92">
        <v>111.0943396226415</v>
      </c>
      <c r="O322" s="66"/>
      <c r="S322">
        <v>2023</v>
      </c>
      <c r="U322" t="s">
        <v>99</v>
      </c>
      <c r="V322" t="s">
        <v>1005</v>
      </c>
      <c r="W322" s="64" t="s">
        <v>72</v>
      </c>
    </row>
    <row r="323" spans="1:23" x14ac:dyDescent="0.2">
      <c r="A323" t="s">
        <v>400</v>
      </c>
      <c r="B323" t="s">
        <v>402</v>
      </c>
      <c r="C323" t="s">
        <v>1001</v>
      </c>
      <c r="D323" t="s">
        <v>1006</v>
      </c>
      <c r="E323" t="s">
        <v>991</v>
      </c>
      <c r="F323">
        <v>1.75</v>
      </c>
      <c r="G323">
        <v>79.5</v>
      </c>
      <c r="H323">
        <v>36</v>
      </c>
      <c r="I323" t="s">
        <v>406</v>
      </c>
      <c r="K323" s="92">
        <v>2048</v>
      </c>
      <c r="L323" s="92">
        <v>103.0440251572327</v>
      </c>
      <c r="O323" s="66"/>
      <c r="S323">
        <v>2023</v>
      </c>
      <c r="U323" t="s">
        <v>99</v>
      </c>
      <c r="V323" t="s">
        <v>1007</v>
      </c>
      <c r="W323" s="64" t="s">
        <v>72</v>
      </c>
    </row>
    <row r="324" spans="1:23" x14ac:dyDescent="0.2">
      <c r="A324" t="s">
        <v>400</v>
      </c>
      <c r="B324" t="s">
        <v>402</v>
      </c>
      <c r="C324" t="s">
        <v>1001</v>
      </c>
      <c r="D324" t="s">
        <v>1008</v>
      </c>
      <c r="E324" t="s">
        <v>991</v>
      </c>
      <c r="F324">
        <v>1.75</v>
      </c>
      <c r="G324">
        <v>79.5</v>
      </c>
      <c r="H324">
        <v>36</v>
      </c>
      <c r="I324" t="s">
        <v>406</v>
      </c>
      <c r="K324" s="92">
        <v>1988</v>
      </c>
      <c r="L324" s="92">
        <v>100.0251572327044</v>
      </c>
      <c r="O324" s="66"/>
      <c r="S324">
        <v>2023</v>
      </c>
      <c r="U324" t="s">
        <v>99</v>
      </c>
      <c r="V324" t="s">
        <v>1009</v>
      </c>
      <c r="W324" s="64" t="s">
        <v>72</v>
      </c>
    </row>
    <row r="325" spans="1:23" x14ac:dyDescent="0.2">
      <c r="A325" t="s">
        <v>400</v>
      </c>
      <c r="B325" t="s">
        <v>402</v>
      </c>
      <c r="C325" t="s">
        <v>1001</v>
      </c>
      <c r="D325" t="s">
        <v>1010</v>
      </c>
      <c r="E325" t="s">
        <v>991</v>
      </c>
      <c r="F325">
        <v>1.75</v>
      </c>
      <c r="G325">
        <v>79.5</v>
      </c>
      <c r="H325">
        <v>36</v>
      </c>
      <c r="I325" t="s">
        <v>406</v>
      </c>
      <c r="K325" s="92">
        <v>1218</v>
      </c>
      <c r="L325" s="92">
        <v>61.283018867924532</v>
      </c>
      <c r="O325" s="66"/>
      <c r="S325">
        <v>2023</v>
      </c>
      <c r="U325" t="s">
        <v>99</v>
      </c>
      <c r="V325" t="s">
        <v>1011</v>
      </c>
      <c r="W325" s="64" t="s">
        <v>72</v>
      </c>
    </row>
    <row r="326" spans="1:23" ht="16.25" customHeight="1" x14ac:dyDescent="0.2">
      <c r="A326" t="s">
        <v>400</v>
      </c>
      <c r="B326" t="s">
        <v>402</v>
      </c>
      <c r="C326" t="s">
        <v>1012</v>
      </c>
      <c r="D326" t="s">
        <v>1013</v>
      </c>
      <c r="E326" t="s">
        <v>991</v>
      </c>
      <c r="F326">
        <v>1.75</v>
      </c>
      <c r="G326">
        <v>80</v>
      </c>
      <c r="H326">
        <v>72</v>
      </c>
      <c r="I326" t="s">
        <v>406</v>
      </c>
      <c r="K326" s="92">
        <v>2598</v>
      </c>
      <c r="L326" s="92">
        <v>64.95</v>
      </c>
      <c r="O326" s="66"/>
      <c r="S326">
        <v>2023</v>
      </c>
      <c r="U326" t="s">
        <v>99</v>
      </c>
      <c r="V326" t="s">
        <v>1014</v>
      </c>
      <c r="W326" s="64" t="s">
        <v>72</v>
      </c>
    </row>
    <row r="327" spans="1:23" x14ac:dyDescent="0.2">
      <c r="A327" t="s">
        <v>400</v>
      </c>
      <c r="B327" t="s">
        <v>402</v>
      </c>
      <c r="C327" t="s">
        <v>1012</v>
      </c>
      <c r="D327" t="s">
        <v>1015</v>
      </c>
      <c r="E327" t="s">
        <v>991</v>
      </c>
      <c r="F327">
        <v>1.75</v>
      </c>
      <c r="G327">
        <v>80</v>
      </c>
      <c r="H327">
        <v>64</v>
      </c>
      <c r="I327" t="s">
        <v>406</v>
      </c>
      <c r="K327" s="92">
        <v>2468</v>
      </c>
      <c r="L327" s="92">
        <v>69.412500000000009</v>
      </c>
      <c r="O327" s="66"/>
      <c r="S327">
        <v>2023</v>
      </c>
      <c r="U327" t="s">
        <v>99</v>
      </c>
      <c r="V327" t="s">
        <v>1016</v>
      </c>
      <c r="W327" s="64" t="s">
        <v>72</v>
      </c>
    </row>
    <row r="328" spans="1:23" x14ac:dyDescent="0.2">
      <c r="A328" t="s">
        <v>400</v>
      </c>
      <c r="B328" t="s">
        <v>402</v>
      </c>
      <c r="C328" t="s">
        <v>1012</v>
      </c>
      <c r="D328" t="s">
        <v>1017</v>
      </c>
      <c r="E328" t="s">
        <v>991</v>
      </c>
      <c r="F328">
        <v>1.75</v>
      </c>
      <c r="G328">
        <v>80</v>
      </c>
      <c r="H328">
        <v>36</v>
      </c>
      <c r="I328" t="s">
        <v>406</v>
      </c>
      <c r="K328" s="92">
        <v>1328</v>
      </c>
      <c r="L328" s="92">
        <v>66.400000000000006</v>
      </c>
      <c r="O328" s="66"/>
      <c r="S328">
        <v>2023</v>
      </c>
      <c r="U328" t="s">
        <v>99</v>
      </c>
      <c r="V328" t="s">
        <v>1018</v>
      </c>
      <c r="W328" s="64" t="s">
        <v>72</v>
      </c>
    </row>
    <row r="329" spans="1:23" x14ac:dyDescent="0.2">
      <c r="A329" t="s">
        <v>400</v>
      </c>
      <c r="B329" t="s">
        <v>402</v>
      </c>
      <c r="C329" t="s">
        <v>1012</v>
      </c>
      <c r="D329" t="s">
        <v>1019</v>
      </c>
      <c r="E329" t="s">
        <v>991</v>
      </c>
      <c r="F329">
        <v>1.75</v>
      </c>
      <c r="G329">
        <v>80</v>
      </c>
      <c r="H329">
        <v>64</v>
      </c>
      <c r="I329" t="s">
        <v>406</v>
      </c>
      <c r="K329" s="92">
        <v>2618</v>
      </c>
      <c r="L329" s="92">
        <v>73.631250000000009</v>
      </c>
      <c r="O329" s="66"/>
      <c r="S329">
        <v>2023</v>
      </c>
      <c r="U329" t="s">
        <v>99</v>
      </c>
      <c r="V329" t="s">
        <v>1020</v>
      </c>
      <c r="W329" s="64" t="s">
        <v>72</v>
      </c>
    </row>
    <row r="330" spans="1:23" x14ac:dyDescent="0.2">
      <c r="A330" t="s">
        <v>400</v>
      </c>
      <c r="B330" t="s">
        <v>402</v>
      </c>
      <c r="C330" t="s">
        <v>1012</v>
      </c>
      <c r="D330" t="s">
        <v>1021</v>
      </c>
      <c r="E330" t="s">
        <v>991</v>
      </c>
      <c r="F330">
        <v>1.75</v>
      </c>
      <c r="G330">
        <v>80</v>
      </c>
      <c r="H330">
        <v>36</v>
      </c>
      <c r="I330" t="s">
        <v>406</v>
      </c>
      <c r="K330" s="92">
        <v>1398</v>
      </c>
      <c r="L330" s="92">
        <v>69.900000000000006</v>
      </c>
      <c r="O330" s="66"/>
      <c r="S330">
        <v>2023</v>
      </c>
      <c r="U330" t="s">
        <v>99</v>
      </c>
      <c r="V330" t="s">
        <v>1022</v>
      </c>
      <c r="W330" s="64" t="s">
        <v>72</v>
      </c>
    </row>
    <row r="331" spans="1:23" x14ac:dyDescent="0.2">
      <c r="A331" t="s">
        <v>400</v>
      </c>
      <c r="B331" t="s">
        <v>402</v>
      </c>
      <c r="C331" t="s">
        <v>1012</v>
      </c>
      <c r="D331" t="s">
        <v>1023</v>
      </c>
      <c r="E331" t="s">
        <v>991</v>
      </c>
      <c r="F331">
        <v>1.75</v>
      </c>
      <c r="G331">
        <v>80</v>
      </c>
      <c r="H331">
        <v>36</v>
      </c>
      <c r="I331" t="s">
        <v>406</v>
      </c>
      <c r="K331" s="92">
        <v>1558</v>
      </c>
      <c r="L331" s="92">
        <v>77.899999999999991</v>
      </c>
      <c r="O331" s="66"/>
      <c r="S331">
        <v>2023</v>
      </c>
      <c r="U331" t="s">
        <v>99</v>
      </c>
      <c r="V331" t="s">
        <v>1024</v>
      </c>
      <c r="W331" s="64" t="s">
        <v>72</v>
      </c>
    </row>
    <row r="332" spans="1:23" x14ac:dyDescent="0.2">
      <c r="A332" t="s">
        <v>400</v>
      </c>
      <c r="B332" t="s">
        <v>402</v>
      </c>
      <c r="C332" t="s">
        <v>1012</v>
      </c>
      <c r="D332" t="s">
        <v>1025</v>
      </c>
      <c r="E332" t="s">
        <v>991</v>
      </c>
      <c r="F332">
        <v>1.75</v>
      </c>
      <c r="G332">
        <v>80</v>
      </c>
      <c r="H332">
        <v>36</v>
      </c>
      <c r="I332" t="s">
        <v>406</v>
      </c>
      <c r="K332" s="92">
        <v>1538</v>
      </c>
      <c r="L332" s="92">
        <v>76.900000000000006</v>
      </c>
      <c r="O332" s="66"/>
      <c r="S332">
        <v>2023</v>
      </c>
      <c r="U332" t="s">
        <v>99</v>
      </c>
      <c r="V332" t="s">
        <v>1026</v>
      </c>
      <c r="W332" s="64" t="s">
        <v>72</v>
      </c>
    </row>
    <row r="333" spans="1:23" x14ac:dyDescent="0.2">
      <c r="A333" t="s">
        <v>400</v>
      </c>
      <c r="B333" t="s">
        <v>402</v>
      </c>
      <c r="C333" t="s">
        <v>1012</v>
      </c>
      <c r="D333" t="s">
        <v>1027</v>
      </c>
      <c r="E333" t="s">
        <v>991</v>
      </c>
      <c r="F333">
        <v>1.75</v>
      </c>
      <c r="G333">
        <v>80</v>
      </c>
      <c r="H333">
        <v>36</v>
      </c>
      <c r="I333" t="s">
        <v>413</v>
      </c>
      <c r="K333" s="92">
        <v>2608</v>
      </c>
      <c r="L333" s="92">
        <v>130.4</v>
      </c>
      <c r="O333" s="66"/>
      <c r="S333">
        <v>2023</v>
      </c>
      <c r="U333" t="s">
        <v>99</v>
      </c>
      <c r="V333" t="s">
        <v>1028</v>
      </c>
      <c r="W333" s="64" t="s">
        <v>72</v>
      </c>
    </row>
    <row r="334" spans="1:23" x14ac:dyDescent="0.2">
      <c r="A334" t="s">
        <v>400</v>
      </c>
      <c r="B334" t="s">
        <v>402</v>
      </c>
      <c r="C334" t="s">
        <v>1012</v>
      </c>
      <c r="D334" t="s">
        <v>1029</v>
      </c>
      <c r="E334" t="s">
        <v>991</v>
      </c>
      <c r="F334">
        <v>1.75</v>
      </c>
      <c r="G334">
        <v>80</v>
      </c>
      <c r="H334">
        <v>36</v>
      </c>
      <c r="I334" t="s">
        <v>413</v>
      </c>
      <c r="K334" s="92">
        <v>1448</v>
      </c>
      <c r="L334" s="92">
        <v>72.400000000000006</v>
      </c>
      <c r="O334" s="66"/>
      <c r="S334">
        <v>2023</v>
      </c>
      <c r="U334" t="s">
        <v>99</v>
      </c>
      <c r="V334" t="s">
        <v>1030</v>
      </c>
      <c r="W334" s="64" t="s">
        <v>72</v>
      </c>
    </row>
    <row r="335" spans="1:23" x14ac:dyDescent="0.2">
      <c r="A335" t="s">
        <v>400</v>
      </c>
      <c r="B335" t="s">
        <v>402</v>
      </c>
      <c r="C335" t="s">
        <v>1012</v>
      </c>
      <c r="D335" t="s">
        <v>1031</v>
      </c>
      <c r="E335" t="s">
        <v>991</v>
      </c>
      <c r="F335">
        <v>1.75</v>
      </c>
      <c r="G335">
        <v>80</v>
      </c>
      <c r="H335">
        <v>32</v>
      </c>
      <c r="I335" t="s">
        <v>413</v>
      </c>
      <c r="K335" s="92">
        <v>1638</v>
      </c>
      <c r="L335" s="92">
        <v>92.137500000000003</v>
      </c>
      <c r="O335" s="66"/>
      <c r="S335">
        <v>2023</v>
      </c>
      <c r="U335" t="s">
        <v>99</v>
      </c>
      <c r="V335" t="s">
        <v>1032</v>
      </c>
      <c r="W335" s="64" t="s">
        <v>72</v>
      </c>
    </row>
    <row r="336" spans="1:23" x14ac:dyDescent="0.2">
      <c r="A336" t="s">
        <v>400</v>
      </c>
      <c r="B336" t="s">
        <v>402</v>
      </c>
      <c r="C336" t="s">
        <v>1012</v>
      </c>
      <c r="D336" t="s">
        <v>1033</v>
      </c>
      <c r="E336" t="s">
        <v>991</v>
      </c>
      <c r="F336">
        <v>1.75</v>
      </c>
      <c r="G336">
        <v>80</v>
      </c>
      <c r="H336">
        <v>36</v>
      </c>
      <c r="I336" t="s">
        <v>413</v>
      </c>
      <c r="K336" s="92">
        <v>1798</v>
      </c>
      <c r="L336" s="92">
        <v>89.9</v>
      </c>
      <c r="O336" s="66"/>
      <c r="S336">
        <v>2023</v>
      </c>
      <c r="U336" t="s">
        <v>99</v>
      </c>
      <c r="V336" t="s">
        <v>1034</v>
      </c>
      <c r="W336" s="64" t="s">
        <v>72</v>
      </c>
    </row>
    <row r="337" spans="1:23" x14ac:dyDescent="0.2">
      <c r="A337" t="s">
        <v>400</v>
      </c>
      <c r="B337" t="s">
        <v>402</v>
      </c>
      <c r="C337" t="s">
        <v>1012</v>
      </c>
      <c r="D337" t="s">
        <v>1035</v>
      </c>
      <c r="E337" t="s">
        <v>991</v>
      </c>
      <c r="F337">
        <v>1.75</v>
      </c>
      <c r="G337">
        <v>80</v>
      </c>
      <c r="H337">
        <v>36</v>
      </c>
      <c r="I337" t="s">
        <v>413</v>
      </c>
      <c r="K337" s="92">
        <v>1608</v>
      </c>
      <c r="L337" s="92">
        <v>80.400000000000006</v>
      </c>
      <c r="O337" s="66"/>
      <c r="S337">
        <v>2023</v>
      </c>
      <c r="U337" t="s">
        <v>99</v>
      </c>
      <c r="V337" t="s">
        <v>1036</v>
      </c>
      <c r="W337" s="64" t="s">
        <v>72</v>
      </c>
    </row>
    <row r="338" spans="1:23" x14ac:dyDescent="0.2">
      <c r="A338" t="s">
        <v>400</v>
      </c>
      <c r="B338" t="s">
        <v>402</v>
      </c>
      <c r="C338" t="s">
        <v>1012</v>
      </c>
      <c r="D338" t="s">
        <v>1037</v>
      </c>
      <c r="E338" t="s">
        <v>991</v>
      </c>
      <c r="F338">
        <v>1.75</v>
      </c>
      <c r="G338">
        <v>80</v>
      </c>
      <c r="H338">
        <v>36</v>
      </c>
      <c r="I338" t="s">
        <v>413</v>
      </c>
      <c r="K338" s="92">
        <v>1618</v>
      </c>
      <c r="L338" s="92">
        <v>80.900000000000006</v>
      </c>
      <c r="O338" s="66"/>
      <c r="S338">
        <v>2023</v>
      </c>
      <c r="U338" t="s">
        <v>99</v>
      </c>
      <c r="V338" t="s">
        <v>1038</v>
      </c>
      <c r="W338" s="64" t="s">
        <v>72</v>
      </c>
    </row>
    <row r="339" spans="1:23" x14ac:dyDescent="0.2">
      <c r="A339" t="s">
        <v>400</v>
      </c>
      <c r="B339" t="s">
        <v>402</v>
      </c>
      <c r="C339" t="s">
        <v>1012</v>
      </c>
      <c r="D339" t="s">
        <v>1039</v>
      </c>
      <c r="E339" t="s">
        <v>991</v>
      </c>
      <c r="F339">
        <v>1.75</v>
      </c>
      <c r="G339">
        <v>80</v>
      </c>
      <c r="H339">
        <v>64</v>
      </c>
      <c r="I339" t="s">
        <v>413</v>
      </c>
      <c r="K339" s="92">
        <v>4578</v>
      </c>
      <c r="L339" s="92">
        <v>128.75624999999999</v>
      </c>
      <c r="O339" s="66"/>
      <c r="S339">
        <v>2023</v>
      </c>
      <c r="U339" t="s">
        <v>99</v>
      </c>
      <c r="V339" t="s">
        <v>1040</v>
      </c>
      <c r="W339" s="64" t="s">
        <v>72</v>
      </c>
    </row>
    <row r="340" spans="1:23" x14ac:dyDescent="0.2">
      <c r="A340" t="s">
        <v>400</v>
      </c>
      <c r="B340" t="s">
        <v>402</v>
      </c>
      <c r="C340" t="s">
        <v>1012</v>
      </c>
      <c r="D340" t="s">
        <v>1041</v>
      </c>
      <c r="E340" t="s">
        <v>991</v>
      </c>
      <c r="F340">
        <v>1.75</v>
      </c>
      <c r="G340">
        <v>80</v>
      </c>
      <c r="H340">
        <v>60</v>
      </c>
      <c r="I340" t="s">
        <v>413</v>
      </c>
      <c r="K340" s="92">
        <v>2638</v>
      </c>
      <c r="L340" s="92">
        <v>79.14</v>
      </c>
      <c r="O340" s="66"/>
      <c r="S340">
        <v>2023</v>
      </c>
      <c r="U340" t="s">
        <v>99</v>
      </c>
      <c r="V340" t="s">
        <v>1042</v>
      </c>
      <c r="W340" s="64" t="s">
        <v>72</v>
      </c>
    </row>
    <row r="341" spans="1:23" x14ac:dyDescent="0.2">
      <c r="A341" t="s">
        <v>400</v>
      </c>
      <c r="B341" t="s">
        <v>402</v>
      </c>
      <c r="C341" t="s">
        <v>1012</v>
      </c>
      <c r="D341" t="s">
        <v>1043</v>
      </c>
      <c r="E341" t="s">
        <v>991</v>
      </c>
      <c r="F341">
        <v>1.75</v>
      </c>
      <c r="G341">
        <v>80</v>
      </c>
      <c r="H341">
        <v>36</v>
      </c>
      <c r="I341" t="s">
        <v>413</v>
      </c>
      <c r="K341" s="92">
        <v>1398</v>
      </c>
      <c r="L341" s="92">
        <v>69.900000000000006</v>
      </c>
      <c r="O341" s="66"/>
      <c r="S341">
        <v>2023</v>
      </c>
      <c r="U341" t="s">
        <v>99</v>
      </c>
      <c r="V341" t="s">
        <v>1044</v>
      </c>
      <c r="W341" s="64" t="s">
        <v>72</v>
      </c>
    </row>
    <row r="342" spans="1:23" ht="15.5" customHeight="1" x14ac:dyDescent="0.2">
      <c r="A342" t="s">
        <v>400</v>
      </c>
      <c r="B342" t="s">
        <v>402</v>
      </c>
      <c r="C342" t="s">
        <v>1012</v>
      </c>
      <c r="D342" t="s">
        <v>1045</v>
      </c>
      <c r="E342" t="s">
        <v>991</v>
      </c>
      <c r="F342">
        <v>1.75</v>
      </c>
      <c r="G342">
        <v>80</v>
      </c>
      <c r="H342">
        <v>36</v>
      </c>
      <c r="I342" t="s">
        <v>413</v>
      </c>
      <c r="K342" s="92">
        <v>1458</v>
      </c>
      <c r="L342" s="92">
        <v>72.899999999999991</v>
      </c>
      <c r="O342" s="66"/>
      <c r="S342">
        <v>2023</v>
      </c>
      <c r="U342" t="s">
        <v>99</v>
      </c>
      <c r="V342" t="s">
        <v>1046</v>
      </c>
      <c r="W342" s="64" t="s">
        <v>72</v>
      </c>
    </row>
    <row r="343" spans="1:23" x14ac:dyDescent="0.2">
      <c r="A343" t="s">
        <v>400</v>
      </c>
      <c r="B343" t="s">
        <v>402</v>
      </c>
      <c r="C343" t="s">
        <v>1012</v>
      </c>
      <c r="D343" t="s">
        <v>1047</v>
      </c>
      <c r="E343" t="s">
        <v>991</v>
      </c>
      <c r="F343">
        <v>1.75</v>
      </c>
      <c r="G343">
        <v>80</v>
      </c>
      <c r="H343">
        <v>50</v>
      </c>
      <c r="I343" t="s">
        <v>413</v>
      </c>
      <c r="K343" s="92">
        <v>2258</v>
      </c>
      <c r="L343" s="92">
        <v>81.287999999999997</v>
      </c>
      <c r="O343" s="66"/>
      <c r="S343">
        <v>2023</v>
      </c>
      <c r="U343" t="s">
        <v>99</v>
      </c>
      <c r="V343" t="s">
        <v>1048</v>
      </c>
      <c r="W343" s="64" t="s">
        <v>72</v>
      </c>
    </row>
    <row r="344" spans="1:23" x14ac:dyDescent="0.2">
      <c r="A344" t="s">
        <v>400</v>
      </c>
      <c r="B344" t="s">
        <v>402</v>
      </c>
      <c r="C344" t="s">
        <v>1012</v>
      </c>
      <c r="D344" t="s">
        <v>1049</v>
      </c>
      <c r="E344" t="s">
        <v>991</v>
      </c>
      <c r="F344">
        <v>1.75</v>
      </c>
      <c r="G344">
        <v>80</v>
      </c>
      <c r="H344">
        <v>64</v>
      </c>
      <c r="I344" t="s">
        <v>413</v>
      </c>
      <c r="K344" s="92">
        <v>2748</v>
      </c>
      <c r="L344" s="92">
        <v>77.287500000000009</v>
      </c>
      <c r="O344" s="66"/>
      <c r="S344">
        <v>2023</v>
      </c>
      <c r="U344" t="s">
        <v>99</v>
      </c>
      <c r="V344" t="s">
        <v>1050</v>
      </c>
      <c r="W344" s="64" t="s">
        <v>72</v>
      </c>
    </row>
    <row r="345" spans="1:23" x14ac:dyDescent="0.2">
      <c r="A345" t="s">
        <v>400</v>
      </c>
      <c r="B345" t="s">
        <v>402</v>
      </c>
      <c r="C345" t="s">
        <v>1012</v>
      </c>
      <c r="D345" t="s">
        <v>1051</v>
      </c>
      <c r="E345" t="s">
        <v>991</v>
      </c>
      <c r="F345">
        <v>1.75</v>
      </c>
      <c r="G345">
        <v>80</v>
      </c>
      <c r="H345">
        <v>72</v>
      </c>
      <c r="I345" t="s">
        <v>413</v>
      </c>
      <c r="K345" s="92">
        <v>2488</v>
      </c>
      <c r="L345" s="92">
        <v>62.2</v>
      </c>
      <c r="O345" s="66"/>
      <c r="S345">
        <v>2023</v>
      </c>
      <c r="U345" t="s">
        <v>99</v>
      </c>
      <c r="V345" t="s">
        <v>1052</v>
      </c>
      <c r="W345" s="64" t="s">
        <v>72</v>
      </c>
    </row>
    <row r="346" spans="1:23" x14ac:dyDescent="0.2">
      <c r="A346" t="s">
        <v>400</v>
      </c>
      <c r="B346" t="s">
        <v>402</v>
      </c>
      <c r="C346" t="s">
        <v>1012</v>
      </c>
      <c r="D346" t="s">
        <v>1053</v>
      </c>
      <c r="E346" t="s">
        <v>991</v>
      </c>
      <c r="F346">
        <v>1.75</v>
      </c>
      <c r="G346">
        <v>80</v>
      </c>
      <c r="H346">
        <v>72</v>
      </c>
      <c r="I346" t="s">
        <v>413</v>
      </c>
      <c r="K346" s="92">
        <v>2208</v>
      </c>
      <c r="L346" s="92">
        <v>55.2</v>
      </c>
      <c r="O346" s="66"/>
      <c r="S346">
        <v>2023</v>
      </c>
      <c r="U346" t="s">
        <v>99</v>
      </c>
      <c r="V346" t="s">
        <v>1054</v>
      </c>
      <c r="W346" s="64" t="s">
        <v>72</v>
      </c>
    </row>
    <row r="347" spans="1:23" x14ac:dyDescent="0.2">
      <c r="A347" t="s">
        <v>400</v>
      </c>
      <c r="B347" t="s">
        <v>402</v>
      </c>
      <c r="C347" t="s">
        <v>1012</v>
      </c>
      <c r="D347" t="s">
        <v>1055</v>
      </c>
      <c r="E347" t="s">
        <v>991</v>
      </c>
      <c r="F347">
        <v>1.75</v>
      </c>
      <c r="G347">
        <v>80</v>
      </c>
      <c r="H347">
        <v>72</v>
      </c>
      <c r="I347" t="s">
        <v>413</v>
      </c>
      <c r="K347" s="92">
        <v>2168</v>
      </c>
      <c r="L347" s="92">
        <v>54.2</v>
      </c>
      <c r="O347" s="66"/>
      <c r="S347">
        <v>2023</v>
      </c>
      <c r="U347" t="s">
        <v>99</v>
      </c>
      <c r="V347" t="s">
        <v>1056</v>
      </c>
      <c r="W347" s="64" t="s">
        <v>72</v>
      </c>
    </row>
    <row r="348" spans="1:23" x14ac:dyDescent="0.2">
      <c r="A348" t="s">
        <v>400</v>
      </c>
      <c r="B348" t="s">
        <v>402</v>
      </c>
      <c r="C348" t="s">
        <v>1012</v>
      </c>
      <c r="D348" t="s">
        <v>1057</v>
      </c>
      <c r="E348" t="s">
        <v>991</v>
      </c>
      <c r="F348">
        <v>1.75</v>
      </c>
      <c r="G348">
        <v>80</v>
      </c>
      <c r="H348">
        <v>36</v>
      </c>
      <c r="I348" t="s">
        <v>416</v>
      </c>
      <c r="K348" s="92">
        <v>1508</v>
      </c>
      <c r="L348" s="92">
        <v>75.400000000000006</v>
      </c>
      <c r="O348" s="66"/>
      <c r="S348">
        <v>2023</v>
      </c>
      <c r="U348" t="s">
        <v>99</v>
      </c>
      <c r="V348" t="s">
        <v>1058</v>
      </c>
      <c r="W348" s="64" t="s">
        <v>72</v>
      </c>
    </row>
    <row r="349" spans="1:23" x14ac:dyDescent="0.2">
      <c r="A349" t="s">
        <v>400</v>
      </c>
      <c r="B349" t="s">
        <v>402</v>
      </c>
      <c r="C349" t="s">
        <v>403</v>
      </c>
      <c r="D349" t="s">
        <v>1059</v>
      </c>
      <c r="E349" t="s">
        <v>991</v>
      </c>
      <c r="F349">
        <v>1.75</v>
      </c>
      <c r="G349">
        <v>81.5</v>
      </c>
      <c r="H349">
        <v>60.5</v>
      </c>
      <c r="I349" t="s">
        <v>416</v>
      </c>
      <c r="K349" s="92">
        <v>4148</v>
      </c>
      <c r="L349" s="92">
        <v>121.1401916544136</v>
      </c>
      <c r="O349" s="66"/>
      <c r="S349">
        <v>2023</v>
      </c>
      <c r="U349" t="s">
        <v>99</v>
      </c>
      <c r="V349" t="s">
        <v>1060</v>
      </c>
      <c r="W349" s="64" t="s">
        <v>72</v>
      </c>
    </row>
    <row r="350" spans="1:23" x14ac:dyDescent="0.2">
      <c r="A350" t="s">
        <v>400</v>
      </c>
      <c r="B350" t="s">
        <v>402</v>
      </c>
      <c r="C350" t="s">
        <v>403</v>
      </c>
      <c r="D350" t="s">
        <v>1061</v>
      </c>
      <c r="E350" t="s">
        <v>991</v>
      </c>
      <c r="F350">
        <v>1.75</v>
      </c>
      <c r="G350">
        <v>81.5</v>
      </c>
      <c r="H350">
        <v>49</v>
      </c>
      <c r="I350" t="s">
        <v>416</v>
      </c>
      <c r="K350" s="92">
        <v>3398</v>
      </c>
      <c r="L350" s="92">
        <v>122.52710654814069</v>
      </c>
      <c r="O350" s="66"/>
      <c r="S350">
        <v>2023</v>
      </c>
      <c r="U350" t="s">
        <v>99</v>
      </c>
      <c r="V350" t="s">
        <v>1062</v>
      </c>
      <c r="W350" s="64" t="s">
        <v>72</v>
      </c>
    </row>
    <row r="351" spans="1:23" x14ac:dyDescent="0.2">
      <c r="A351" t="s">
        <v>400</v>
      </c>
      <c r="B351" t="s">
        <v>402</v>
      </c>
      <c r="C351" t="s">
        <v>403</v>
      </c>
      <c r="D351" t="s">
        <v>1063</v>
      </c>
      <c r="E351" t="s">
        <v>991</v>
      </c>
      <c r="F351">
        <v>1.75</v>
      </c>
      <c r="G351">
        <v>81.5</v>
      </c>
      <c r="H351">
        <v>37.5</v>
      </c>
      <c r="I351" t="s">
        <v>416</v>
      </c>
      <c r="K351" s="92">
        <v>2318</v>
      </c>
      <c r="L351" s="92">
        <v>109.21619631901839</v>
      </c>
      <c r="O351" s="66"/>
      <c r="S351">
        <v>2023</v>
      </c>
      <c r="U351" t="s">
        <v>99</v>
      </c>
      <c r="V351" t="s">
        <v>1064</v>
      </c>
      <c r="W351" s="64" t="s">
        <v>72</v>
      </c>
    </row>
    <row r="352" spans="1:23" x14ac:dyDescent="0.2">
      <c r="A352" t="s">
        <v>400</v>
      </c>
      <c r="B352" t="s">
        <v>402</v>
      </c>
      <c r="C352" t="s">
        <v>403</v>
      </c>
      <c r="D352" t="s">
        <v>1065</v>
      </c>
      <c r="E352" t="s">
        <v>991</v>
      </c>
      <c r="F352">
        <v>1.75</v>
      </c>
      <c r="G352">
        <v>80</v>
      </c>
      <c r="H352">
        <v>37.5</v>
      </c>
      <c r="I352" t="s">
        <v>416</v>
      </c>
      <c r="K352" s="92">
        <v>2028</v>
      </c>
      <c r="L352" s="92">
        <v>97.344000000000008</v>
      </c>
      <c r="O352" s="66"/>
      <c r="S352">
        <v>2023</v>
      </c>
      <c r="U352" t="s">
        <v>99</v>
      </c>
      <c r="V352" t="s">
        <v>1066</v>
      </c>
      <c r="W352" s="64" t="s">
        <v>72</v>
      </c>
    </row>
    <row r="353" spans="1:23" x14ac:dyDescent="0.2">
      <c r="A353" t="s">
        <v>400</v>
      </c>
      <c r="B353" t="s">
        <v>402</v>
      </c>
      <c r="C353" t="s">
        <v>1067</v>
      </c>
      <c r="D353" t="s">
        <v>1068</v>
      </c>
      <c r="E353" t="s">
        <v>991</v>
      </c>
      <c r="F353">
        <v>1.75</v>
      </c>
      <c r="G353">
        <v>81.5</v>
      </c>
      <c r="H353">
        <v>36</v>
      </c>
      <c r="I353" t="s">
        <v>419</v>
      </c>
      <c r="K353" s="92">
        <v>2058</v>
      </c>
      <c r="L353" s="92">
        <v>101.0061349693252</v>
      </c>
      <c r="O353" s="66"/>
      <c r="S353">
        <v>2023</v>
      </c>
      <c r="U353" t="s">
        <v>99</v>
      </c>
      <c r="V353" t="s">
        <v>1069</v>
      </c>
      <c r="W353" s="64" t="s">
        <v>72</v>
      </c>
    </row>
    <row r="354" spans="1:23" x14ac:dyDescent="0.2">
      <c r="A354" t="s">
        <v>400</v>
      </c>
      <c r="B354" t="s">
        <v>402</v>
      </c>
      <c r="C354" t="s">
        <v>1067</v>
      </c>
      <c r="D354" t="s">
        <v>1070</v>
      </c>
      <c r="E354" t="s">
        <v>991</v>
      </c>
      <c r="F354">
        <v>1.75</v>
      </c>
      <c r="G354">
        <v>81.5</v>
      </c>
      <c r="H354">
        <v>36</v>
      </c>
      <c r="I354" t="s">
        <v>419</v>
      </c>
      <c r="K354" s="92">
        <v>1918</v>
      </c>
      <c r="L354" s="92">
        <v>94.134969325153378</v>
      </c>
      <c r="O354" s="66"/>
      <c r="S354">
        <v>2023</v>
      </c>
      <c r="U354" t="s">
        <v>99</v>
      </c>
      <c r="V354" t="s">
        <v>1071</v>
      </c>
      <c r="W354" s="64" t="s">
        <v>72</v>
      </c>
    </row>
    <row r="355" spans="1:23" x14ac:dyDescent="0.2">
      <c r="A355" t="s">
        <v>400</v>
      </c>
      <c r="B355" t="s">
        <v>402</v>
      </c>
      <c r="C355" t="s">
        <v>403</v>
      </c>
      <c r="D355" t="s">
        <v>1072</v>
      </c>
      <c r="E355" t="s">
        <v>991</v>
      </c>
      <c r="F355">
        <v>1.75</v>
      </c>
      <c r="G355">
        <v>81.5</v>
      </c>
      <c r="H355">
        <v>66.25</v>
      </c>
      <c r="I355" t="s">
        <v>419</v>
      </c>
      <c r="K355" s="92">
        <v>4348</v>
      </c>
      <c r="L355" s="92">
        <v>115.96008797314499</v>
      </c>
      <c r="O355" s="66"/>
      <c r="S355">
        <v>2023</v>
      </c>
      <c r="U355" t="s">
        <v>99</v>
      </c>
      <c r="V355" t="s">
        <v>1073</v>
      </c>
      <c r="W355" s="64" t="s">
        <v>72</v>
      </c>
    </row>
    <row r="356" spans="1:23" x14ac:dyDescent="0.2">
      <c r="A356" t="s">
        <v>400</v>
      </c>
      <c r="B356" t="s">
        <v>402</v>
      </c>
      <c r="C356" t="s">
        <v>1001</v>
      </c>
      <c r="D356" t="s">
        <v>1074</v>
      </c>
      <c r="E356" t="s">
        <v>991</v>
      </c>
      <c r="F356">
        <v>1.75</v>
      </c>
      <c r="G356">
        <v>79</v>
      </c>
      <c r="H356">
        <v>36</v>
      </c>
      <c r="I356" t="s">
        <v>419</v>
      </c>
      <c r="K356" s="92">
        <v>2063.9899999999998</v>
      </c>
      <c r="L356" s="92">
        <v>104.50582278481011</v>
      </c>
      <c r="O356" s="66"/>
      <c r="S356">
        <v>2023</v>
      </c>
      <c r="U356" t="s">
        <v>99</v>
      </c>
      <c r="V356" t="s">
        <v>1075</v>
      </c>
      <c r="W356" s="64" t="s">
        <v>72</v>
      </c>
    </row>
    <row r="357" spans="1:23" x14ac:dyDescent="0.2">
      <c r="A357" t="s">
        <v>400</v>
      </c>
      <c r="B357" t="s">
        <v>402</v>
      </c>
      <c r="C357" t="s">
        <v>1001</v>
      </c>
      <c r="D357" t="s">
        <v>1076</v>
      </c>
      <c r="E357" t="s">
        <v>991</v>
      </c>
      <c r="F357">
        <v>1.75</v>
      </c>
      <c r="G357">
        <v>79.5</v>
      </c>
      <c r="H357">
        <v>36</v>
      </c>
      <c r="I357" t="s">
        <v>419</v>
      </c>
      <c r="K357" s="92">
        <v>1688</v>
      </c>
      <c r="L357" s="92">
        <v>84.930817610062888</v>
      </c>
      <c r="O357" s="66"/>
      <c r="S357">
        <v>2023</v>
      </c>
      <c r="U357" t="s">
        <v>99</v>
      </c>
      <c r="V357" t="s">
        <v>1077</v>
      </c>
      <c r="W357" s="64" t="s">
        <v>72</v>
      </c>
    </row>
    <row r="358" spans="1:23" x14ac:dyDescent="0.2">
      <c r="A358" t="s">
        <v>400</v>
      </c>
      <c r="B358" t="s">
        <v>402</v>
      </c>
      <c r="C358" t="s">
        <v>1012</v>
      </c>
      <c r="D358" t="s">
        <v>1078</v>
      </c>
      <c r="E358" t="s">
        <v>991</v>
      </c>
      <c r="F358">
        <v>1.75</v>
      </c>
      <c r="G358">
        <v>96</v>
      </c>
      <c r="H358">
        <v>72</v>
      </c>
      <c r="I358" t="s">
        <v>419</v>
      </c>
      <c r="K358" s="92">
        <v>2978</v>
      </c>
      <c r="L358" s="92">
        <v>62.041666666666657</v>
      </c>
      <c r="O358" s="66"/>
      <c r="S358">
        <v>2023</v>
      </c>
      <c r="U358" t="s">
        <v>99</v>
      </c>
      <c r="V358" t="s">
        <v>1079</v>
      </c>
      <c r="W358" s="64" t="s">
        <v>72</v>
      </c>
    </row>
    <row r="359" spans="1:23" x14ac:dyDescent="0.2">
      <c r="A359" t="s">
        <v>400</v>
      </c>
      <c r="B359" t="s">
        <v>402</v>
      </c>
      <c r="C359" t="s">
        <v>1012</v>
      </c>
      <c r="D359" t="s">
        <v>1080</v>
      </c>
      <c r="E359" t="s">
        <v>991</v>
      </c>
      <c r="F359">
        <v>1.75</v>
      </c>
      <c r="G359">
        <v>96</v>
      </c>
      <c r="H359">
        <v>72</v>
      </c>
      <c r="I359" t="s">
        <v>419</v>
      </c>
      <c r="K359" s="92">
        <v>2768</v>
      </c>
      <c r="L359" s="92">
        <v>57.666666666666657</v>
      </c>
      <c r="O359" s="66"/>
      <c r="S359">
        <v>2023</v>
      </c>
      <c r="U359" t="s">
        <v>99</v>
      </c>
      <c r="V359" t="s">
        <v>1081</v>
      </c>
      <c r="W359" s="64" t="s">
        <v>72</v>
      </c>
    </row>
    <row r="360" spans="1:23" x14ac:dyDescent="0.2">
      <c r="A360" t="s">
        <v>400</v>
      </c>
      <c r="B360" t="s">
        <v>402</v>
      </c>
      <c r="C360" t="s">
        <v>1012</v>
      </c>
      <c r="D360" t="s">
        <v>1082</v>
      </c>
      <c r="E360" t="s">
        <v>991</v>
      </c>
      <c r="F360">
        <v>1.75</v>
      </c>
      <c r="G360">
        <v>80</v>
      </c>
      <c r="H360">
        <v>72</v>
      </c>
      <c r="I360" t="s">
        <v>419</v>
      </c>
      <c r="K360" s="92">
        <v>2538</v>
      </c>
      <c r="L360" s="92">
        <v>63.45</v>
      </c>
      <c r="O360" s="66"/>
      <c r="S360">
        <v>2023</v>
      </c>
      <c r="U360" t="s">
        <v>99</v>
      </c>
      <c r="V360" t="s">
        <v>1083</v>
      </c>
      <c r="W360" s="64" t="s">
        <v>72</v>
      </c>
    </row>
    <row r="361" spans="1:23" x14ac:dyDescent="0.2">
      <c r="A361" t="s">
        <v>400</v>
      </c>
      <c r="B361" t="s">
        <v>402</v>
      </c>
      <c r="C361" t="s">
        <v>1012</v>
      </c>
      <c r="D361" t="s">
        <v>1084</v>
      </c>
      <c r="E361" t="s">
        <v>991</v>
      </c>
      <c r="F361">
        <v>1.75</v>
      </c>
      <c r="G361">
        <v>80</v>
      </c>
      <c r="H361">
        <v>50</v>
      </c>
      <c r="I361" t="s">
        <v>419</v>
      </c>
      <c r="K361" s="92">
        <v>2808</v>
      </c>
      <c r="L361" s="92">
        <v>101.08799999999999</v>
      </c>
      <c r="O361" s="66"/>
      <c r="S361">
        <v>2023</v>
      </c>
      <c r="U361" t="s">
        <v>99</v>
      </c>
      <c r="V361" t="s">
        <v>1085</v>
      </c>
      <c r="W361" s="64" t="s">
        <v>72</v>
      </c>
    </row>
    <row r="362" spans="1:23" x14ac:dyDescent="0.2">
      <c r="A362" t="s">
        <v>400</v>
      </c>
      <c r="B362" t="s">
        <v>402</v>
      </c>
      <c r="C362" t="s">
        <v>1012</v>
      </c>
      <c r="D362" t="s">
        <v>1086</v>
      </c>
      <c r="E362" t="s">
        <v>991</v>
      </c>
      <c r="F362">
        <v>1.75</v>
      </c>
      <c r="G362">
        <v>96</v>
      </c>
      <c r="H362">
        <v>36</v>
      </c>
      <c r="I362" t="s">
        <v>419</v>
      </c>
      <c r="K362" s="92">
        <v>1608</v>
      </c>
      <c r="L362" s="92">
        <v>67</v>
      </c>
      <c r="O362" s="66"/>
      <c r="S362">
        <v>2023</v>
      </c>
      <c r="U362" t="s">
        <v>99</v>
      </c>
      <c r="V362" t="s">
        <v>1087</v>
      </c>
      <c r="W362" s="64" t="s">
        <v>72</v>
      </c>
    </row>
    <row r="363" spans="1:23" x14ac:dyDescent="0.2">
      <c r="A363" t="s">
        <v>400</v>
      </c>
      <c r="B363" t="s">
        <v>402</v>
      </c>
      <c r="C363" t="s">
        <v>1012</v>
      </c>
      <c r="D363" t="s">
        <v>1088</v>
      </c>
      <c r="E363" t="s">
        <v>991</v>
      </c>
      <c r="F363">
        <v>1.75</v>
      </c>
      <c r="G363">
        <v>80</v>
      </c>
      <c r="H363">
        <v>36</v>
      </c>
      <c r="I363" t="s">
        <v>419</v>
      </c>
      <c r="K363" s="92">
        <v>1438</v>
      </c>
      <c r="L363" s="92">
        <v>71.900000000000006</v>
      </c>
      <c r="O363" s="66"/>
      <c r="S363">
        <v>2023</v>
      </c>
      <c r="U363" t="s">
        <v>99</v>
      </c>
      <c r="V363" t="s">
        <v>1089</v>
      </c>
      <c r="W363" s="64" t="s">
        <v>72</v>
      </c>
    </row>
    <row r="364" spans="1:23" x14ac:dyDescent="0.2">
      <c r="A364" t="s">
        <v>400</v>
      </c>
      <c r="B364" t="s">
        <v>402</v>
      </c>
      <c r="C364" t="s">
        <v>1012</v>
      </c>
      <c r="D364" t="s">
        <v>1090</v>
      </c>
      <c r="E364" t="s">
        <v>991</v>
      </c>
      <c r="F364">
        <v>1.75</v>
      </c>
      <c r="G364">
        <v>80</v>
      </c>
      <c r="H364">
        <v>36</v>
      </c>
      <c r="I364" t="s">
        <v>419</v>
      </c>
      <c r="K364" s="92">
        <v>2588</v>
      </c>
      <c r="L364" s="92">
        <v>129.4</v>
      </c>
      <c r="O364" s="66"/>
      <c r="S364">
        <v>2023</v>
      </c>
      <c r="U364" t="s">
        <v>99</v>
      </c>
      <c r="V364" t="s">
        <v>1091</v>
      </c>
      <c r="W364" s="64" t="s">
        <v>72</v>
      </c>
    </row>
    <row r="365" spans="1:23" x14ac:dyDescent="0.2">
      <c r="A365" t="s">
        <v>400</v>
      </c>
      <c r="B365" t="s">
        <v>402</v>
      </c>
      <c r="C365" t="s">
        <v>1012</v>
      </c>
      <c r="D365" t="s">
        <v>1092</v>
      </c>
      <c r="E365" t="s">
        <v>991</v>
      </c>
      <c r="F365">
        <v>1.75</v>
      </c>
      <c r="G365">
        <v>80</v>
      </c>
      <c r="H365">
        <v>36</v>
      </c>
      <c r="K365" s="92">
        <v>1868</v>
      </c>
      <c r="L365" s="92">
        <v>93.4</v>
      </c>
      <c r="O365" s="66"/>
      <c r="S365">
        <v>2023</v>
      </c>
      <c r="U365" t="s">
        <v>99</v>
      </c>
      <c r="V365" t="s">
        <v>1093</v>
      </c>
      <c r="W365" s="64" t="s">
        <v>72</v>
      </c>
    </row>
    <row r="366" spans="1:23" x14ac:dyDescent="0.2">
      <c r="A366" t="s">
        <v>400</v>
      </c>
      <c r="B366" t="s">
        <v>402</v>
      </c>
      <c r="C366" t="s">
        <v>1067</v>
      </c>
      <c r="D366" t="s">
        <v>1094</v>
      </c>
      <c r="E366" t="s">
        <v>991</v>
      </c>
      <c r="F366">
        <v>1.75</v>
      </c>
      <c r="G366">
        <v>81.5</v>
      </c>
      <c r="H366">
        <v>33.5</v>
      </c>
      <c r="K366" s="92">
        <v>2538</v>
      </c>
      <c r="L366" s="92">
        <v>133.8602692061167</v>
      </c>
      <c r="O366" s="66"/>
      <c r="S366">
        <v>2023</v>
      </c>
      <c r="U366" t="s">
        <v>99</v>
      </c>
      <c r="V366" t="s">
        <v>1095</v>
      </c>
      <c r="W366" s="64" t="s">
        <v>72</v>
      </c>
    </row>
    <row r="367" spans="1:23" x14ac:dyDescent="0.2">
      <c r="A367" t="s">
        <v>400</v>
      </c>
      <c r="B367" t="s">
        <v>402</v>
      </c>
      <c r="C367" t="s">
        <v>1096</v>
      </c>
      <c r="D367" t="s">
        <v>1097</v>
      </c>
      <c r="E367" t="s">
        <v>991</v>
      </c>
      <c r="F367">
        <v>1.75</v>
      </c>
      <c r="G367">
        <v>79</v>
      </c>
      <c r="H367">
        <v>35.813000000000002</v>
      </c>
      <c r="K367" s="92">
        <v>1434</v>
      </c>
      <c r="L367" s="92">
        <v>72.986720401014125</v>
      </c>
      <c r="O367" s="66"/>
      <c r="S367">
        <v>2023</v>
      </c>
      <c r="U367" t="s">
        <v>99</v>
      </c>
      <c r="V367" t="s">
        <v>1098</v>
      </c>
      <c r="W367" s="64" t="s">
        <v>72</v>
      </c>
    </row>
    <row r="368" spans="1:23" x14ac:dyDescent="0.2">
      <c r="A368" t="s">
        <v>400</v>
      </c>
      <c r="B368" t="s">
        <v>402</v>
      </c>
      <c r="C368" t="s">
        <v>1001</v>
      </c>
      <c r="D368" t="s">
        <v>1099</v>
      </c>
      <c r="E368" t="s">
        <v>991</v>
      </c>
      <c r="F368">
        <v>1.75</v>
      </c>
      <c r="G368">
        <v>79.5</v>
      </c>
      <c r="H368">
        <v>36</v>
      </c>
      <c r="K368" s="92">
        <v>1528</v>
      </c>
      <c r="L368" s="92">
        <v>76.880503144654099</v>
      </c>
      <c r="O368" s="66"/>
      <c r="S368">
        <v>2023</v>
      </c>
      <c r="U368" t="s">
        <v>99</v>
      </c>
      <c r="V368" t="s">
        <v>1100</v>
      </c>
      <c r="W368" s="64" t="s">
        <v>72</v>
      </c>
    </row>
    <row r="369" spans="1:23" x14ac:dyDescent="0.2">
      <c r="A369" t="s">
        <v>400</v>
      </c>
      <c r="B369" t="s">
        <v>402</v>
      </c>
      <c r="C369" t="s">
        <v>1001</v>
      </c>
      <c r="D369" t="s">
        <v>1101</v>
      </c>
      <c r="E369" t="s">
        <v>991</v>
      </c>
      <c r="F369">
        <v>1.75</v>
      </c>
      <c r="G369">
        <v>79.5</v>
      </c>
      <c r="H369">
        <v>36</v>
      </c>
      <c r="K369" s="92">
        <v>1508</v>
      </c>
      <c r="L369" s="92">
        <v>75.874213836477992</v>
      </c>
      <c r="O369" s="66"/>
      <c r="S369">
        <v>2023</v>
      </c>
      <c r="U369" t="s">
        <v>99</v>
      </c>
      <c r="V369" t="s">
        <v>1102</v>
      </c>
      <c r="W369" s="64" t="s">
        <v>72</v>
      </c>
    </row>
    <row r="370" spans="1:23" x14ac:dyDescent="0.2">
      <c r="A370" t="s">
        <v>400</v>
      </c>
      <c r="B370" t="s">
        <v>402</v>
      </c>
      <c r="C370" t="s">
        <v>1012</v>
      </c>
      <c r="D370" t="s">
        <v>1103</v>
      </c>
      <c r="E370" t="s">
        <v>991</v>
      </c>
      <c r="F370">
        <v>1.75</v>
      </c>
      <c r="G370">
        <v>96</v>
      </c>
      <c r="H370">
        <v>72</v>
      </c>
      <c r="K370" s="92">
        <v>3188</v>
      </c>
      <c r="L370" s="92">
        <v>66.416666666666671</v>
      </c>
      <c r="O370" s="66"/>
      <c r="S370">
        <v>2023</v>
      </c>
      <c r="U370" t="s">
        <v>99</v>
      </c>
      <c r="V370" t="s">
        <v>1104</v>
      </c>
      <c r="W370" s="64" t="s">
        <v>72</v>
      </c>
    </row>
    <row r="371" spans="1:23" x14ac:dyDescent="0.2">
      <c r="A371" t="s">
        <v>400</v>
      </c>
      <c r="B371" t="s">
        <v>402</v>
      </c>
      <c r="C371" t="s">
        <v>1012</v>
      </c>
      <c r="D371" t="s">
        <v>1105</v>
      </c>
      <c r="E371" t="s">
        <v>991</v>
      </c>
      <c r="F371">
        <v>1.75</v>
      </c>
      <c r="G371">
        <v>80</v>
      </c>
      <c r="H371">
        <v>42</v>
      </c>
      <c r="K371" s="92">
        <v>1308</v>
      </c>
      <c r="L371" s="92">
        <v>56.057142857142857</v>
      </c>
      <c r="O371" s="66"/>
      <c r="S371">
        <v>2023</v>
      </c>
      <c r="U371" t="s">
        <v>99</v>
      </c>
      <c r="V371" t="s">
        <v>1106</v>
      </c>
      <c r="W371" s="64" t="s">
        <v>72</v>
      </c>
    </row>
    <row r="372" spans="1:23" x14ac:dyDescent="0.2">
      <c r="A372" t="s">
        <v>400</v>
      </c>
      <c r="B372" t="s">
        <v>402</v>
      </c>
      <c r="C372" t="s">
        <v>1012</v>
      </c>
      <c r="D372" t="s">
        <v>1107</v>
      </c>
      <c r="E372" t="s">
        <v>991</v>
      </c>
      <c r="F372">
        <v>1.75</v>
      </c>
      <c r="G372">
        <v>80</v>
      </c>
      <c r="H372">
        <v>36</v>
      </c>
      <c r="K372" s="92">
        <v>938</v>
      </c>
      <c r="L372" s="92">
        <v>46.9</v>
      </c>
      <c r="O372" s="66"/>
      <c r="S372">
        <v>2023</v>
      </c>
      <c r="U372" t="s">
        <v>99</v>
      </c>
      <c r="V372" t="s">
        <v>1108</v>
      </c>
      <c r="W372" s="64" t="s">
        <v>72</v>
      </c>
    </row>
    <row r="373" spans="1:23" x14ac:dyDescent="0.2">
      <c r="A373" t="s">
        <v>400</v>
      </c>
      <c r="B373" t="s">
        <v>402</v>
      </c>
      <c r="C373" t="s">
        <v>1012</v>
      </c>
      <c r="D373" t="s">
        <v>1109</v>
      </c>
      <c r="E373" t="s">
        <v>991</v>
      </c>
      <c r="F373">
        <v>1.75</v>
      </c>
      <c r="G373">
        <v>80</v>
      </c>
      <c r="H373">
        <v>36</v>
      </c>
      <c r="K373" s="92">
        <v>788</v>
      </c>
      <c r="L373" s="92">
        <v>39.400000000000013</v>
      </c>
      <c r="O373" s="66"/>
      <c r="S373">
        <v>2023</v>
      </c>
      <c r="U373" t="s">
        <v>99</v>
      </c>
      <c r="V373" t="s">
        <v>1110</v>
      </c>
      <c r="W373" s="64" t="s">
        <v>72</v>
      </c>
    </row>
    <row r="374" spans="1:23" x14ac:dyDescent="0.2">
      <c r="A374" t="s">
        <v>400</v>
      </c>
      <c r="B374" t="s">
        <v>402</v>
      </c>
      <c r="C374" t="s">
        <v>1012</v>
      </c>
      <c r="D374" t="s">
        <v>1112</v>
      </c>
      <c r="E374" t="s">
        <v>991</v>
      </c>
      <c r="F374">
        <v>1.75</v>
      </c>
      <c r="G374">
        <v>80</v>
      </c>
      <c r="H374">
        <v>36</v>
      </c>
      <c r="I374" t="s">
        <v>685</v>
      </c>
      <c r="K374" s="92">
        <v>1018</v>
      </c>
      <c r="L374" s="92">
        <v>50.900000000000013</v>
      </c>
      <c r="O374" s="66"/>
      <c r="S374">
        <v>2023</v>
      </c>
      <c r="U374" t="s">
        <v>99</v>
      </c>
      <c r="V374" t="s">
        <v>1113</v>
      </c>
      <c r="W374" s="64" t="s">
        <v>72</v>
      </c>
    </row>
    <row r="375" spans="1:23" x14ac:dyDescent="0.2">
      <c r="A375" t="s">
        <v>400</v>
      </c>
      <c r="B375" t="s">
        <v>402</v>
      </c>
      <c r="C375" t="s">
        <v>1012</v>
      </c>
      <c r="D375" t="s">
        <v>1114</v>
      </c>
      <c r="E375" t="s">
        <v>991</v>
      </c>
      <c r="F375">
        <v>1.75</v>
      </c>
      <c r="G375">
        <v>80</v>
      </c>
      <c r="H375">
        <v>64</v>
      </c>
      <c r="I375" t="s">
        <v>685</v>
      </c>
      <c r="K375" s="92">
        <v>1988</v>
      </c>
      <c r="L375" s="92">
        <v>55.912500000000001</v>
      </c>
      <c r="O375" s="66"/>
      <c r="S375">
        <v>2023</v>
      </c>
      <c r="U375" t="s">
        <v>99</v>
      </c>
      <c r="V375" t="s">
        <v>1115</v>
      </c>
      <c r="W375" s="64" t="s">
        <v>72</v>
      </c>
    </row>
    <row r="376" spans="1:23" x14ac:dyDescent="0.2">
      <c r="A376" t="s">
        <v>400</v>
      </c>
      <c r="B376" t="s">
        <v>402</v>
      </c>
      <c r="C376" t="s">
        <v>1012</v>
      </c>
      <c r="D376" t="s">
        <v>1116</v>
      </c>
      <c r="E376" t="s">
        <v>991</v>
      </c>
      <c r="F376">
        <v>1.75</v>
      </c>
      <c r="G376">
        <v>80</v>
      </c>
      <c r="H376">
        <v>64</v>
      </c>
      <c r="I376" t="s">
        <v>1117</v>
      </c>
      <c r="K376" s="92">
        <v>2148</v>
      </c>
      <c r="L376" s="92">
        <v>60.412500000000001</v>
      </c>
      <c r="O376" s="66"/>
      <c r="S376">
        <v>2023</v>
      </c>
      <c r="U376" t="s">
        <v>99</v>
      </c>
      <c r="V376" t="s">
        <v>1118</v>
      </c>
      <c r="W376" s="64" t="s">
        <v>72</v>
      </c>
    </row>
    <row r="377" spans="1:23" x14ac:dyDescent="0.2">
      <c r="A377" t="s">
        <v>400</v>
      </c>
      <c r="B377" t="s">
        <v>402</v>
      </c>
      <c r="C377" t="s">
        <v>1012</v>
      </c>
      <c r="D377" t="s">
        <v>1119</v>
      </c>
      <c r="E377" t="s">
        <v>991</v>
      </c>
      <c r="F377">
        <v>1.75</v>
      </c>
      <c r="G377">
        <v>80</v>
      </c>
      <c r="H377">
        <v>36</v>
      </c>
      <c r="I377" t="s">
        <v>1117</v>
      </c>
      <c r="K377" s="92">
        <v>1118</v>
      </c>
      <c r="L377" s="92">
        <v>55.9</v>
      </c>
      <c r="O377" s="66"/>
      <c r="S377">
        <v>2023</v>
      </c>
      <c r="U377" t="s">
        <v>99</v>
      </c>
      <c r="V377" t="s">
        <v>1120</v>
      </c>
      <c r="W377" s="64" t="s">
        <v>72</v>
      </c>
    </row>
    <row r="378" spans="1:23" x14ac:dyDescent="0.2">
      <c r="A378" t="s">
        <v>400</v>
      </c>
      <c r="B378" t="s">
        <v>402</v>
      </c>
      <c r="C378" t="s">
        <v>1012</v>
      </c>
      <c r="D378" t="s">
        <v>1121</v>
      </c>
      <c r="E378" t="s">
        <v>991</v>
      </c>
      <c r="F378">
        <v>1.75</v>
      </c>
      <c r="G378">
        <v>80</v>
      </c>
      <c r="H378">
        <v>36</v>
      </c>
      <c r="I378" t="s">
        <v>1117</v>
      </c>
      <c r="K378" s="92">
        <v>1398</v>
      </c>
      <c r="L378" s="92">
        <v>69.900000000000006</v>
      </c>
      <c r="O378" s="66"/>
      <c r="S378">
        <v>2023</v>
      </c>
      <c r="U378" t="s">
        <v>99</v>
      </c>
      <c r="V378" t="s">
        <v>1122</v>
      </c>
      <c r="W378" s="64" t="s">
        <v>72</v>
      </c>
    </row>
    <row r="379" spans="1:23" x14ac:dyDescent="0.2">
      <c r="A379" t="s">
        <v>400</v>
      </c>
      <c r="B379" t="s">
        <v>402</v>
      </c>
      <c r="C379" t="s">
        <v>1012</v>
      </c>
      <c r="D379" t="s">
        <v>1123</v>
      </c>
      <c r="E379" t="s">
        <v>991</v>
      </c>
      <c r="F379">
        <v>1.75</v>
      </c>
      <c r="G379">
        <v>80</v>
      </c>
      <c r="H379">
        <v>36</v>
      </c>
      <c r="I379" t="s">
        <v>1124</v>
      </c>
      <c r="K379" s="92">
        <v>1538</v>
      </c>
      <c r="L379" s="92">
        <v>76.900000000000006</v>
      </c>
      <c r="O379" s="66"/>
      <c r="S379">
        <v>2023</v>
      </c>
      <c r="U379" t="s">
        <v>99</v>
      </c>
      <c r="V379" t="s">
        <v>1125</v>
      </c>
      <c r="W379" s="64" t="s">
        <v>72</v>
      </c>
    </row>
    <row r="380" spans="1:23" x14ac:dyDescent="0.2">
      <c r="A380" t="s">
        <v>400</v>
      </c>
      <c r="B380" t="s">
        <v>402</v>
      </c>
      <c r="C380" t="s">
        <v>1012</v>
      </c>
      <c r="D380" t="s">
        <v>1126</v>
      </c>
      <c r="E380" t="s">
        <v>991</v>
      </c>
      <c r="F380">
        <v>1.75</v>
      </c>
      <c r="G380">
        <v>80</v>
      </c>
      <c r="H380">
        <v>64</v>
      </c>
      <c r="I380" t="s">
        <v>1124</v>
      </c>
      <c r="K380" s="92">
        <v>3268</v>
      </c>
      <c r="L380" s="92">
        <v>91.912500000000009</v>
      </c>
      <c r="O380" s="66"/>
      <c r="S380">
        <v>2023</v>
      </c>
      <c r="U380" t="s">
        <v>99</v>
      </c>
      <c r="V380" t="s">
        <v>1127</v>
      </c>
      <c r="W380" s="64" t="s">
        <v>72</v>
      </c>
    </row>
    <row r="381" spans="1:23" x14ac:dyDescent="0.2">
      <c r="A381" t="s">
        <v>400</v>
      </c>
      <c r="B381" t="s">
        <v>4758</v>
      </c>
      <c r="E381" t="s">
        <v>4759</v>
      </c>
      <c r="I381" t="s">
        <v>4760</v>
      </c>
      <c r="K381" s="39">
        <v>429</v>
      </c>
      <c r="L381" s="39">
        <v>15.346345439401613</v>
      </c>
      <c r="M381">
        <v>3</v>
      </c>
      <c r="N381" s="39">
        <v>754</v>
      </c>
      <c r="O381" s="66"/>
      <c r="P381">
        <v>0.9</v>
      </c>
      <c r="Q381" s="39">
        <v>175</v>
      </c>
      <c r="S381">
        <v>2023</v>
      </c>
      <c r="T381" t="s">
        <v>1128</v>
      </c>
      <c r="U381" t="s">
        <v>338</v>
      </c>
      <c r="W381" s="64" t="s">
        <v>72</v>
      </c>
    </row>
    <row r="382" spans="1:23" x14ac:dyDescent="0.2">
      <c r="A382" t="s">
        <v>400</v>
      </c>
      <c r="B382" t="s">
        <v>4758</v>
      </c>
      <c r="E382" t="s">
        <v>4759</v>
      </c>
      <c r="I382" t="s">
        <v>4760</v>
      </c>
      <c r="K382" s="39">
        <v>281</v>
      </c>
      <c r="L382" s="39">
        <v>10.052035124643016</v>
      </c>
      <c r="M382">
        <v>3</v>
      </c>
      <c r="N382" s="39">
        <v>514</v>
      </c>
      <c r="O382" s="66"/>
      <c r="P382">
        <v>0.9</v>
      </c>
      <c r="Q382" s="39">
        <v>84</v>
      </c>
      <c r="S382">
        <v>2023</v>
      </c>
      <c r="T382" t="s">
        <v>1129</v>
      </c>
      <c r="U382" t="s">
        <v>338</v>
      </c>
      <c r="W382" s="64" t="s">
        <v>72</v>
      </c>
    </row>
    <row r="383" spans="1:23" x14ac:dyDescent="0.2">
      <c r="A383" t="s">
        <v>400</v>
      </c>
      <c r="B383" t="s">
        <v>4758</v>
      </c>
      <c r="E383" t="s">
        <v>4759</v>
      </c>
      <c r="I383" t="s">
        <v>4760</v>
      </c>
      <c r="K383" s="39">
        <v>400</v>
      </c>
      <c r="L383" s="39">
        <v>14.308946796644861</v>
      </c>
      <c r="M383">
        <v>3</v>
      </c>
      <c r="N383" s="39">
        <v>544</v>
      </c>
      <c r="O383" s="66"/>
      <c r="P383">
        <v>0.9</v>
      </c>
      <c r="Q383" s="39">
        <v>121</v>
      </c>
      <c r="S383">
        <v>2023</v>
      </c>
      <c r="T383" t="s">
        <v>1130</v>
      </c>
      <c r="U383" t="s">
        <v>338</v>
      </c>
      <c r="W383" s="64" t="s">
        <v>72</v>
      </c>
    </row>
    <row r="384" spans="1:23" x14ac:dyDescent="0.2">
      <c r="A384" t="s">
        <v>400</v>
      </c>
      <c r="B384" t="s">
        <v>4758</v>
      </c>
      <c r="E384" t="s">
        <v>4759</v>
      </c>
      <c r="I384" t="s">
        <v>4760</v>
      </c>
      <c r="K384" s="39">
        <v>262</v>
      </c>
      <c r="L384" s="39">
        <v>9.3723601518023845</v>
      </c>
      <c r="M384">
        <v>3</v>
      </c>
      <c r="N384" s="39">
        <v>372</v>
      </c>
      <c r="O384" s="66"/>
      <c r="P384">
        <v>0.9</v>
      </c>
      <c r="Q384" s="39">
        <v>58</v>
      </c>
      <c r="S384">
        <v>2023</v>
      </c>
      <c r="T384" t="s">
        <v>1131</v>
      </c>
      <c r="U384" t="s">
        <v>338</v>
      </c>
      <c r="W384" s="64" t="s">
        <v>72</v>
      </c>
    </row>
    <row r="385" spans="1:23" x14ac:dyDescent="0.2">
      <c r="A385" t="s">
        <v>400</v>
      </c>
      <c r="B385" t="s">
        <v>4758</v>
      </c>
      <c r="E385" t="s">
        <v>4759</v>
      </c>
      <c r="I385" t="s">
        <v>4760</v>
      </c>
      <c r="K385" s="39">
        <v>413</v>
      </c>
      <c r="L385" s="39">
        <v>14.773987567535819</v>
      </c>
      <c r="M385">
        <v>3</v>
      </c>
      <c r="N385" s="39">
        <v>632</v>
      </c>
      <c r="O385" s="66"/>
      <c r="P385">
        <v>0.9</v>
      </c>
      <c r="Q385" s="39">
        <v>144</v>
      </c>
      <c r="S385">
        <v>2023</v>
      </c>
      <c r="T385" t="s">
        <v>1132</v>
      </c>
      <c r="U385" t="s">
        <v>338</v>
      </c>
      <c r="W385" s="64" t="s">
        <v>72</v>
      </c>
    </row>
    <row r="386" spans="1:23" x14ac:dyDescent="0.2">
      <c r="A386" t="s">
        <v>400</v>
      </c>
      <c r="B386" t="s">
        <v>4758</v>
      </c>
      <c r="E386" t="s">
        <v>4759</v>
      </c>
      <c r="I386" t="s">
        <v>4760</v>
      </c>
      <c r="K386" s="39">
        <v>270</v>
      </c>
      <c r="L386" s="39">
        <v>9.6585390877352815</v>
      </c>
      <c r="M386">
        <v>3</v>
      </c>
      <c r="N386" s="39">
        <v>432</v>
      </c>
      <c r="O386" s="66"/>
      <c r="P386">
        <v>0.9</v>
      </c>
      <c r="Q386" s="39">
        <v>69</v>
      </c>
      <c r="S386">
        <v>2023</v>
      </c>
      <c r="T386" t="s">
        <v>1133</v>
      </c>
      <c r="U386" t="s">
        <v>338</v>
      </c>
      <c r="W386" s="64" t="s">
        <v>72</v>
      </c>
    </row>
    <row r="387" spans="1:23" x14ac:dyDescent="0.2">
      <c r="A387" t="s">
        <v>400</v>
      </c>
      <c r="B387" t="s">
        <v>4758</v>
      </c>
      <c r="E387" t="s">
        <v>4759</v>
      </c>
      <c r="I387" t="s">
        <v>4760</v>
      </c>
      <c r="K387" s="39">
        <v>403</v>
      </c>
      <c r="L387" s="39">
        <v>14.416263897619698</v>
      </c>
      <c r="M387">
        <v>3</v>
      </c>
      <c r="N387" s="39">
        <v>564</v>
      </c>
      <c r="O387" s="66"/>
      <c r="P387">
        <v>0.9</v>
      </c>
      <c r="Q387" s="39">
        <v>126</v>
      </c>
      <c r="S387">
        <v>2023</v>
      </c>
      <c r="T387" t="s">
        <v>1134</v>
      </c>
      <c r="U387" t="s">
        <v>338</v>
      </c>
      <c r="W387" s="64" t="s">
        <v>72</v>
      </c>
    </row>
    <row r="388" spans="1:23" x14ac:dyDescent="0.2">
      <c r="A388" t="s">
        <v>400</v>
      </c>
      <c r="B388" t="s">
        <v>4758</v>
      </c>
      <c r="E388" t="s">
        <v>4759</v>
      </c>
      <c r="I388" t="s">
        <v>4760</v>
      </c>
      <c r="K388" s="39">
        <v>264</v>
      </c>
      <c r="L388" s="39">
        <v>9.4439048857856083</v>
      </c>
      <c r="M388">
        <v>3</v>
      </c>
      <c r="N388" s="39">
        <v>385</v>
      </c>
      <c r="O388" s="66"/>
      <c r="P388">
        <v>0.9</v>
      </c>
      <c r="Q388" s="39">
        <v>61</v>
      </c>
      <c r="S388">
        <v>2023</v>
      </c>
      <c r="T388" t="s">
        <v>1135</v>
      </c>
      <c r="U388" t="s">
        <v>338</v>
      </c>
      <c r="W388" s="64" t="s">
        <v>72</v>
      </c>
    </row>
    <row r="389" spans="1:23" x14ac:dyDescent="0.2">
      <c r="A389" t="s">
        <v>400</v>
      </c>
      <c r="B389" t="s">
        <v>4758</v>
      </c>
      <c r="E389" t="s">
        <v>4759</v>
      </c>
      <c r="I389" t="s">
        <v>4760</v>
      </c>
      <c r="K389" s="39">
        <v>396</v>
      </c>
      <c r="L389" s="39">
        <v>14.165857328678413</v>
      </c>
      <c r="M389">
        <v>3</v>
      </c>
      <c r="N389" s="39">
        <v>509</v>
      </c>
      <c r="O389" s="66"/>
      <c r="P389">
        <v>0.9</v>
      </c>
      <c r="Q389" s="39">
        <v>111</v>
      </c>
      <c r="S389">
        <v>2023</v>
      </c>
      <c r="T389" t="s">
        <v>1136</v>
      </c>
      <c r="U389" t="s">
        <v>338</v>
      </c>
      <c r="W389" s="64" t="s">
        <v>72</v>
      </c>
    </row>
    <row r="390" spans="1:23" x14ac:dyDescent="0.2">
      <c r="A390" t="s">
        <v>400</v>
      </c>
      <c r="B390" t="s">
        <v>4758</v>
      </c>
      <c r="E390" t="s">
        <v>4759</v>
      </c>
      <c r="I390" t="s">
        <v>4760</v>
      </c>
      <c r="K390" s="39">
        <v>259</v>
      </c>
      <c r="L390" s="39">
        <v>9.265043050827547</v>
      </c>
      <c r="M390">
        <v>3</v>
      </c>
      <c r="N390" s="39">
        <v>349</v>
      </c>
      <c r="O390" s="66"/>
      <c r="P390">
        <v>0.9</v>
      </c>
      <c r="Q390" s="39">
        <v>54</v>
      </c>
      <c r="S390">
        <v>2023</v>
      </c>
      <c r="T390" t="s">
        <v>1137</v>
      </c>
      <c r="U390" t="s">
        <v>338</v>
      </c>
      <c r="W390" s="64" t="s">
        <v>72</v>
      </c>
    </row>
    <row r="391" spans="1:23" x14ac:dyDescent="0.2">
      <c r="A391" t="s">
        <v>400</v>
      </c>
      <c r="B391" t="s">
        <v>4758</v>
      </c>
      <c r="E391" t="s">
        <v>4759</v>
      </c>
      <c r="I391" t="s">
        <v>4760</v>
      </c>
      <c r="K391" s="39">
        <v>396</v>
      </c>
      <c r="L391" s="39">
        <v>14.165857328678413</v>
      </c>
      <c r="M391">
        <v>3</v>
      </c>
      <c r="N391" s="39">
        <v>508</v>
      </c>
      <c r="O391" s="66"/>
      <c r="P391">
        <v>0.9</v>
      </c>
      <c r="Q391" s="39">
        <v>111</v>
      </c>
      <c r="S391">
        <v>2023</v>
      </c>
      <c r="T391" t="s">
        <v>1138</v>
      </c>
      <c r="U391" t="s">
        <v>338</v>
      </c>
      <c r="W391" s="64" t="s">
        <v>72</v>
      </c>
    </row>
    <row r="392" spans="1:23" x14ac:dyDescent="0.2">
      <c r="A392" t="s">
        <v>400</v>
      </c>
      <c r="B392" t="s">
        <v>4758</v>
      </c>
      <c r="E392" t="s">
        <v>4759</v>
      </c>
      <c r="I392" t="s">
        <v>4760</v>
      </c>
      <c r="K392" s="39">
        <v>259</v>
      </c>
      <c r="L392" s="39">
        <v>9.265043050827547</v>
      </c>
      <c r="M392">
        <v>3</v>
      </c>
      <c r="N392" s="39">
        <v>348</v>
      </c>
      <c r="O392" s="66"/>
      <c r="P392">
        <v>0.9</v>
      </c>
      <c r="Q392" s="39">
        <v>54</v>
      </c>
      <c r="S392">
        <v>2023</v>
      </c>
      <c r="T392" t="s">
        <v>1139</v>
      </c>
      <c r="U392" t="s">
        <v>338</v>
      </c>
      <c r="W392" s="64" t="s">
        <v>72</v>
      </c>
    </row>
    <row r="393" spans="1:23" x14ac:dyDescent="0.2">
      <c r="A393" t="s">
        <v>400</v>
      </c>
      <c r="B393" t="s">
        <v>4758</v>
      </c>
      <c r="E393" t="s">
        <v>4759</v>
      </c>
      <c r="I393" t="s">
        <v>4760</v>
      </c>
      <c r="K393" s="39">
        <v>397</v>
      </c>
      <c r="L393" s="39">
        <v>14.201629695670025</v>
      </c>
      <c r="M393">
        <v>3</v>
      </c>
      <c r="N393" s="39">
        <v>516</v>
      </c>
      <c r="O393" s="66"/>
      <c r="P393">
        <v>0.9</v>
      </c>
      <c r="Q393" s="39">
        <v>113</v>
      </c>
      <c r="S393">
        <v>2023</v>
      </c>
      <c r="T393" t="s">
        <v>1140</v>
      </c>
      <c r="U393" t="s">
        <v>338</v>
      </c>
      <c r="W393" s="64" t="s">
        <v>72</v>
      </c>
    </row>
    <row r="394" spans="1:23" x14ac:dyDescent="0.2">
      <c r="A394" t="s">
        <v>400</v>
      </c>
      <c r="B394" t="s">
        <v>4758</v>
      </c>
      <c r="E394" t="s">
        <v>4759</v>
      </c>
      <c r="I394" t="s">
        <v>4760</v>
      </c>
      <c r="K394" s="39">
        <v>260</v>
      </c>
      <c r="L394" s="39">
        <v>9.3008154178191607</v>
      </c>
      <c r="M394">
        <v>3</v>
      </c>
      <c r="N394" s="39">
        <v>353</v>
      </c>
      <c r="O394" s="66"/>
      <c r="P394">
        <v>0.9</v>
      </c>
      <c r="Q394" s="39">
        <v>56</v>
      </c>
      <c r="S394">
        <v>2023</v>
      </c>
      <c r="T394" t="s">
        <v>1141</v>
      </c>
      <c r="U394" t="s">
        <v>338</v>
      </c>
      <c r="W394" s="64" t="s">
        <v>72</v>
      </c>
    </row>
    <row r="395" spans="1:23" x14ac:dyDescent="0.2">
      <c r="A395" t="s">
        <v>400</v>
      </c>
      <c r="B395" t="s">
        <v>4758</v>
      </c>
      <c r="E395" t="s">
        <v>4759</v>
      </c>
      <c r="I395" t="s">
        <v>4760</v>
      </c>
      <c r="K395" s="39">
        <v>392</v>
      </c>
      <c r="L395" s="39">
        <v>14.022767860711964</v>
      </c>
      <c r="M395">
        <v>3</v>
      </c>
      <c r="N395" s="39">
        <v>482</v>
      </c>
      <c r="O395" s="66"/>
      <c r="P395">
        <v>0.9</v>
      </c>
      <c r="Q395" s="39">
        <v>104</v>
      </c>
      <c r="S395">
        <v>2023</v>
      </c>
      <c r="T395" t="s">
        <v>1142</v>
      </c>
      <c r="U395" t="s">
        <v>338</v>
      </c>
      <c r="W395" s="64" t="s">
        <v>72</v>
      </c>
    </row>
    <row r="396" spans="1:23" x14ac:dyDescent="0.2">
      <c r="A396" t="s">
        <v>400</v>
      </c>
      <c r="B396" t="s">
        <v>4758</v>
      </c>
      <c r="E396" t="s">
        <v>4759</v>
      </c>
      <c r="I396" t="s">
        <v>4760</v>
      </c>
      <c r="K396" s="39">
        <v>257</v>
      </c>
      <c r="L396" s="39">
        <v>9.1934983168443232</v>
      </c>
      <c r="M396">
        <v>3</v>
      </c>
      <c r="N396" s="39">
        <v>330</v>
      </c>
      <c r="O396" s="66"/>
      <c r="P396">
        <v>0.9</v>
      </c>
      <c r="Q396" s="39">
        <v>51</v>
      </c>
      <c r="S396">
        <v>2023</v>
      </c>
      <c r="T396" t="s">
        <v>1143</v>
      </c>
      <c r="U396" t="s">
        <v>338</v>
      </c>
      <c r="W396" s="64" t="s">
        <v>72</v>
      </c>
    </row>
    <row r="397" spans="1:23" x14ac:dyDescent="0.2">
      <c r="A397" t="s">
        <v>400</v>
      </c>
      <c r="B397" t="s">
        <v>4758</v>
      </c>
      <c r="E397" t="s">
        <v>4759</v>
      </c>
      <c r="I397" t="s">
        <v>4760</v>
      </c>
      <c r="K397" s="39">
        <v>410</v>
      </c>
      <c r="L397" s="39">
        <v>14.666670466560983</v>
      </c>
      <c r="M397">
        <v>3</v>
      </c>
      <c r="N397" s="39">
        <v>611</v>
      </c>
      <c r="O397" s="66"/>
      <c r="P397">
        <v>0.9</v>
      </c>
      <c r="Q397" s="39">
        <v>138</v>
      </c>
      <c r="S397">
        <v>2023</v>
      </c>
      <c r="T397" t="s">
        <v>1144</v>
      </c>
      <c r="U397" t="s">
        <v>338</v>
      </c>
      <c r="W397" s="64" t="s">
        <v>72</v>
      </c>
    </row>
    <row r="398" spans="1:23" x14ac:dyDescent="0.2">
      <c r="A398" t="s">
        <v>400</v>
      </c>
      <c r="B398" t="s">
        <v>4758</v>
      </c>
      <c r="E398" t="s">
        <v>4759</v>
      </c>
      <c r="I398" t="s">
        <v>4760</v>
      </c>
      <c r="K398" s="39">
        <v>268</v>
      </c>
      <c r="L398" s="39">
        <v>9.5869943537520577</v>
      </c>
      <c r="M398">
        <v>3</v>
      </c>
      <c r="N398" s="39">
        <v>418</v>
      </c>
      <c r="O398" s="66"/>
      <c r="P398">
        <v>0.9</v>
      </c>
      <c r="Q398" s="39">
        <v>67</v>
      </c>
      <c r="S398">
        <v>2023</v>
      </c>
      <c r="T398" t="s">
        <v>1145</v>
      </c>
      <c r="U398" t="s">
        <v>338</v>
      </c>
      <c r="W398" s="64" t="s">
        <v>72</v>
      </c>
    </row>
    <row r="399" spans="1:23" x14ac:dyDescent="0.2">
      <c r="A399" t="s">
        <v>400</v>
      </c>
      <c r="B399" t="s">
        <v>4758</v>
      </c>
      <c r="E399" t="s">
        <v>4759</v>
      </c>
      <c r="I399" t="s">
        <v>4760</v>
      </c>
      <c r="K399" s="39">
        <v>406</v>
      </c>
      <c r="L399" s="39">
        <v>14.523580998594534</v>
      </c>
      <c r="M399">
        <v>3</v>
      </c>
      <c r="N399" s="39">
        <v>588</v>
      </c>
      <c r="O399" s="66"/>
      <c r="P399">
        <v>0.9</v>
      </c>
      <c r="Q399" s="39">
        <v>132</v>
      </c>
      <c r="S399">
        <v>2023</v>
      </c>
      <c r="T399" t="s">
        <v>1146</v>
      </c>
      <c r="U399" t="s">
        <v>338</v>
      </c>
      <c r="W399" s="64" t="s">
        <v>72</v>
      </c>
    </row>
    <row r="400" spans="1:23" x14ac:dyDescent="0.2">
      <c r="A400" t="s">
        <v>400</v>
      </c>
      <c r="B400" t="s">
        <v>4758</v>
      </c>
      <c r="E400" t="s">
        <v>4759</v>
      </c>
      <c r="I400" t="s">
        <v>4760</v>
      </c>
      <c r="K400" s="39">
        <v>266</v>
      </c>
      <c r="L400" s="39">
        <v>9.5154496197688321</v>
      </c>
      <c r="M400">
        <v>3</v>
      </c>
      <c r="N400" s="39">
        <v>402</v>
      </c>
      <c r="O400" s="66"/>
      <c r="P400">
        <v>0.9</v>
      </c>
      <c r="Q400" s="39">
        <v>63</v>
      </c>
      <c r="S400">
        <v>2023</v>
      </c>
      <c r="T400" t="s">
        <v>1147</v>
      </c>
      <c r="U400" t="s">
        <v>338</v>
      </c>
      <c r="W400" s="64" t="s">
        <v>72</v>
      </c>
    </row>
  </sheetData>
  <mergeCells count="1">
    <mergeCell ref="AF2:AG2"/>
  </mergeCells>
  <phoneticPr fontId="25" type="noConversion"/>
  <hyperlinks>
    <hyperlink ref="A1" location="'Table of Contents'!A1" display="Table of Contents" xr:uid="{1003AD2D-BEAC-405F-96E7-78735A187A0C}"/>
  </hyperlinks>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41B43-A3FB-46E3-9C73-B90DAB14CA43}">
  <dimension ref="A1:AC76"/>
  <sheetViews>
    <sheetView showGridLines="0" workbookViewId="0"/>
  </sheetViews>
  <sheetFormatPr baseColWidth="10" defaultColWidth="8.83203125" defaultRowHeight="15" x14ac:dyDescent="0.2"/>
  <cols>
    <col min="1" max="1" width="20.33203125" customWidth="1"/>
    <col min="2" max="2" width="15.5" bestFit="1" customWidth="1"/>
    <col min="3" max="3" width="13.5" bestFit="1" customWidth="1"/>
    <col min="4" max="4" width="11.33203125" customWidth="1"/>
    <col min="5" max="5" width="17" customWidth="1"/>
    <col min="6" max="6" width="19" customWidth="1"/>
    <col min="7" max="7" width="13.6640625" bestFit="1" customWidth="1"/>
    <col min="8" max="8" width="9.5" bestFit="1" customWidth="1"/>
    <col min="9" max="9" width="12" bestFit="1" customWidth="1"/>
    <col min="10" max="10" width="12.5" bestFit="1" customWidth="1"/>
    <col min="11" max="12" width="14.5" bestFit="1" customWidth="1"/>
    <col min="13" max="13" width="15" bestFit="1" customWidth="1"/>
    <col min="16" max="16" width="12" bestFit="1" customWidth="1"/>
    <col min="17" max="17" width="12.5" bestFit="1" customWidth="1"/>
    <col min="18" max="18" width="9.5" customWidth="1"/>
    <col min="19" max="19" width="10.5" customWidth="1"/>
    <col min="20" max="20" width="11.5" customWidth="1"/>
    <col min="21" max="21" width="16.5" bestFit="1" customWidth="1"/>
    <col min="23" max="23" width="17" bestFit="1" customWidth="1"/>
    <col min="24" max="24" width="7.6640625" bestFit="1" customWidth="1"/>
    <col min="25" max="25" width="8.5" bestFit="1" customWidth="1"/>
    <col min="26" max="26" width="28.33203125" bestFit="1" customWidth="1"/>
    <col min="27" max="27" width="12.33203125" bestFit="1" customWidth="1"/>
    <col min="28" max="28" width="16.5" bestFit="1" customWidth="1"/>
    <col min="29" max="29" width="6.33203125" bestFit="1" customWidth="1"/>
    <col min="30" max="30" width="15.5" bestFit="1" customWidth="1"/>
  </cols>
  <sheetData>
    <row r="1" spans="1:29" x14ac:dyDescent="0.2">
      <c r="A1" s="4" t="s">
        <v>21</v>
      </c>
    </row>
    <row r="2" spans="1:29" ht="16" thickBot="1" x14ac:dyDescent="0.25">
      <c r="A2" s="41" t="s">
        <v>342</v>
      </c>
    </row>
    <row r="3" spans="1:29" x14ac:dyDescent="0.2">
      <c r="A3" s="434" t="s">
        <v>343</v>
      </c>
      <c r="B3" s="435"/>
      <c r="C3" s="436"/>
      <c r="D3" s="437" t="s">
        <v>344</v>
      </c>
      <c r="E3" s="437"/>
      <c r="F3" s="437"/>
      <c r="G3" s="437"/>
      <c r="H3" s="437"/>
      <c r="I3" s="437"/>
      <c r="J3" s="438"/>
      <c r="K3" s="439" t="s">
        <v>345</v>
      </c>
      <c r="L3" s="440"/>
      <c r="M3" s="440"/>
      <c r="N3" s="440"/>
      <c r="O3" s="440"/>
      <c r="P3" s="440"/>
      <c r="Q3" s="441"/>
      <c r="R3" s="442" t="s">
        <v>346</v>
      </c>
      <c r="S3" s="443"/>
      <c r="T3" s="448"/>
      <c r="U3" s="430" t="s">
        <v>4571</v>
      </c>
      <c r="V3" s="444"/>
      <c r="W3" s="430" t="s">
        <v>4572</v>
      </c>
      <c r="X3" s="430"/>
      <c r="Y3" s="417" t="s">
        <v>347</v>
      </c>
      <c r="Z3" s="418"/>
      <c r="AA3" s="418"/>
      <c r="AB3" s="418"/>
      <c r="AC3" s="447"/>
    </row>
    <row r="4" spans="1:29" ht="16" thickBot="1" x14ac:dyDescent="0.25">
      <c r="A4" s="106" t="s">
        <v>0</v>
      </c>
      <c r="B4" s="107" t="s">
        <v>348</v>
      </c>
      <c r="C4" s="108" t="s">
        <v>349</v>
      </c>
      <c r="D4" s="109" t="s">
        <v>350</v>
      </c>
      <c r="E4" s="110" t="s">
        <v>351</v>
      </c>
      <c r="F4" s="110" t="s">
        <v>352</v>
      </c>
      <c r="G4" s="110" t="s">
        <v>353</v>
      </c>
      <c r="H4" s="110" t="s">
        <v>354</v>
      </c>
      <c r="I4" s="110" t="s">
        <v>355</v>
      </c>
      <c r="J4" s="110" t="s">
        <v>356</v>
      </c>
      <c r="K4" s="111" t="s">
        <v>350</v>
      </c>
      <c r="L4" s="112" t="s">
        <v>351</v>
      </c>
      <c r="M4" s="112" t="s">
        <v>352</v>
      </c>
      <c r="N4" s="112" t="s">
        <v>353</v>
      </c>
      <c r="O4" s="112" t="s">
        <v>354</v>
      </c>
      <c r="P4" s="112" t="s">
        <v>355</v>
      </c>
      <c r="Q4" s="119" t="s">
        <v>356</v>
      </c>
      <c r="R4" s="113" t="s">
        <v>357</v>
      </c>
      <c r="S4" s="114" t="s">
        <v>358</v>
      </c>
      <c r="T4" s="115" t="s">
        <v>359</v>
      </c>
      <c r="U4" s="116" t="s">
        <v>360</v>
      </c>
      <c r="V4" s="212" t="s">
        <v>361</v>
      </c>
      <c r="W4" s="116" t="s">
        <v>360</v>
      </c>
      <c r="X4" s="116" t="s">
        <v>361</v>
      </c>
      <c r="Y4" s="45" t="s">
        <v>39</v>
      </c>
      <c r="Z4" s="46" t="s">
        <v>5322</v>
      </c>
      <c r="AA4" s="46" t="s">
        <v>362</v>
      </c>
      <c r="AB4" s="103" t="s">
        <v>5385</v>
      </c>
      <c r="AC4" s="117" t="s">
        <v>41</v>
      </c>
    </row>
    <row r="5" spans="1:29" s="36" customFormat="1" x14ac:dyDescent="0.2">
      <c r="A5" s="47" t="s">
        <v>402</v>
      </c>
      <c r="B5" s="36" t="s">
        <v>67</v>
      </c>
      <c r="C5" s="122" t="s">
        <v>364</v>
      </c>
      <c r="D5" s="118" t="s">
        <v>366</v>
      </c>
      <c r="E5" s="36" t="s">
        <v>366</v>
      </c>
      <c r="F5" s="36" t="s">
        <v>366</v>
      </c>
      <c r="G5" s="36" t="s">
        <v>366</v>
      </c>
      <c r="H5" s="36" t="s">
        <v>366</v>
      </c>
      <c r="I5" s="36" t="s">
        <v>366</v>
      </c>
      <c r="J5" s="48" t="s">
        <v>366</v>
      </c>
      <c r="K5" s="118" t="s">
        <v>366</v>
      </c>
      <c r="L5" s="36" t="s">
        <v>366</v>
      </c>
      <c r="M5" s="36" t="s">
        <v>366</v>
      </c>
      <c r="N5" s="36" t="s">
        <v>366</v>
      </c>
      <c r="O5" s="36" t="s">
        <v>366</v>
      </c>
      <c r="P5" s="36" t="s">
        <v>366</v>
      </c>
      <c r="Q5" s="48" t="s">
        <v>366</v>
      </c>
      <c r="R5" s="120">
        <v>37.863500000000002</v>
      </c>
      <c r="S5" s="121">
        <v>55.491</v>
      </c>
      <c r="T5" s="121">
        <v>55.491</v>
      </c>
      <c r="U5" s="120">
        <f>'Doors Data'!$AF$4</f>
        <v>2.3896874814708235</v>
      </c>
      <c r="V5" s="318">
        <f>'Doors Data'!$AG$4</f>
        <v>2.6632582560981044</v>
      </c>
      <c r="W5" s="121" t="s">
        <v>366</v>
      </c>
      <c r="X5" s="121" t="s">
        <v>366</v>
      </c>
      <c r="Y5" s="47">
        <v>50</v>
      </c>
      <c r="Z5" s="36" t="s">
        <v>5330</v>
      </c>
      <c r="AA5" s="36" t="s">
        <v>3408</v>
      </c>
      <c r="AB5" t="s">
        <v>5382</v>
      </c>
      <c r="AC5" s="48"/>
    </row>
    <row r="6" spans="1:29" x14ac:dyDescent="0.2">
      <c r="A6" s="18" t="s">
        <v>402</v>
      </c>
      <c r="B6" t="s">
        <v>731</v>
      </c>
      <c r="C6" s="49" t="s">
        <v>364</v>
      </c>
      <c r="D6" s="18" t="s">
        <v>366</v>
      </c>
      <c r="E6" t="s">
        <v>366</v>
      </c>
      <c r="F6" t="s">
        <v>366</v>
      </c>
      <c r="G6" t="s">
        <v>366</v>
      </c>
      <c r="H6" t="s">
        <v>366</v>
      </c>
      <c r="I6" t="s">
        <v>366</v>
      </c>
      <c r="J6" s="49" t="s">
        <v>366</v>
      </c>
      <c r="K6" s="18" t="s">
        <v>366</v>
      </c>
      <c r="L6" t="s">
        <v>366</v>
      </c>
      <c r="M6" t="s">
        <v>366</v>
      </c>
      <c r="N6" t="s">
        <v>366</v>
      </c>
      <c r="O6" t="s">
        <v>366</v>
      </c>
      <c r="P6" t="s">
        <v>366</v>
      </c>
      <c r="Q6" s="49" t="s">
        <v>366</v>
      </c>
      <c r="R6" s="31">
        <v>15.88771</v>
      </c>
      <c r="S6" s="2">
        <v>41.994230000000002</v>
      </c>
      <c r="T6" s="2">
        <v>80.784630000000007</v>
      </c>
      <c r="U6" s="31">
        <f>'Doors Data'!$AF$4</f>
        <v>2.3896874814708235</v>
      </c>
      <c r="V6" s="307">
        <f>'Doors Data'!$AG$4</f>
        <v>2.6632582560981044</v>
      </c>
      <c r="W6" s="2" t="s">
        <v>366</v>
      </c>
      <c r="X6" s="2" t="s">
        <v>366</v>
      </c>
      <c r="Y6" s="18">
        <v>30</v>
      </c>
      <c r="Z6" s="2" t="s">
        <v>5330</v>
      </c>
      <c r="AA6" t="s">
        <v>3408</v>
      </c>
      <c r="AB6" t="s">
        <v>5382</v>
      </c>
      <c r="AC6" s="49"/>
    </row>
    <row r="7" spans="1:29" x14ac:dyDescent="0.2">
      <c r="A7" s="18" t="s">
        <v>402</v>
      </c>
      <c r="B7" s="104" t="s">
        <v>991</v>
      </c>
      <c r="C7" s="49" t="s">
        <v>364</v>
      </c>
      <c r="D7" s="18" t="s">
        <v>366</v>
      </c>
      <c r="E7" t="s">
        <v>366</v>
      </c>
      <c r="F7" t="s">
        <v>366</v>
      </c>
      <c r="G7" t="s">
        <v>366</v>
      </c>
      <c r="H7" t="s">
        <v>366</v>
      </c>
      <c r="I7" t="s">
        <v>366</v>
      </c>
      <c r="J7" s="49" t="s">
        <v>366</v>
      </c>
      <c r="K7" s="18" t="s">
        <v>366</v>
      </c>
      <c r="L7" t="s">
        <v>366</v>
      </c>
      <c r="M7" t="s">
        <v>366</v>
      </c>
      <c r="N7" t="s">
        <v>366</v>
      </c>
      <c r="O7" t="s">
        <v>366</v>
      </c>
      <c r="P7" t="s">
        <v>366</v>
      </c>
      <c r="Q7" s="49" t="s">
        <v>366</v>
      </c>
      <c r="R7" s="31">
        <v>55.970359999999999</v>
      </c>
      <c r="S7" s="2">
        <v>77.287499999999994</v>
      </c>
      <c r="T7" s="2">
        <v>119.0682</v>
      </c>
      <c r="U7" s="31">
        <f>'Doors Data'!$AF$4</f>
        <v>2.3896874814708235</v>
      </c>
      <c r="V7" s="307">
        <f>'Doors Data'!$AG$4</f>
        <v>2.6632582560981044</v>
      </c>
      <c r="W7" s="2" t="s">
        <v>366</v>
      </c>
      <c r="X7" s="2" t="s">
        <v>366</v>
      </c>
      <c r="Y7" s="18">
        <v>70</v>
      </c>
      <c r="Z7" s="2" t="s">
        <v>5330</v>
      </c>
      <c r="AA7" t="s">
        <v>3408</v>
      </c>
      <c r="AB7" t="s">
        <v>5383</v>
      </c>
      <c r="AC7" s="49"/>
    </row>
    <row r="8" spans="1:29" x14ac:dyDescent="0.2">
      <c r="A8" s="18" t="s">
        <v>427</v>
      </c>
      <c r="B8" s="104" t="s">
        <v>67</v>
      </c>
      <c r="C8" s="49" t="s">
        <v>364</v>
      </c>
      <c r="D8" s="18" t="s">
        <v>366</v>
      </c>
      <c r="E8" t="s">
        <v>366</v>
      </c>
      <c r="F8" t="s">
        <v>366</v>
      </c>
      <c r="G8" t="s">
        <v>366</v>
      </c>
      <c r="H8" t="s">
        <v>366</v>
      </c>
      <c r="I8" t="s">
        <v>366</v>
      </c>
      <c r="J8" s="49" t="s">
        <v>366</v>
      </c>
      <c r="K8" s="18" t="s">
        <v>366</v>
      </c>
      <c r="L8" t="s">
        <v>366</v>
      </c>
      <c r="M8" t="s">
        <v>366</v>
      </c>
      <c r="N8" t="s">
        <v>366</v>
      </c>
      <c r="O8" t="s">
        <v>366</v>
      </c>
      <c r="P8" t="s">
        <v>366</v>
      </c>
      <c r="Q8" s="49" t="s">
        <v>366</v>
      </c>
      <c r="R8" s="31">
        <v>18.82</v>
      </c>
      <c r="S8" s="2">
        <v>32.950000000000003</v>
      </c>
      <c r="T8" s="2">
        <v>46.05</v>
      </c>
      <c r="U8" s="31">
        <f>'Doors Data'!$AF$4</f>
        <v>2.3896874814708235</v>
      </c>
      <c r="V8" s="307">
        <f>'Doors Data'!$AG$4</f>
        <v>2.6632582560981044</v>
      </c>
      <c r="W8" s="2" t="s">
        <v>366</v>
      </c>
      <c r="X8" s="2" t="s">
        <v>366</v>
      </c>
      <c r="Y8" s="18">
        <v>100</v>
      </c>
      <c r="Z8" s="2" t="s">
        <v>5330</v>
      </c>
      <c r="AA8" t="s">
        <v>3408</v>
      </c>
      <c r="AB8" t="s">
        <v>5384</v>
      </c>
      <c r="AC8" s="49"/>
    </row>
    <row r="9" spans="1:29" x14ac:dyDescent="0.2">
      <c r="A9" s="18" t="s">
        <v>427</v>
      </c>
      <c r="B9" s="104" t="s">
        <v>917</v>
      </c>
      <c r="C9" s="49" t="s">
        <v>364</v>
      </c>
      <c r="D9" s="18" t="s">
        <v>366</v>
      </c>
      <c r="E9" t="s">
        <v>366</v>
      </c>
      <c r="F9" t="s">
        <v>366</v>
      </c>
      <c r="G9" t="s">
        <v>366</v>
      </c>
      <c r="H9" t="s">
        <v>366</v>
      </c>
      <c r="I9" t="s">
        <v>366</v>
      </c>
      <c r="J9" s="49" t="s">
        <v>366</v>
      </c>
      <c r="K9" s="18" t="s">
        <v>366</v>
      </c>
      <c r="L9" t="s">
        <v>366</v>
      </c>
      <c r="M9" t="s">
        <v>366</v>
      </c>
      <c r="N9" t="s">
        <v>366</v>
      </c>
      <c r="O9" t="s">
        <v>366</v>
      </c>
      <c r="P9" t="s">
        <v>366</v>
      </c>
      <c r="Q9" s="49" t="s">
        <v>366</v>
      </c>
      <c r="R9" s="31">
        <v>23.776879999999998</v>
      </c>
      <c r="S9" s="2">
        <v>62.45</v>
      </c>
      <c r="T9" s="2">
        <v>98.898290000000003</v>
      </c>
      <c r="U9" s="31">
        <f>'Doors Data'!$AF$4</f>
        <v>2.3896874814708235</v>
      </c>
      <c r="V9" s="307">
        <f>'Doors Data'!$AG$4</f>
        <v>2.6632582560981044</v>
      </c>
      <c r="W9" s="2" t="s">
        <v>366</v>
      </c>
      <c r="X9" s="2" t="s">
        <v>366</v>
      </c>
      <c r="Y9" s="18">
        <v>100</v>
      </c>
      <c r="Z9" s="2" t="s">
        <v>5330</v>
      </c>
      <c r="AA9" t="s">
        <v>3408</v>
      </c>
      <c r="AB9" t="s">
        <v>5384</v>
      </c>
      <c r="AC9" s="49"/>
    </row>
    <row r="10" spans="1:29" s="15" customFormat="1" ht="16" thickBot="1" x14ac:dyDescent="0.25">
      <c r="A10" s="23" t="s">
        <v>427</v>
      </c>
      <c r="B10" s="105" t="s">
        <v>991</v>
      </c>
      <c r="C10" s="50" t="s">
        <v>364</v>
      </c>
      <c r="D10" s="23" t="s">
        <v>366</v>
      </c>
      <c r="E10" s="15" t="s">
        <v>366</v>
      </c>
      <c r="F10" s="15" t="s">
        <v>366</v>
      </c>
      <c r="G10" s="15" t="s">
        <v>366</v>
      </c>
      <c r="H10" s="15" t="s">
        <v>366</v>
      </c>
      <c r="I10" s="15" t="s">
        <v>366</v>
      </c>
      <c r="J10" s="50" t="s">
        <v>366</v>
      </c>
      <c r="K10" s="23" t="s">
        <v>366</v>
      </c>
      <c r="L10" s="15" t="s">
        <v>366</v>
      </c>
      <c r="M10" s="15" t="s">
        <v>366</v>
      </c>
      <c r="N10" s="15" t="s">
        <v>366</v>
      </c>
      <c r="O10" s="15" t="s">
        <v>366</v>
      </c>
      <c r="P10" s="15" t="s">
        <v>366</v>
      </c>
      <c r="Q10" s="50" t="s">
        <v>366</v>
      </c>
      <c r="R10" s="32">
        <v>47.244160000000001</v>
      </c>
      <c r="S10" s="33">
        <v>76.255319999999998</v>
      </c>
      <c r="T10" s="33">
        <v>103.2107</v>
      </c>
      <c r="U10" s="32">
        <f>'Doors Data'!$AF$4</f>
        <v>2.3896874814708235</v>
      </c>
      <c r="V10" s="326">
        <f>'Doors Data'!$AG$4</f>
        <v>2.6632582560981044</v>
      </c>
      <c r="W10" s="33" t="s">
        <v>366</v>
      </c>
      <c r="X10" s="33" t="s">
        <v>366</v>
      </c>
      <c r="Y10" s="23">
        <v>30</v>
      </c>
      <c r="Z10" s="33" t="s">
        <v>5330</v>
      </c>
      <c r="AA10" s="15" t="s">
        <v>3408</v>
      </c>
      <c r="AB10" s="15" t="s">
        <v>5384</v>
      </c>
      <c r="AC10" s="50"/>
    </row>
    <row r="13" spans="1:29" ht="16" thickBot="1" x14ac:dyDescent="0.25"/>
    <row r="14" spans="1:29" ht="16" thickBot="1" x14ac:dyDescent="0.25">
      <c r="A14" s="124" t="s">
        <v>25</v>
      </c>
      <c r="B14" s="125" t="s">
        <v>27</v>
      </c>
      <c r="C14" s="125" t="s">
        <v>394</v>
      </c>
      <c r="D14" s="125" t="s">
        <v>4767</v>
      </c>
      <c r="E14" s="125" t="s">
        <v>1148</v>
      </c>
      <c r="F14" s="125" t="s">
        <v>1149</v>
      </c>
      <c r="G14" s="126" t="s">
        <v>1150</v>
      </c>
    </row>
    <row r="15" spans="1:29" x14ac:dyDescent="0.2">
      <c r="A15" t="s">
        <v>402</v>
      </c>
      <c r="B15" t="s">
        <v>67</v>
      </c>
      <c r="C15" t="s">
        <v>413</v>
      </c>
      <c r="D15">
        <v>32</v>
      </c>
      <c r="E15" s="261">
        <v>41.267539999999997</v>
      </c>
      <c r="F15" s="260">
        <v>54.76155</v>
      </c>
      <c r="G15" s="260">
        <v>68.012129999999999</v>
      </c>
    </row>
    <row r="16" spans="1:29" s="41" customFormat="1" x14ac:dyDescent="0.2">
      <c r="A16" t="s">
        <v>402</v>
      </c>
      <c r="B16" t="s">
        <v>67</v>
      </c>
      <c r="C16" t="s">
        <v>406</v>
      </c>
      <c r="D16">
        <v>29</v>
      </c>
      <c r="E16" s="260">
        <v>32.587780000000002</v>
      </c>
      <c r="F16" s="260">
        <v>61.898589999999999</v>
      </c>
      <c r="G16" s="260">
        <v>79.7744</v>
      </c>
    </row>
    <row r="17" spans="1:12" x14ac:dyDescent="0.2">
      <c r="A17" t="s">
        <v>402</v>
      </c>
      <c r="B17" t="s">
        <v>67</v>
      </c>
      <c r="C17" t="s">
        <v>685</v>
      </c>
      <c r="D17">
        <v>7</v>
      </c>
      <c r="E17" s="260">
        <v>38.168469999999999</v>
      </c>
      <c r="F17" s="260">
        <v>44.309440000000002</v>
      </c>
      <c r="G17" s="260">
        <v>54.040509999999998</v>
      </c>
    </row>
    <row r="18" spans="1:12" x14ac:dyDescent="0.2">
      <c r="A18" t="s">
        <v>402</v>
      </c>
      <c r="B18" t="s">
        <v>67</v>
      </c>
      <c r="C18" t="s">
        <v>416</v>
      </c>
      <c r="D18">
        <v>23</v>
      </c>
      <c r="E18" s="260">
        <v>42.936100000000003</v>
      </c>
      <c r="F18" s="260">
        <v>62.81127</v>
      </c>
      <c r="G18" s="260">
        <v>76.553330000000003</v>
      </c>
    </row>
    <row r="19" spans="1:12" x14ac:dyDescent="0.2">
      <c r="A19" t="s">
        <v>402</v>
      </c>
      <c r="B19" t="s">
        <v>67</v>
      </c>
      <c r="C19" t="s">
        <v>700</v>
      </c>
      <c r="D19">
        <v>4</v>
      </c>
      <c r="E19" s="260">
        <v>49.88355</v>
      </c>
      <c r="F19" s="260">
        <v>58.480899999999998</v>
      </c>
      <c r="G19" s="260">
        <v>66.086250000000007</v>
      </c>
    </row>
    <row r="20" spans="1:12" s="41" customFormat="1" x14ac:dyDescent="0.2">
      <c r="A20" t="s">
        <v>402</v>
      </c>
      <c r="B20" t="s">
        <v>67</v>
      </c>
      <c r="C20" t="s">
        <v>419</v>
      </c>
      <c r="D20">
        <v>41</v>
      </c>
      <c r="E20" s="260">
        <v>42.892290000000003</v>
      </c>
      <c r="F20" s="260">
        <v>59.65231</v>
      </c>
      <c r="G20" s="260">
        <v>82.908050000000003</v>
      </c>
    </row>
    <row r="21" spans="1:12" x14ac:dyDescent="0.2">
      <c r="A21" t="s">
        <v>402</v>
      </c>
      <c r="B21" t="s">
        <v>67</v>
      </c>
      <c r="C21" t="s">
        <v>366</v>
      </c>
      <c r="D21">
        <v>12</v>
      </c>
      <c r="E21" s="260">
        <v>13.08427</v>
      </c>
      <c r="F21" s="260">
        <v>37.476570000000002</v>
      </c>
      <c r="G21" s="260">
        <v>65.362740000000002</v>
      </c>
    </row>
    <row r="22" spans="1:12" x14ac:dyDescent="0.2">
      <c r="A22" s="41" t="s">
        <v>402</v>
      </c>
      <c r="B22" s="41" t="s">
        <v>67</v>
      </c>
      <c r="C22" s="41" t="s">
        <v>1151</v>
      </c>
      <c r="D22" s="41">
        <v>148</v>
      </c>
      <c r="E22" s="262">
        <v>37.863500000000002</v>
      </c>
      <c r="F22" s="262">
        <v>55.491</v>
      </c>
      <c r="G22" s="262">
        <v>77.302710000000005</v>
      </c>
      <c r="H22" s="41"/>
    </row>
    <row r="23" spans="1:12" x14ac:dyDescent="0.2">
      <c r="A23" t="s">
        <v>402</v>
      </c>
      <c r="B23" t="s">
        <v>731</v>
      </c>
      <c r="C23" t="s">
        <v>406</v>
      </c>
      <c r="D23">
        <v>20</v>
      </c>
      <c r="E23" s="260">
        <v>17.584610000000001</v>
      </c>
      <c r="F23" s="260">
        <v>38.047339999999998</v>
      </c>
      <c r="G23" s="260">
        <v>114.8901</v>
      </c>
    </row>
    <row r="24" spans="1:12" x14ac:dyDescent="0.2">
      <c r="A24" t="s">
        <v>402</v>
      </c>
      <c r="B24" t="s">
        <v>731</v>
      </c>
      <c r="C24" t="s">
        <v>413</v>
      </c>
      <c r="D24">
        <v>15</v>
      </c>
      <c r="E24" s="260">
        <v>17.316880000000001</v>
      </c>
      <c r="F24" s="260">
        <v>39.049379999999999</v>
      </c>
      <c r="G24" s="260">
        <v>53.4559</v>
      </c>
    </row>
    <row r="25" spans="1:12" x14ac:dyDescent="0.2">
      <c r="A25" t="s">
        <v>402</v>
      </c>
      <c r="B25" t="s">
        <v>731</v>
      </c>
      <c r="C25" t="s">
        <v>416</v>
      </c>
      <c r="D25">
        <v>15</v>
      </c>
      <c r="E25" s="260">
        <v>30.944980000000001</v>
      </c>
      <c r="F25" s="260">
        <v>43.456270000000004</v>
      </c>
      <c r="G25" s="260">
        <v>102.3314</v>
      </c>
    </row>
    <row r="26" spans="1:12" s="41" customFormat="1" x14ac:dyDescent="0.2">
      <c r="A26" t="s">
        <v>402</v>
      </c>
      <c r="B26" t="s">
        <v>731</v>
      </c>
      <c r="C26" t="s">
        <v>419</v>
      </c>
      <c r="D26">
        <v>21</v>
      </c>
      <c r="E26" s="260">
        <v>33.069499999999998</v>
      </c>
      <c r="F26" s="260">
        <v>54.746630000000003</v>
      </c>
      <c r="G26" s="260">
        <v>89.950580000000002</v>
      </c>
    </row>
    <row r="27" spans="1:12" s="41" customFormat="1" x14ac:dyDescent="0.2">
      <c r="A27" t="s">
        <v>402</v>
      </c>
      <c r="B27" t="s">
        <v>731</v>
      </c>
      <c r="C27" t="s">
        <v>366</v>
      </c>
      <c r="D27">
        <v>31</v>
      </c>
      <c r="E27" s="260">
        <v>13.68624</v>
      </c>
      <c r="F27" s="260">
        <v>30.53153</v>
      </c>
      <c r="G27" s="260">
        <v>53.269930000000002</v>
      </c>
    </row>
    <row r="28" spans="1:12" s="41" customFormat="1" x14ac:dyDescent="0.2">
      <c r="A28" s="41" t="s">
        <v>402</v>
      </c>
      <c r="B28" s="41" t="s">
        <v>731</v>
      </c>
      <c r="C28" s="41" t="s">
        <v>1151</v>
      </c>
      <c r="D28" s="41">
        <v>102</v>
      </c>
      <c r="E28" s="262">
        <v>15.88771</v>
      </c>
      <c r="F28" s="262">
        <v>41.994230000000002</v>
      </c>
      <c r="G28" s="262">
        <v>80.784630000000007</v>
      </c>
    </row>
    <row r="29" spans="1:12" x14ac:dyDescent="0.2">
      <c r="A29" t="s">
        <v>402</v>
      </c>
      <c r="B29" t="s">
        <v>991</v>
      </c>
      <c r="C29" t="s">
        <v>413</v>
      </c>
      <c r="D29">
        <v>15</v>
      </c>
      <c r="E29" s="260">
        <v>58</v>
      </c>
      <c r="F29" s="260">
        <v>79.14</v>
      </c>
      <c r="G29" s="260">
        <v>114.1087</v>
      </c>
    </row>
    <row r="30" spans="1:12" x14ac:dyDescent="0.2">
      <c r="A30" t="s">
        <v>402</v>
      </c>
      <c r="B30" t="s">
        <v>991</v>
      </c>
      <c r="C30" t="s">
        <v>406</v>
      </c>
      <c r="D30">
        <v>17</v>
      </c>
      <c r="E30" s="260">
        <v>65.819999999999993</v>
      </c>
      <c r="F30" s="260">
        <v>100.0252</v>
      </c>
      <c r="G30" s="260">
        <v>110.4776</v>
      </c>
    </row>
    <row r="31" spans="1:12" x14ac:dyDescent="0.2">
      <c r="A31" t="s">
        <v>402</v>
      </c>
      <c r="B31" t="s">
        <v>991</v>
      </c>
      <c r="C31" t="s">
        <v>685</v>
      </c>
      <c r="D31">
        <v>2</v>
      </c>
      <c r="E31" s="260">
        <v>51.401249999999997</v>
      </c>
      <c r="F31" s="260">
        <v>53.40625</v>
      </c>
      <c r="G31" s="260">
        <v>55.411250000000003</v>
      </c>
    </row>
    <row r="32" spans="1:12" x14ac:dyDescent="0.2">
      <c r="A32" t="s">
        <v>402</v>
      </c>
      <c r="B32" t="s">
        <v>991</v>
      </c>
      <c r="C32" t="s">
        <v>416</v>
      </c>
      <c r="D32">
        <v>5</v>
      </c>
      <c r="E32" s="260">
        <v>84.177599999999998</v>
      </c>
      <c r="F32" s="260">
        <v>109.2162</v>
      </c>
      <c r="G32" s="260">
        <v>121.9723</v>
      </c>
      <c r="H32" s="41"/>
      <c r="I32" s="41"/>
      <c r="J32" s="42"/>
      <c r="K32" s="42"/>
      <c r="L32" s="42"/>
    </row>
    <row r="33" spans="1:12" x14ac:dyDescent="0.2">
      <c r="A33" t="s">
        <v>402</v>
      </c>
      <c r="B33" t="s">
        <v>991</v>
      </c>
      <c r="C33" t="s">
        <v>1117</v>
      </c>
      <c r="D33">
        <v>3</v>
      </c>
      <c r="E33" s="260">
        <v>56.802500000000002</v>
      </c>
      <c r="F33" s="260">
        <v>60.412500000000001</v>
      </c>
      <c r="G33" s="260">
        <v>68.002499999999998</v>
      </c>
      <c r="H33" s="104"/>
      <c r="J33" s="39"/>
      <c r="K33" s="39"/>
      <c r="L33" s="39"/>
    </row>
    <row r="34" spans="1:12" s="41" customFormat="1" x14ac:dyDescent="0.2">
      <c r="A34" t="s">
        <v>402</v>
      </c>
      <c r="B34" t="s">
        <v>991</v>
      </c>
      <c r="C34" t="s">
        <v>1124</v>
      </c>
      <c r="D34">
        <v>2</v>
      </c>
      <c r="E34" s="260">
        <v>78.401250000000005</v>
      </c>
      <c r="F34" s="260">
        <v>84.40625</v>
      </c>
      <c r="G34" s="260">
        <v>90.411249999999995</v>
      </c>
      <c r="H34" s="104"/>
      <c r="I34"/>
      <c r="J34" s="39"/>
      <c r="K34" s="39"/>
      <c r="L34" s="39"/>
    </row>
    <row r="35" spans="1:12" s="41" customFormat="1" x14ac:dyDescent="0.2">
      <c r="A35" t="s">
        <v>402</v>
      </c>
      <c r="B35" t="s">
        <v>991</v>
      </c>
      <c r="C35" t="s">
        <v>419</v>
      </c>
      <c r="D35">
        <v>12</v>
      </c>
      <c r="E35" s="260">
        <v>62.182499999999997</v>
      </c>
      <c r="F35" s="260">
        <v>89.532889999999995</v>
      </c>
      <c r="G35" s="260">
        <v>114.8147</v>
      </c>
      <c r="H35" s="104"/>
      <c r="I35"/>
      <c r="J35" s="39"/>
      <c r="K35" s="39"/>
      <c r="L35" s="39"/>
    </row>
    <row r="36" spans="1:12" s="41" customFormat="1" x14ac:dyDescent="0.2">
      <c r="A36" t="s">
        <v>402</v>
      </c>
      <c r="B36" t="s">
        <v>991</v>
      </c>
      <c r="C36" t="s">
        <v>366</v>
      </c>
      <c r="D36">
        <v>9</v>
      </c>
      <c r="E36" s="260">
        <v>45.4</v>
      </c>
      <c r="F36" s="260">
        <v>72.986720000000005</v>
      </c>
      <c r="G36" s="260">
        <v>101.49209999999999</v>
      </c>
      <c r="H36" s="104"/>
      <c r="I36"/>
      <c r="J36" s="39"/>
      <c r="K36" s="39"/>
      <c r="L36" s="39"/>
    </row>
    <row r="37" spans="1:12" s="41" customFormat="1" x14ac:dyDescent="0.2">
      <c r="A37" s="41" t="s">
        <v>402</v>
      </c>
      <c r="B37" s="41" t="s">
        <v>991</v>
      </c>
      <c r="C37" s="41" t="s">
        <v>1151</v>
      </c>
      <c r="D37" s="41">
        <v>65</v>
      </c>
      <c r="E37" s="42">
        <v>55.970359999999999</v>
      </c>
      <c r="F37" s="42">
        <v>77.287499999999994</v>
      </c>
      <c r="G37" s="42">
        <v>119.0682</v>
      </c>
      <c r="J37" s="42"/>
      <c r="K37" s="42"/>
      <c r="L37" s="42"/>
    </row>
    <row r="38" spans="1:12" s="41" customFormat="1" x14ac:dyDescent="0.2">
      <c r="A38" s="41" t="s">
        <v>427</v>
      </c>
      <c r="B38" s="41" t="s">
        <v>67</v>
      </c>
      <c r="C38" s="41" t="s">
        <v>366</v>
      </c>
      <c r="D38" s="41">
        <v>15</v>
      </c>
      <c r="E38" s="42">
        <v>18.82</v>
      </c>
      <c r="F38" s="42">
        <v>32.950000000000003</v>
      </c>
      <c r="G38" s="42">
        <v>46.05</v>
      </c>
      <c r="H38"/>
      <c r="I38"/>
      <c r="J38" s="39"/>
      <c r="K38" s="39"/>
      <c r="L38" s="39"/>
    </row>
    <row r="39" spans="1:12" x14ac:dyDescent="0.2">
      <c r="A39" s="41" t="s">
        <v>427</v>
      </c>
      <c r="B39" s="41" t="s">
        <v>917</v>
      </c>
      <c r="C39" s="41" t="s">
        <v>366</v>
      </c>
      <c r="D39" s="41">
        <v>39</v>
      </c>
      <c r="E39" s="42">
        <v>23.776879999999998</v>
      </c>
      <c r="F39" s="42">
        <v>62.45</v>
      </c>
      <c r="G39" s="42">
        <v>98.898290000000003</v>
      </c>
      <c r="H39" s="104"/>
      <c r="J39" s="39"/>
      <c r="K39" s="39"/>
      <c r="L39" s="39"/>
    </row>
    <row r="40" spans="1:12" x14ac:dyDescent="0.2">
      <c r="A40" s="41" t="s">
        <v>427</v>
      </c>
      <c r="B40" s="41" t="s">
        <v>991</v>
      </c>
      <c r="C40" s="41" t="s">
        <v>366</v>
      </c>
      <c r="D40" s="41">
        <v>8</v>
      </c>
      <c r="E40" s="42">
        <v>47.244160000000001</v>
      </c>
      <c r="F40" s="42">
        <v>76.255319999999998</v>
      </c>
      <c r="G40" s="42">
        <v>103.2107</v>
      </c>
      <c r="H40" s="104"/>
      <c r="J40" s="39"/>
      <c r="K40" s="39"/>
      <c r="L40" s="39"/>
    </row>
    <row r="41" spans="1:12" x14ac:dyDescent="0.2">
      <c r="A41" s="41"/>
      <c r="B41" s="41"/>
      <c r="C41" s="41"/>
      <c r="D41" s="41"/>
      <c r="E41" s="41"/>
      <c r="F41" s="41"/>
      <c r="G41" s="41"/>
      <c r="J41" s="39"/>
      <c r="K41" s="39"/>
      <c r="L41" s="39"/>
    </row>
    <row r="42" spans="1:12" x14ac:dyDescent="0.2">
      <c r="H42" s="41"/>
      <c r="I42" s="41"/>
      <c r="J42" s="42"/>
      <c r="K42" s="42"/>
      <c r="L42" s="42"/>
    </row>
    <row r="43" spans="1:12" x14ac:dyDescent="0.2">
      <c r="A43" s="104"/>
      <c r="C43" s="39"/>
      <c r="D43" s="264"/>
      <c r="E43" s="39"/>
      <c r="H43" s="104"/>
      <c r="J43" s="39"/>
      <c r="K43" s="39"/>
      <c r="L43" s="39"/>
    </row>
    <row r="44" spans="1:12" s="41" customFormat="1" x14ac:dyDescent="0.2">
      <c r="A44" s="127"/>
      <c r="C44" s="42"/>
      <c r="D44" s="265"/>
      <c r="E44" s="42"/>
      <c r="H44" s="104"/>
      <c r="I44"/>
      <c r="J44" s="39"/>
      <c r="K44" s="39"/>
      <c r="L44" s="39"/>
    </row>
    <row r="45" spans="1:12" s="41" customFormat="1" x14ac:dyDescent="0.2">
      <c r="A45" s="104"/>
      <c r="B45"/>
      <c r="C45" s="39"/>
      <c r="D45" s="39"/>
      <c r="E45" s="39"/>
      <c r="H45" s="104"/>
      <c r="I45"/>
      <c r="J45" s="39"/>
      <c r="K45" s="39"/>
      <c r="L45" s="39"/>
    </row>
    <row r="46" spans="1:12" s="41" customFormat="1" x14ac:dyDescent="0.2">
      <c r="A46" s="104"/>
      <c r="B46"/>
      <c r="C46" s="39"/>
      <c r="D46" s="39"/>
      <c r="E46" s="39"/>
      <c r="H46" s="104"/>
      <c r="I46"/>
      <c r="J46" s="39"/>
      <c r="K46" s="39"/>
      <c r="L46" s="39"/>
    </row>
    <row r="47" spans="1:12" s="41" customFormat="1" x14ac:dyDescent="0.2">
      <c r="A47" s="104"/>
      <c r="B47"/>
      <c r="C47" s="42"/>
      <c r="D47" s="42"/>
      <c r="E47" s="42"/>
      <c r="H47" s="104"/>
      <c r="I47"/>
      <c r="J47" s="39"/>
      <c r="K47" s="39"/>
      <c r="L47" s="39"/>
    </row>
    <row r="48" spans="1:12" s="41" customFormat="1" x14ac:dyDescent="0.2">
      <c r="A48" s="104"/>
      <c r="B48"/>
      <c r="C48" s="39"/>
      <c r="D48" s="39"/>
      <c r="E48" s="39"/>
      <c r="H48" s="104"/>
      <c r="I48"/>
      <c r="J48" s="39"/>
      <c r="K48" s="39"/>
      <c r="L48" s="39"/>
    </row>
    <row r="49" spans="1:5" x14ac:dyDescent="0.2">
      <c r="A49" s="127"/>
      <c r="B49" s="41"/>
      <c r="C49" s="42"/>
      <c r="D49" s="42"/>
      <c r="E49" s="42"/>
    </row>
    <row r="50" spans="1:5" x14ac:dyDescent="0.2">
      <c r="A50" s="104"/>
      <c r="C50" s="39"/>
      <c r="D50" s="39"/>
      <c r="E50" s="39"/>
    </row>
    <row r="51" spans="1:5" x14ac:dyDescent="0.2">
      <c r="A51" s="104"/>
      <c r="C51" s="39"/>
      <c r="D51" s="39"/>
      <c r="E51" s="39"/>
    </row>
    <row r="52" spans="1:5" x14ac:dyDescent="0.2">
      <c r="A52" s="104"/>
      <c r="C52" s="39"/>
      <c r="D52" s="39"/>
      <c r="E52" s="39"/>
    </row>
    <row r="53" spans="1:5" x14ac:dyDescent="0.2">
      <c r="A53" s="104"/>
      <c r="C53" s="39"/>
      <c r="D53" s="39"/>
      <c r="E53" s="39"/>
    </row>
    <row r="54" spans="1:5" x14ac:dyDescent="0.2">
      <c r="A54" s="127"/>
      <c r="B54" s="41"/>
      <c r="C54" s="42"/>
      <c r="D54" s="42"/>
      <c r="E54" s="42"/>
    </row>
    <row r="55" spans="1:5" x14ac:dyDescent="0.2">
      <c r="A55" s="104"/>
      <c r="C55" s="39"/>
      <c r="D55" s="39"/>
      <c r="E55" s="39"/>
    </row>
    <row r="56" spans="1:5" x14ac:dyDescent="0.2">
      <c r="A56" s="104"/>
      <c r="C56" s="39"/>
      <c r="D56" s="39"/>
      <c r="E56" s="39"/>
    </row>
    <row r="57" spans="1:5" x14ac:dyDescent="0.2">
      <c r="A57" s="104"/>
      <c r="C57" s="39"/>
      <c r="D57" s="39"/>
      <c r="E57" s="39"/>
    </row>
    <row r="58" spans="1:5" x14ac:dyDescent="0.2">
      <c r="A58" s="104"/>
      <c r="C58" s="39"/>
      <c r="D58" s="39"/>
      <c r="E58" s="39"/>
    </row>
    <row r="59" spans="1:5" x14ac:dyDescent="0.2">
      <c r="A59" s="127"/>
      <c r="B59" s="41"/>
      <c r="C59" s="42"/>
      <c r="D59" s="42"/>
      <c r="E59" s="42"/>
    </row>
    <row r="60" spans="1:5" x14ac:dyDescent="0.2">
      <c r="A60" s="104"/>
      <c r="C60" s="39"/>
      <c r="D60" s="39"/>
      <c r="E60" s="39"/>
    </row>
    <row r="61" spans="1:5" x14ac:dyDescent="0.2">
      <c r="A61" s="104"/>
      <c r="C61" s="39"/>
      <c r="D61" s="39"/>
      <c r="E61" s="39"/>
    </row>
    <row r="62" spans="1:5" x14ac:dyDescent="0.2">
      <c r="A62" s="104"/>
      <c r="C62" s="39"/>
      <c r="D62" s="39"/>
      <c r="E62" s="39"/>
    </row>
    <row r="63" spans="1:5" x14ac:dyDescent="0.2">
      <c r="A63" s="104"/>
      <c r="C63" s="39"/>
      <c r="D63" s="39"/>
      <c r="E63" s="39"/>
    </row>
    <row r="64" spans="1:5" x14ac:dyDescent="0.2">
      <c r="A64" s="127"/>
      <c r="B64" s="41"/>
      <c r="C64" s="42"/>
      <c r="D64" s="42"/>
      <c r="E64" s="42"/>
    </row>
    <row r="65" spans="1:5" x14ac:dyDescent="0.2">
      <c r="A65" s="104"/>
      <c r="C65" s="39"/>
      <c r="D65" s="39"/>
      <c r="E65" s="39"/>
    </row>
    <row r="66" spans="1:5" x14ac:dyDescent="0.2">
      <c r="A66" s="104"/>
      <c r="C66" s="39"/>
      <c r="D66" s="39"/>
      <c r="E66" s="39"/>
    </row>
    <row r="67" spans="1:5" x14ac:dyDescent="0.2">
      <c r="A67" s="104"/>
      <c r="C67" s="39"/>
      <c r="D67" s="39"/>
      <c r="E67" s="39"/>
    </row>
    <row r="68" spans="1:5" x14ac:dyDescent="0.2">
      <c r="A68" s="104"/>
      <c r="C68" s="39"/>
      <c r="D68" s="39"/>
      <c r="E68" s="39"/>
    </row>
    <row r="69" spans="1:5" x14ac:dyDescent="0.2">
      <c r="A69" s="127"/>
      <c r="B69" s="41"/>
      <c r="C69" s="42"/>
      <c r="D69" s="42"/>
      <c r="E69" s="42"/>
    </row>
    <row r="70" spans="1:5" x14ac:dyDescent="0.2">
      <c r="A70" s="104"/>
      <c r="C70" s="39"/>
      <c r="D70" s="39"/>
      <c r="E70" s="39"/>
    </row>
    <row r="71" spans="1:5" x14ac:dyDescent="0.2">
      <c r="A71" s="104"/>
      <c r="C71" s="39"/>
      <c r="D71" s="39"/>
      <c r="E71" s="39"/>
    </row>
    <row r="72" spans="1:5" x14ac:dyDescent="0.2">
      <c r="A72" s="104"/>
      <c r="C72" s="39"/>
      <c r="D72" s="39"/>
      <c r="E72" s="39"/>
    </row>
    <row r="73" spans="1:5" x14ac:dyDescent="0.2">
      <c r="A73" s="104"/>
      <c r="C73" s="39"/>
      <c r="D73" s="39"/>
      <c r="E73" s="39"/>
    </row>
    <row r="74" spans="1:5" x14ac:dyDescent="0.2">
      <c r="A74" s="104"/>
      <c r="C74" s="39"/>
      <c r="D74" s="39"/>
      <c r="E74" s="39"/>
    </row>
    <row r="75" spans="1:5" x14ac:dyDescent="0.2">
      <c r="A75" s="104"/>
      <c r="C75" s="39"/>
      <c r="D75" s="39"/>
      <c r="E75" s="39"/>
    </row>
    <row r="76" spans="1:5" x14ac:dyDescent="0.2">
      <c r="A76" s="104"/>
      <c r="C76" s="39"/>
      <c r="D76" s="39"/>
      <c r="E76" s="39"/>
    </row>
  </sheetData>
  <mergeCells count="7">
    <mergeCell ref="W3:X3"/>
    <mergeCell ref="Y3:AC3"/>
    <mergeCell ref="A3:C3"/>
    <mergeCell ref="D3:J3"/>
    <mergeCell ref="K3:Q3"/>
    <mergeCell ref="R3:T3"/>
    <mergeCell ref="U3:V3"/>
  </mergeCells>
  <hyperlinks>
    <hyperlink ref="A1" location="'Table of Contents'!A1" display="Table of Contents" xr:uid="{D152EAFC-DBD7-47FC-9DE5-4C398F854BCB}"/>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8E60-C2E1-4F6E-B4BF-6D91AE977624}">
  <dimension ref="A1:F40"/>
  <sheetViews>
    <sheetView topLeftCell="A6" workbookViewId="0"/>
  </sheetViews>
  <sheetFormatPr baseColWidth="10" defaultColWidth="8.83203125" defaultRowHeight="15" x14ac:dyDescent="0.2"/>
  <cols>
    <col min="1" max="1" width="15.5" bestFit="1" customWidth="1"/>
    <col min="2" max="2" width="20.6640625" bestFit="1" customWidth="1"/>
    <col min="3" max="3" width="14.5" customWidth="1"/>
    <col min="6" max="6" width="60.33203125" bestFit="1" customWidth="1"/>
  </cols>
  <sheetData>
    <row r="1" spans="1:6" x14ac:dyDescent="0.2">
      <c r="A1" s="4" t="s">
        <v>21</v>
      </c>
    </row>
    <row r="3" spans="1:6" ht="19" x14ac:dyDescent="0.25">
      <c r="A3" s="24" t="s">
        <v>5385</v>
      </c>
    </row>
    <row r="4" spans="1:6" x14ac:dyDescent="0.2">
      <c r="A4" s="41" t="s">
        <v>5457</v>
      </c>
      <c r="B4" s="41" t="s">
        <v>5458</v>
      </c>
      <c r="C4" s="371" t="s">
        <v>5459</v>
      </c>
      <c r="D4" s="41" t="s">
        <v>5460</v>
      </c>
      <c r="E4" s="373" t="s">
        <v>5461</v>
      </c>
      <c r="F4" s="41" t="s">
        <v>5474</v>
      </c>
    </row>
    <row r="5" spans="1:6" x14ac:dyDescent="0.2">
      <c r="A5" t="s">
        <v>2802</v>
      </c>
      <c r="B5" t="s">
        <v>373</v>
      </c>
      <c r="C5" s="411">
        <v>101</v>
      </c>
      <c r="D5">
        <v>0.21</v>
      </c>
      <c r="E5" s="374">
        <v>3</v>
      </c>
      <c r="F5" t="s">
        <v>5402</v>
      </c>
    </row>
    <row r="6" spans="1:6" x14ac:dyDescent="0.2">
      <c r="A6" t="s">
        <v>2802</v>
      </c>
      <c r="B6" t="s">
        <v>377</v>
      </c>
      <c r="C6" s="411">
        <v>93</v>
      </c>
      <c r="D6">
        <v>0.19</v>
      </c>
      <c r="E6" s="374">
        <v>3</v>
      </c>
      <c r="F6" s="104" t="s">
        <v>5404</v>
      </c>
    </row>
    <row r="7" spans="1:6" x14ac:dyDescent="0.2">
      <c r="A7" t="s">
        <v>2802</v>
      </c>
      <c r="B7" t="s">
        <v>378</v>
      </c>
      <c r="C7" s="372">
        <v>66</v>
      </c>
      <c r="D7">
        <v>0.19</v>
      </c>
      <c r="E7" s="374">
        <v>7</v>
      </c>
      <c r="F7" t="s">
        <v>5404</v>
      </c>
    </row>
    <row r="8" spans="1:6" x14ac:dyDescent="0.2">
      <c r="A8" t="s">
        <v>2802</v>
      </c>
      <c r="B8" t="s">
        <v>379</v>
      </c>
      <c r="C8" s="372">
        <v>48</v>
      </c>
      <c r="D8">
        <v>0.01</v>
      </c>
      <c r="E8" s="374">
        <v>7</v>
      </c>
      <c r="F8" t="s">
        <v>5475</v>
      </c>
    </row>
    <row r="9" spans="1:6" x14ac:dyDescent="0.2">
      <c r="A9" t="s">
        <v>2802</v>
      </c>
      <c r="B9" t="s">
        <v>5462</v>
      </c>
      <c r="C9" s="372">
        <v>36</v>
      </c>
      <c r="D9">
        <v>0.47</v>
      </c>
      <c r="E9" s="374">
        <v>11</v>
      </c>
      <c r="F9" t="s">
        <v>5403</v>
      </c>
    </row>
    <row r="10" spans="1:6" x14ac:dyDescent="0.2">
      <c r="A10" t="s">
        <v>2802</v>
      </c>
      <c r="B10" t="s">
        <v>5463</v>
      </c>
      <c r="C10" s="372">
        <v>75</v>
      </c>
      <c r="D10">
        <v>0.27</v>
      </c>
      <c r="E10" s="374">
        <v>6</v>
      </c>
      <c r="F10" t="s">
        <v>5404</v>
      </c>
    </row>
    <row r="11" spans="1:6" x14ac:dyDescent="0.2">
      <c r="A11" t="s">
        <v>2802</v>
      </c>
      <c r="B11" t="s">
        <v>5464</v>
      </c>
      <c r="C11" s="372">
        <v>40</v>
      </c>
      <c r="D11">
        <v>0.2</v>
      </c>
      <c r="E11" s="374">
        <v>9</v>
      </c>
      <c r="F11" t="s">
        <v>5405</v>
      </c>
    </row>
    <row r="12" spans="1:6" x14ac:dyDescent="0.2">
      <c r="A12" t="s">
        <v>2802</v>
      </c>
      <c r="B12" t="s">
        <v>5465</v>
      </c>
      <c r="C12" s="372">
        <v>80</v>
      </c>
      <c r="D12">
        <v>0.47</v>
      </c>
      <c r="E12" s="374">
        <v>7</v>
      </c>
      <c r="F12" t="s">
        <v>5476</v>
      </c>
    </row>
    <row r="13" spans="1:6" x14ac:dyDescent="0.2">
      <c r="A13" t="s">
        <v>2802</v>
      </c>
      <c r="B13" t="s">
        <v>5466</v>
      </c>
      <c r="C13" s="372">
        <v>274</v>
      </c>
      <c r="D13">
        <v>0.39</v>
      </c>
      <c r="E13" s="374">
        <v>7</v>
      </c>
      <c r="F13" t="s">
        <v>5402</v>
      </c>
    </row>
    <row r="14" spans="1:6" x14ac:dyDescent="0.2">
      <c r="A14" t="s">
        <v>3410</v>
      </c>
      <c r="B14" t="s">
        <v>5400</v>
      </c>
      <c r="C14" s="372">
        <v>351</v>
      </c>
      <c r="D14">
        <v>0.05</v>
      </c>
      <c r="E14" s="374" t="s">
        <v>5467</v>
      </c>
      <c r="F14" t="s">
        <v>5387</v>
      </c>
    </row>
    <row r="15" spans="1:6" x14ac:dyDescent="0.2">
      <c r="A15" t="s">
        <v>3410</v>
      </c>
      <c r="B15" t="s">
        <v>5401</v>
      </c>
      <c r="C15" s="372">
        <v>87</v>
      </c>
      <c r="D15">
        <v>0.03</v>
      </c>
      <c r="E15" s="374" t="s">
        <v>5467</v>
      </c>
      <c r="F15" t="s">
        <v>5399</v>
      </c>
    </row>
    <row r="16" spans="1:6" x14ac:dyDescent="0.2">
      <c r="A16" t="s">
        <v>5</v>
      </c>
      <c r="B16" t="s">
        <v>5468</v>
      </c>
      <c r="C16" s="372">
        <v>148</v>
      </c>
      <c r="D16" t="s">
        <v>366</v>
      </c>
      <c r="E16" s="374">
        <v>1</v>
      </c>
      <c r="F16" t="s">
        <v>5382</v>
      </c>
    </row>
    <row r="17" spans="1:6" x14ac:dyDescent="0.2">
      <c r="A17" t="s">
        <v>5</v>
      </c>
      <c r="B17" t="s">
        <v>731</v>
      </c>
      <c r="C17" s="372">
        <v>102</v>
      </c>
      <c r="D17" t="s">
        <v>366</v>
      </c>
      <c r="E17" s="374">
        <v>1</v>
      </c>
      <c r="F17" t="s">
        <v>5382</v>
      </c>
    </row>
    <row r="18" spans="1:6" x14ac:dyDescent="0.2">
      <c r="A18" t="s">
        <v>5</v>
      </c>
      <c r="B18" t="s">
        <v>5469</v>
      </c>
      <c r="C18" s="372">
        <v>65</v>
      </c>
      <c r="D18" t="s">
        <v>366</v>
      </c>
      <c r="E18" s="374">
        <v>1</v>
      </c>
      <c r="F18" t="s">
        <v>5383</v>
      </c>
    </row>
    <row r="19" spans="1:6" x14ac:dyDescent="0.2">
      <c r="A19" t="s">
        <v>5</v>
      </c>
      <c r="B19" t="s">
        <v>5470</v>
      </c>
      <c r="C19" s="372">
        <v>15</v>
      </c>
      <c r="D19" t="s">
        <v>366</v>
      </c>
      <c r="E19" s="374">
        <v>1</v>
      </c>
      <c r="F19" t="s">
        <v>5384</v>
      </c>
    </row>
    <row r="20" spans="1:6" x14ac:dyDescent="0.2">
      <c r="A20" t="s">
        <v>5</v>
      </c>
      <c r="B20" t="s">
        <v>917</v>
      </c>
      <c r="C20" s="372">
        <v>39</v>
      </c>
      <c r="D20" t="s">
        <v>366</v>
      </c>
      <c r="E20" s="374">
        <v>1</v>
      </c>
      <c r="F20" t="s">
        <v>5384</v>
      </c>
    </row>
    <row r="21" spans="1:6" x14ac:dyDescent="0.2">
      <c r="A21" t="s">
        <v>5</v>
      </c>
      <c r="B21" t="s">
        <v>5471</v>
      </c>
      <c r="C21" s="372">
        <v>8</v>
      </c>
      <c r="D21" t="s">
        <v>366</v>
      </c>
      <c r="E21" s="374">
        <v>1</v>
      </c>
      <c r="F21" t="s">
        <v>5384</v>
      </c>
    </row>
    <row r="22" spans="1:6" x14ac:dyDescent="0.2">
      <c r="A22" t="s">
        <v>5472</v>
      </c>
      <c r="B22" t="s">
        <v>2802</v>
      </c>
      <c r="C22" s="372">
        <v>27</v>
      </c>
      <c r="D22">
        <v>0.15</v>
      </c>
      <c r="E22" s="374">
        <v>1</v>
      </c>
      <c r="F22" t="s">
        <v>5386</v>
      </c>
    </row>
    <row r="23" spans="1:6" x14ac:dyDescent="0.2">
      <c r="A23" t="s">
        <v>5472</v>
      </c>
      <c r="B23" t="s">
        <v>5473</v>
      </c>
      <c r="C23" s="372">
        <v>211</v>
      </c>
      <c r="D23">
        <v>0.02</v>
      </c>
      <c r="E23" s="374" t="s">
        <v>5467</v>
      </c>
      <c r="F23" t="s">
        <v>5498</v>
      </c>
    </row>
    <row r="24" spans="1:6" x14ac:dyDescent="0.2">
      <c r="A24" t="s">
        <v>7</v>
      </c>
      <c r="B24" t="s">
        <v>401</v>
      </c>
      <c r="C24" s="372">
        <v>56</v>
      </c>
      <c r="D24" t="s">
        <v>366</v>
      </c>
      <c r="E24" s="374">
        <v>2</v>
      </c>
      <c r="F24" t="s">
        <v>5388</v>
      </c>
    </row>
    <row r="25" spans="1:6" x14ac:dyDescent="0.2">
      <c r="A25" t="s">
        <v>7</v>
      </c>
      <c r="B25" t="s">
        <v>4805</v>
      </c>
      <c r="C25" s="372">
        <v>51</v>
      </c>
      <c r="D25" t="s">
        <v>366</v>
      </c>
      <c r="E25" s="374">
        <v>5</v>
      </c>
      <c r="F25" t="s">
        <v>5389</v>
      </c>
    </row>
    <row r="26" spans="1:6" x14ac:dyDescent="0.2">
      <c r="A26" t="s">
        <v>7</v>
      </c>
      <c r="B26" t="s">
        <v>1849</v>
      </c>
      <c r="C26" s="372">
        <v>77</v>
      </c>
      <c r="D26" t="s">
        <v>366</v>
      </c>
      <c r="E26" s="374">
        <v>1</v>
      </c>
      <c r="F26" t="s">
        <v>5383</v>
      </c>
    </row>
    <row r="27" spans="1:6" x14ac:dyDescent="0.2">
      <c r="A27" t="s">
        <v>7</v>
      </c>
      <c r="B27" t="s">
        <v>405</v>
      </c>
      <c r="C27" s="372">
        <v>108</v>
      </c>
      <c r="D27" t="s">
        <v>366</v>
      </c>
      <c r="E27" s="374">
        <v>1</v>
      </c>
      <c r="F27" t="s">
        <v>5382</v>
      </c>
    </row>
    <row r="28" spans="1:6" x14ac:dyDescent="0.2">
      <c r="A28" t="s">
        <v>7</v>
      </c>
      <c r="B28" t="s">
        <v>5112</v>
      </c>
      <c r="C28" s="372">
        <v>47</v>
      </c>
      <c r="D28" t="s">
        <v>366</v>
      </c>
      <c r="E28" s="374">
        <v>2</v>
      </c>
      <c r="F28" t="s">
        <v>5390</v>
      </c>
    </row>
    <row r="29" spans="1:6" x14ac:dyDescent="0.2">
      <c r="A29" t="s">
        <v>7</v>
      </c>
      <c r="B29" t="s">
        <v>917</v>
      </c>
      <c r="C29" s="372">
        <v>79</v>
      </c>
      <c r="D29" t="s">
        <v>366</v>
      </c>
      <c r="E29" s="374">
        <v>2</v>
      </c>
      <c r="F29" t="s">
        <v>5388</v>
      </c>
    </row>
    <row r="30" spans="1:6" x14ac:dyDescent="0.2">
      <c r="A30" t="s">
        <v>7</v>
      </c>
      <c r="B30" t="s">
        <v>991</v>
      </c>
      <c r="C30" s="372">
        <v>52</v>
      </c>
      <c r="D30" t="s">
        <v>366</v>
      </c>
      <c r="E30" s="374">
        <v>2</v>
      </c>
      <c r="F30" t="s">
        <v>5388</v>
      </c>
    </row>
    <row r="31" spans="1:6" x14ac:dyDescent="0.2">
      <c r="A31" t="s">
        <v>2532</v>
      </c>
      <c r="C31" s="372">
        <v>25</v>
      </c>
      <c r="D31" t="s">
        <v>366</v>
      </c>
      <c r="E31" s="374">
        <v>2</v>
      </c>
      <c r="F31" t="s">
        <v>5390</v>
      </c>
    </row>
    <row r="32" spans="1:6" x14ac:dyDescent="0.2">
      <c r="A32" t="s">
        <v>3391</v>
      </c>
      <c r="C32" s="372">
        <v>62</v>
      </c>
      <c r="D32">
        <v>0.31</v>
      </c>
      <c r="E32" s="374">
        <v>2</v>
      </c>
      <c r="F32" t="s">
        <v>5391</v>
      </c>
    </row>
    <row r="33" spans="1:6" x14ac:dyDescent="0.2">
      <c r="A33" t="s">
        <v>20</v>
      </c>
      <c r="B33" t="s">
        <v>2614</v>
      </c>
      <c r="C33" s="372">
        <v>30</v>
      </c>
      <c r="D33" t="s">
        <v>366</v>
      </c>
      <c r="E33" s="374">
        <v>3</v>
      </c>
      <c r="F33" t="s">
        <v>5392</v>
      </c>
    </row>
    <row r="34" spans="1:6" x14ac:dyDescent="0.2">
      <c r="A34" t="s">
        <v>20</v>
      </c>
      <c r="B34" t="s">
        <v>371</v>
      </c>
      <c r="C34" s="372">
        <v>11</v>
      </c>
      <c r="D34" t="s">
        <v>366</v>
      </c>
      <c r="E34" s="374">
        <v>3</v>
      </c>
      <c r="F34" t="s">
        <v>5392</v>
      </c>
    </row>
    <row r="35" spans="1:6" x14ac:dyDescent="0.2">
      <c r="A35" t="s">
        <v>20</v>
      </c>
      <c r="B35" t="s">
        <v>3072</v>
      </c>
      <c r="C35" s="372">
        <v>27</v>
      </c>
      <c r="D35" t="s">
        <v>366</v>
      </c>
      <c r="E35" s="374">
        <v>2</v>
      </c>
      <c r="F35" t="s">
        <v>5390</v>
      </c>
    </row>
    <row r="36" spans="1:6" x14ac:dyDescent="0.2">
      <c r="A36" t="s">
        <v>6</v>
      </c>
      <c r="B36" t="s">
        <v>5335</v>
      </c>
      <c r="C36" s="372">
        <v>76</v>
      </c>
      <c r="D36" t="s">
        <v>366</v>
      </c>
      <c r="E36" s="374">
        <v>1</v>
      </c>
      <c r="F36" t="s">
        <v>5383</v>
      </c>
    </row>
    <row r="37" spans="1:6" x14ac:dyDescent="0.2">
      <c r="A37" t="s">
        <v>6</v>
      </c>
      <c r="B37" t="s">
        <v>5336</v>
      </c>
      <c r="C37" s="372">
        <v>62</v>
      </c>
      <c r="D37" t="s">
        <v>366</v>
      </c>
      <c r="E37" s="374">
        <v>1</v>
      </c>
      <c r="F37" t="s">
        <v>5383</v>
      </c>
    </row>
    <row r="38" spans="1:6" x14ac:dyDescent="0.2">
      <c r="A38" t="s">
        <v>6</v>
      </c>
      <c r="B38" t="s">
        <v>5337</v>
      </c>
      <c r="C38" s="372">
        <v>17</v>
      </c>
      <c r="D38" t="s">
        <v>366</v>
      </c>
      <c r="E38" s="374">
        <v>1</v>
      </c>
      <c r="F38" t="s">
        <v>5384</v>
      </c>
    </row>
    <row r="39" spans="1:6" x14ac:dyDescent="0.2">
      <c r="A39" t="s">
        <v>6</v>
      </c>
      <c r="B39" t="s">
        <v>5338</v>
      </c>
      <c r="C39" s="372">
        <v>23</v>
      </c>
      <c r="D39" t="s">
        <v>366</v>
      </c>
      <c r="E39" s="374">
        <v>1</v>
      </c>
      <c r="F39" t="s">
        <v>5384</v>
      </c>
    </row>
    <row r="40" spans="1:6" x14ac:dyDescent="0.2">
      <c r="A40" t="s">
        <v>3423</v>
      </c>
      <c r="C40" s="372">
        <v>208</v>
      </c>
      <c r="D40">
        <v>0.16</v>
      </c>
      <c r="E40" s="374">
        <v>1</v>
      </c>
      <c r="F40" t="s">
        <v>5393</v>
      </c>
    </row>
  </sheetData>
  <hyperlinks>
    <hyperlink ref="A1" location="'Table of Contents'!A1" display="Table of Contents" xr:uid="{76B488C8-C7B3-4469-B332-288D15653C0E}"/>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99C92-1F3D-4D55-99D8-601C72CCDD32}">
  <dimension ref="A1:AF432"/>
  <sheetViews>
    <sheetView zoomScale="80" zoomScaleNormal="80" workbookViewId="0">
      <selection activeCell="O29" sqref="O29"/>
    </sheetView>
  </sheetViews>
  <sheetFormatPr baseColWidth="10" defaultColWidth="8.83203125" defaultRowHeight="15" x14ac:dyDescent="0.2"/>
  <cols>
    <col min="1" max="1" width="18.33203125" customWidth="1"/>
    <col min="2" max="2" width="9" customWidth="1"/>
    <col min="3" max="3" width="16.6640625" customWidth="1"/>
    <col min="5" max="5" width="12.6640625" customWidth="1"/>
    <col min="7" max="7" width="16" customWidth="1"/>
    <col min="8" max="8" width="22.5" bestFit="1" customWidth="1"/>
    <col min="9" max="9" width="16" customWidth="1"/>
    <col min="10" max="10" width="22.5" bestFit="1" customWidth="1"/>
    <col min="11" max="11" width="16" customWidth="1"/>
    <col min="12" max="12" width="13.33203125" customWidth="1"/>
    <col min="13" max="13" width="11.5" customWidth="1"/>
    <col min="14" max="16" width="14.5" customWidth="1"/>
    <col min="17" max="17" width="18.5" customWidth="1"/>
    <col min="18" max="18" width="17.5" customWidth="1"/>
    <col min="19" max="19" width="9.33203125" customWidth="1"/>
    <col min="20" max="20" width="16.33203125" customWidth="1"/>
    <col min="21" max="21" width="13.33203125" customWidth="1"/>
    <col min="22" max="22" width="11.5" customWidth="1"/>
    <col min="23" max="23" width="29.33203125" customWidth="1"/>
    <col min="24" max="24" width="21.5" customWidth="1"/>
    <col min="25" max="25" width="25.5" customWidth="1"/>
    <col min="26" max="26" width="13.33203125" bestFit="1" customWidth="1"/>
    <col min="27" max="27" width="15.5" customWidth="1"/>
    <col min="28" max="28" width="8.6640625" bestFit="1" customWidth="1"/>
    <col min="29" max="29" width="18.33203125" customWidth="1"/>
    <col min="30" max="30" width="8.6640625" bestFit="1" customWidth="1"/>
    <col min="31" max="31" width="18" customWidth="1"/>
    <col min="32" max="32" width="9.6640625" bestFit="1" customWidth="1"/>
    <col min="33" max="51" width="8.6640625" bestFit="1" customWidth="1"/>
    <col min="53" max="56" width="8.6640625" bestFit="1" customWidth="1"/>
    <col min="59" max="82" width="8.6640625" bestFit="1" customWidth="1"/>
    <col min="87" max="90" width="8.6640625" bestFit="1" customWidth="1"/>
    <col min="93" max="94" width="8.6640625" bestFit="1" customWidth="1"/>
    <col min="97" max="97" width="8.6640625" bestFit="1" customWidth="1"/>
    <col min="107" max="111" width="8.6640625" bestFit="1" customWidth="1"/>
    <col min="115" max="115" width="8.6640625" bestFit="1" customWidth="1"/>
    <col min="117" max="117" width="8.6640625" bestFit="1" customWidth="1"/>
    <col min="121" max="192" width="8.6640625" bestFit="1" customWidth="1"/>
  </cols>
  <sheetData>
    <row r="1" spans="1:32" x14ac:dyDescent="0.2">
      <c r="A1" s="4" t="s">
        <v>21</v>
      </c>
    </row>
    <row r="2" spans="1:32" ht="19" x14ac:dyDescent="0.25">
      <c r="A2" s="24" t="s">
        <v>22</v>
      </c>
      <c r="J2" s="40" t="s">
        <v>1152</v>
      </c>
      <c r="L2" s="40" t="s">
        <v>5305</v>
      </c>
      <c r="M2" s="41"/>
      <c r="W2" s="24" t="s">
        <v>3417</v>
      </c>
    </row>
    <row r="3" spans="1:32" ht="32" x14ac:dyDescent="0.2">
      <c r="A3" s="59" t="s">
        <v>0</v>
      </c>
      <c r="B3" s="239" t="s">
        <v>389</v>
      </c>
      <c r="C3" s="239" t="s">
        <v>1319</v>
      </c>
      <c r="D3" s="239" t="s">
        <v>2707</v>
      </c>
      <c r="E3" s="239" t="s">
        <v>27</v>
      </c>
      <c r="F3" s="239" t="s">
        <v>3420</v>
      </c>
      <c r="G3" s="239" t="s">
        <v>30</v>
      </c>
      <c r="H3" s="239" t="s">
        <v>3421</v>
      </c>
      <c r="I3" s="239" t="s">
        <v>4559</v>
      </c>
      <c r="J3" s="60" t="s">
        <v>31</v>
      </c>
      <c r="K3" s="60" t="s">
        <v>3428</v>
      </c>
      <c r="L3" s="60" t="s">
        <v>3429</v>
      </c>
      <c r="M3" s="60" t="s">
        <v>3569</v>
      </c>
      <c r="N3" s="60" t="s">
        <v>396</v>
      </c>
      <c r="O3" s="60" t="s">
        <v>3422</v>
      </c>
      <c r="P3" s="60" t="s">
        <v>2812</v>
      </c>
      <c r="Q3" s="60" t="s">
        <v>37</v>
      </c>
      <c r="R3" s="60" t="s">
        <v>5507</v>
      </c>
      <c r="S3" s="62" t="s">
        <v>43</v>
      </c>
      <c r="T3" s="239" t="s">
        <v>44</v>
      </c>
      <c r="U3" s="63" t="s">
        <v>57</v>
      </c>
      <c r="W3" s="240" t="s">
        <v>0</v>
      </c>
      <c r="X3" s="241" t="s">
        <v>25</v>
      </c>
      <c r="Y3" s="241" t="s">
        <v>58</v>
      </c>
      <c r="Z3" s="241" t="s">
        <v>59</v>
      </c>
      <c r="AA3" s="241" t="s">
        <v>60</v>
      </c>
      <c r="AB3" s="241" t="s">
        <v>61</v>
      </c>
      <c r="AC3" s="241" t="s">
        <v>62</v>
      </c>
      <c r="AD3" s="241" t="s">
        <v>63</v>
      </c>
      <c r="AE3" s="241" t="s">
        <v>64</v>
      </c>
      <c r="AF3" s="242" t="s">
        <v>43</v>
      </c>
    </row>
    <row r="4" spans="1:32" x14ac:dyDescent="0.2">
      <c r="A4" t="s">
        <v>3418</v>
      </c>
      <c r="B4" t="s">
        <v>5506</v>
      </c>
      <c r="C4" t="s">
        <v>3473</v>
      </c>
      <c r="D4" t="s">
        <v>3419</v>
      </c>
      <c r="E4" t="s">
        <v>67</v>
      </c>
      <c r="H4">
        <v>8.3333333333333339</v>
      </c>
      <c r="J4">
        <v>5</v>
      </c>
      <c r="K4" s="245">
        <v>49.92</v>
      </c>
      <c r="L4" s="245">
        <f>Table27[[#This Row],[Materials ($)]]/Table27[[#This Row],[Area (sq. ft)]]</f>
        <v>5.9904000000000002</v>
      </c>
      <c r="M4" s="245"/>
      <c r="O4" s="245"/>
      <c r="P4" s="54"/>
      <c r="R4">
        <v>2023</v>
      </c>
      <c r="S4" t="s">
        <v>99</v>
      </c>
      <c r="T4" t="s">
        <v>3508</v>
      </c>
      <c r="U4" t="s">
        <v>72</v>
      </c>
      <c r="W4" s="25" t="s">
        <v>3418</v>
      </c>
      <c r="X4" s="25" t="s">
        <v>366</v>
      </c>
      <c r="Y4" s="197">
        <f>AVERAGE(Table27[Labor ($)])</f>
        <v>125.99714285714286</v>
      </c>
      <c r="Z4" s="197" t="s">
        <v>366</v>
      </c>
      <c r="AA4" s="197">
        <f>Y4</f>
        <v>125.99714285714286</v>
      </c>
      <c r="AB4" s="197"/>
      <c r="AC4" s="198">
        <f>1+Y4/AVERAGE(Table27[Materials ($)])</f>
        <v>3.5755627479132697</v>
      </c>
      <c r="AD4" s="198"/>
      <c r="AE4" s="25">
        <v>2023</v>
      </c>
      <c r="AF4" s="25" t="s">
        <v>70</v>
      </c>
    </row>
    <row r="5" spans="1:32" x14ac:dyDescent="0.2">
      <c r="A5" t="s">
        <v>3418</v>
      </c>
      <c r="B5" t="s">
        <v>5506</v>
      </c>
      <c r="C5" t="s">
        <v>5502</v>
      </c>
      <c r="D5" t="s">
        <v>3419</v>
      </c>
      <c r="E5" t="s">
        <v>67</v>
      </c>
      <c r="H5">
        <v>50</v>
      </c>
      <c r="J5">
        <v>5</v>
      </c>
      <c r="K5" s="245">
        <v>299</v>
      </c>
      <c r="L5" s="245">
        <f>Table27[[#This Row],[Materials ($)]]/Table27[[#This Row],[Area (sq. ft)]]</f>
        <v>5.98</v>
      </c>
      <c r="M5" s="245"/>
      <c r="O5" s="245"/>
      <c r="P5" s="54"/>
      <c r="R5">
        <v>2023</v>
      </c>
      <c r="S5" t="s">
        <v>99</v>
      </c>
      <c r="T5" t="s">
        <v>5503</v>
      </c>
      <c r="U5" t="s">
        <v>72</v>
      </c>
    </row>
    <row r="6" spans="1:32" x14ac:dyDescent="0.2">
      <c r="A6" t="s">
        <v>3418</v>
      </c>
      <c r="B6" t="s">
        <v>5506</v>
      </c>
      <c r="C6" t="s">
        <v>3467</v>
      </c>
      <c r="D6" t="s">
        <v>3419</v>
      </c>
      <c r="E6" t="s">
        <v>67</v>
      </c>
      <c r="H6">
        <v>10</v>
      </c>
      <c r="J6">
        <v>5</v>
      </c>
      <c r="K6" s="245">
        <v>59.36</v>
      </c>
      <c r="L6" s="245">
        <f>Table27[[#This Row],[Materials ($)]]/Table27[[#This Row],[Area (sq. ft)]]</f>
        <v>5.9359999999999999</v>
      </c>
      <c r="M6" s="245"/>
      <c r="O6" s="245"/>
      <c r="P6" s="54"/>
      <c r="R6">
        <v>2023</v>
      </c>
      <c r="S6" t="s">
        <v>99</v>
      </c>
      <c r="T6" t="s">
        <v>3502</v>
      </c>
      <c r="U6" t="s">
        <v>72</v>
      </c>
    </row>
    <row r="7" spans="1:32" x14ac:dyDescent="0.2">
      <c r="A7" t="s">
        <v>3418</v>
      </c>
      <c r="C7" t="s">
        <v>2943</v>
      </c>
      <c r="D7" t="s">
        <v>3419</v>
      </c>
      <c r="E7" t="s">
        <v>67</v>
      </c>
      <c r="F7">
        <v>1.5</v>
      </c>
      <c r="G7">
        <v>1.5</v>
      </c>
      <c r="H7">
        <v>1</v>
      </c>
      <c r="K7" s="245">
        <v>5</v>
      </c>
      <c r="L7" s="245">
        <f>Table27[[#This Row],[Materials ($)]]/Table27[[#This Row],[Area (sq. ft)]]</f>
        <v>5</v>
      </c>
      <c r="M7" s="245"/>
      <c r="N7">
        <v>0.19</v>
      </c>
      <c r="O7" s="245">
        <f>6.95</f>
        <v>6.95</v>
      </c>
      <c r="P7" s="54">
        <v>17.100000000000001</v>
      </c>
      <c r="R7">
        <v>2023</v>
      </c>
      <c r="S7" t="s">
        <v>70</v>
      </c>
      <c r="U7" t="s">
        <v>72</v>
      </c>
    </row>
    <row r="8" spans="1:32" x14ac:dyDescent="0.2">
      <c r="A8" t="s">
        <v>3418</v>
      </c>
      <c r="B8" t="s">
        <v>5506</v>
      </c>
      <c r="C8" t="s">
        <v>3468</v>
      </c>
      <c r="D8" t="s">
        <v>3419</v>
      </c>
      <c r="E8" t="s">
        <v>67</v>
      </c>
      <c r="H8">
        <v>16.666666666666668</v>
      </c>
      <c r="J8">
        <v>5</v>
      </c>
      <c r="K8" s="245">
        <v>80.3</v>
      </c>
      <c r="L8" s="245">
        <f>Table27[[#This Row],[Materials ($)]]/Table27[[#This Row],[Area (sq. ft)]]</f>
        <v>4.8179999999999996</v>
      </c>
      <c r="M8" s="245"/>
      <c r="O8" s="245"/>
      <c r="P8" s="54"/>
      <c r="R8">
        <v>2023</v>
      </c>
      <c r="S8" t="s">
        <v>99</v>
      </c>
      <c r="T8" t="s">
        <v>3503</v>
      </c>
      <c r="U8" t="s">
        <v>72</v>
      </c>
    </row>
    <row r="9" spans="1:32" x14ac:dyDescent="0.2">
      <c r="A9" t="s">
        <v>3418</v>
      </c>
      <c r="B9" t="s">
        <v>5506</v>
      </c>
      <c r="C9" t="s">
        <v>3475</v>
      </c>
      <c r="D9" t="s">
        <v>3419</v>
      </c>
      <c r="E9" t="s">
        <v>67</v>
      </c>
      <c r="H9">
        <v>10</v>
      </c>
      <c r="J9">
        <v>5</v>
      </c>
      <c r="K9" s="245">
        <v>42.74</v>
      </c>
      <c r="L9" s="245">
        <f>Table27[[#This Row],[Materials ($)]]/Table27[[#This Row],[Area (sq. ft)]]</f>
        <v>4.274</v>
      </c>
      <c r="M9" s="245"/>
      <c r="O9" s="245"/>
      <c r="P9" s="54"/>
      <c r="R9">
        <v>2023</v>
      </c>
      <c r="S9" t="s">
        <v>99</v>
      </c>
      <c r="T9" t="s">
        <v>3510</v>
      </c>
      <c r="U9" t="s">
        <v>71</v>
      </c>
    </row>
    <row r="10" spans="1:32" x14ac:dyDescent="0.2">
      <c r="A10" t="s">
        <v>3418</v>
      </c>
      <c r="B10" t="s">
        <v>5504</v>
      </c>
      <c r="C10" t="s">
        <v>3451</v>
      </c>
      <c r="D10" t="s">
        <v>5508</v>
      </c>
      <c r="E10" t="s">
        <v>67</v>
      </c>
      <c r="H10">
        <v>5.2359877559829879</v>
      </c>
      <c r="J10">
        <v>8</v>
      </c>
      <c r="K10" s="245">
        <v>20.53</v>
      </c>
      <c r="L10" s="245">
        <f>Table27[[#This Row],[Materials ($)]]/Table27[[#This Row],[Area (sq. ft)]]</f>
        <v>3.9209411780119341</v>
      </c>
      <c r="M10" s="245"/>
      <c r="O10" s="245"/>
      <c r="P10" s="54"/>
      <c r="R10">
        <v>2023</v>
      </c>
      <c r="S10" t="s">
        <v>99</v>
      </c>
      <c r="T10" t="s">
        <v>3486</v>
      </c>
      <c r="U10" t="s">
        <v>71</v>
      </c>
    </row>
    <row r="11" spans="1:32" x14ac:dyDescent="0.2">
      <c r="A11" t="s">
        <v>3418</v>
      </c>
      <c r="B11" t="s">
        <v>5504</v>
      </c>
      <c r="C11" t="s">
        <v>3452</v>
      </c>
      <c r="D11" t="s">
        <v>5508</v>
      </c>
      <c r="E11" t="s">
        <v>67</v>
      </c>
      <c r="H11">
        <v>5.2359877559829879</v>
      </c>
      <c r="J11">
        <v>6</v>
      </c>
      <c r="K11" s="245">
        <v>18.89</v>
      </c>
      <c r="L11" s="245">
        <f>Table27[[#This Row],[Materials ($)]]/Table27[[#This Row],[Area (sq. ft)]]</f>
        <v>3.6077242500070841</v>
      </c>
      <c r="M11" s="245"/>
      <c r="O11" s="245"/>
      <c r="P11" s="54"/>
      <c r="R11">
        <v>2023</v>
      </c>
      <c r="S11" t="s">
        <v>99</v>
      </c>
      <c r="T11" t="s">
        <v>3487</v>
      </c>
      <c r="U11" t="s">
        <v>71</v>
      </c>
    </row>
    <row r="12" spans="1:32" x14ac:dyDescent="0.2">
      <c r="A12" t="s">
        <v>3418</v>
      </c>
      <c r="C12" t="s">
        <v>2949</v>
      </c>
      <c r="D12" t="s">
        <v>3419</v>
      </c>
      <c r="E12" t="s">
        <v>67</v>
      </c>
      <c r="F12">
        <v>1.5</v>
      </c>
      <c r="G12">
        <v>0.5</v>
      </c>
      <c r="H12">
        <v>1</v>
      </c>
      <c r="K12" s="245">
        <v>3.47</v>
      </c>
      <c r="L12" s="245">
        <f>Table27[[#This Row],[Materials ($)]]/Table27[[#This Row],[Area (sq. ft)]]</f>
        <v>3.47</v>
      </c>
      <c r="M12" s="245"/>
      <c r="N12">
        <v>0.154</v>
      </c>
      <c r="O12" s="245">
        <v>5.6</v>
      </c>
      <c r="P12" s="54">
        <v>13.16</v>
      </c>
      <c r="R12">
        <v>2023</v>
      </c>
      <c r="S12" t="s">
        <v>70</v>
      </c>
      <c r="U12" t="s">
        <v>72</v>
      </c>
    </row>
    <row r="13" spans="1:32" x14ac:dyDescent="0.2">
      <c r="A13" t="s">
        <v>3418</v>
      </c>
      <c r="C13" t="s">
        <v>2948</v>
      </c>
      <c r="D13" t="s">
        <v>3419</v>
      </c>
      <c r="E13" t="s">
        <v>67</v>
      </c>
      <c r="F13">
        <v>1.5</v>
      </c>
      <c r="G13">
        <v>0.5</v>
      </c>
      <c r="H13">
        <f>4*25</f>
        <v>100</v>
      </c>
      <c r="K13" s="245">
        <v>345</v>
      </c>
      <c r="L13" s="245">
        <f>Table27[[#This Row],[Materials ($)]]/Table27[[#This Row],[Area (sq. ft)]]</f>
        <v>3.45</v>
      </c>
      <c r="M13" s="245"/>
      <c r="N13">
        <v>15.385</v>
      </c>
      <c r="O13" s="245">
        <v>560</v>
      </c>
      <c r="P13" s="54">
        <v>1315</v>
      </c>
      <c r="R13">
        <v>2023</v>
      </c>
      <c r="S13" t="s">
        <v>70</v>
      </c>
      <c r="U13" t="s">
        <v>72</v>
      </c>
    </row>
    <row r="14" spans="1:32" x14ac:dyDescent="0.2">
      <c r="A14" t="s">
        <v>3418</v>
      </c>
      <c r="B14" t="s">
        <v>5504</v>
      </c>
      <c r="C14" t="s">
        <v>3446</v>
      </c>
      <c r="D14" t="s">
        <v>5508</v>
      </c>
      <c r="E14" t="s">
        <v>67</v>
      </c>
      <c r="H14">
        <v>7.8539816339744828</v>
      </c>
      <c r="J14">
        <v>8</v>
      </c>
      <c r="K14" s="245">
        <v>21.93</v>
      </c>
      <c r="L14" s="245">
        <f>Table27[[#This Row],[Materials ($)]]/Table27[[#This Row],[Area (sq. ft)]]</f>
        <v>2.7922143216042117</v>
      </c>
      <c r="M14" s="245"/>
      <c r="O14" s="245"/>
      <c r="P14" s="54"/>
      <c r="R14">
        <v>2023</v>
      </c>
      <c r="S14" t="s">
        <v>99</v>
      </c>
      <c r="T14" t="s">
        <v>3481</v>
      </c>
      <c r="U14" t="s">
        <v>71</v>
      </c>
    </row>
    <row r="15" spans="1:32" x14ac:dyDescent="0.2">
      <c r="A15" t="s">
        <v>3418</v>
      </c>
      <c r="B15" t="s">
        <v>5504</v>
      </c>
      <c r="C15" t="s">
        <v>3456</v>
      </c>
      <c r="D15" t="s">
        <v>5508</v>
      </c>
      <c r="E15" t="s">
        <v>67</v>
      </c>
      <c r="H15">
        <v>6.5449846949787354</v>
      </c>
      <c r="J15">
        <v>8</v>
      </c>
      <c r="K15" s="245">
        <v>17.95</v>
      </c>
      <c r="L15" s="245">
        <f>Table27[[#This Row],[Materials ($)]]/Table27[[#This Row],[Area (sq. ft)]]</f>
        <v>2.7425579793595407</v>
      </c>
      <c r="M15" s="245"/>
      <c r="O15" s="245"/>
      <c r="P15" s="54"/>
      <c r="R15">
        <v>2023</v>
      </c>
      <c r="S15" t="s">
        <v>99</v>
      </c>
      <c r="T15" t="s">
        <v>3491</v>
      </c>
      <c r="U15" t="s">
        <v>71</v>
      </c>
    </row>
    <row r="16" spans="1:32" x14ac:dyDescent="0.2">
      <c r="A16" t="s">
        <v>3418</v>
      </c>
      <c r="B16" t="s">
        <v>5506</v>
      </c>
      <c r="C16" t="s">
        <v>3472</v>
      </c>
      <c r="D16" t="s">
        <v>3419</v>
      </c>
      <c r="E16" t="s">
        <v>67</v>
      </c>
      <c r="H16">
        <v>20</v>
      </c>
      <c r="J16">
        <v>5</v>
      </c>
      <c r="K16" s="245">
        <v>53.38</v>
      </c>
      <c r="L16" s="245">
        <f>Table27[[#This Row],[Materials ($)]]/Table27[[#This Row],[Area (sq. ft)]]</f>
        <v>2.669</v>
      </c>
      <c r="M16" s="245"/>
      <c r="O16" s="245"/>
      <c r="P16" s="54"/>
      <c r="R16">
        <v>2023</v>
      </c>
      <c r="S16" t="s">
        <v>99</v>
      </c>
      <c r="T16" t="s">
        <v>3507</v>
      </c>
      <c r="U16" t="s">
        <v>71</v>
      </c>
    </row>
    <row r="17" spans="1:21" x14ac:dyDescent="0.2">
      <c r="A17" t="s">
        <v>3418</v>
      </c>
      <c r="B17" t="s">
        <v>5506</v>
      </c>
      <c r="C17" t="s">
        <v>3469</v>
      </c>
      <c r="D17" t="s">
        <v>3419</v>
      </c>
      <c r="E17" t="s">
        <v>67</v>
      </c>
      <c r="H17">
        <v>10</v>
      </c>
      <c r="J17">
        <v>5</v>
      </c>
      <c r="K17" s="245">
        <v>26.22</v>
      </c>
      <c r="L17" s="245">
        <f>Table27[[#This Row],[Materials ($)]]/Table27[[#This Row],[Area (sq. ft)]]</f>
        <v>2.6219999999999999</v>
      </c>
      <c r="M17" s="245"/>
      <c r="O17" s="245"/>
      <c r="P17" s="54"/>
      <c r="R17">
        <v>2023</v>
      </c>
      <c r="S17" t="s">
        <v>99</v>
      </c>
      <c r="T17" t="s">
        <v>3504</v>
      </c>
      <c r="U17" t="s">
        <v>71</v>
      </c>
    </row>
    <row r="18" spans="1:21" x14ac:dyDescent="0.2">
      <c r="A18" t="s">
        <v>3418</v>
      </c>
      <c r="B18" t="s">
        <v>5504</v>
      </c>
      <c r="C18" t="s">
        <v>3453</v>
      </c>
      <c r="D18" t="s">
        <v>5508</v>
      </c>
      <c r="E18" t="s">
        <v>67</v>
      </c>
      <c r="H18">
        <v>15.707963267948966</v>
      </c>
      <c r="J18">
        <v>8</v>
      </c>
      <c r="K18" s="245">
        <v>39.15</v>
      </c>
      <c r="L18" s="245">
        <f>Table27[[#This Row],[Materials ($)]]/Table27[[#This Row],[Area (sq. ft)]]</f>
        <v>2.4923664088190809</v>
      </c>
      <c r="M18" s="245"/>
      <c r="O18" s="245"/>
      <c r="P18" s="54"/>
      <c r="R18">
        <v>2023</v>
      </c>
      <c r="S18" t="s">
        <v>99</v>
      </c>
      <c r="T18" t="s">
        <v>3488</v>
      </c>
      <c r="U18" t="s">
        <v>71</v>
      </c>
    </row>
    <row r="19" spans="1:21" x14ac:dyDescent="0.2">
      <c r="A19" t="s">
        <v>3418</v>
      </c>
      <c r="B19" t="s">
        <v>5504</v>
      </c>
      <c r="C19" t="s">
        <v>3458</v>
      </c>
      <c r="D19" t="s">
        <v>5508</v>
      </c>
      <c r="E19" t="s">
        <v>67</v>
      </c>
      <c r="H19">
        <v>7.8539816339744828</v>
      </c>
      <c r="J19">
        <v>8</v>
      </c>
      <c r="K19" s="245">
        <v>19.54</v>
      </c>
      <c r="L19" s="245">
        <f>Table27[[#This Row],[Materials ($)]]/Table27[[#This Row],[Area (sq. ft)]]</f>
        <v>2.4879100704125077</v>
      </c>
      <c r="M19" s="245"/>
      <c r="O19" s="245"/>
      <c r="P19" s="54"/>
      <c r="R19">
        <v>2023</v>
      </c>
      <c r="S19" t="s">
        <v>99</v>
      </c>
      <c r="T19" t="s">
        <v>3493</v>
      </c>
      <c r="U19" t="s">
        <v>71</v>
      </c>
    </row>
    <row r="20" spans="1:21" x14ac:dyDescent="0.2">
      <c r="A20" t="s">
        <v>3418</v>
      </c>
      <c r="B20" t="s">
        <v>5504</v>
      </c>
      <c r="C20" t="s">
        <v>3462</v>
      </c>
      <c r="D20" t="s">
        <v>5508</v>
      </c>
      <c r="E20" t="s">
        <v>67</v>
      </c>
      <c r="H20">
        <v>13.089969389957471</v>
      </c>
      <c r="J20">
        <v>8</v>
      </c>
      <c r="K20" s="245">
        <v>32.47</v>
      </c>
      <c r="L20" s="245">
        <f>Table27[[#This Row],[Materials ($)]]/Table27[[#This Row],[Area (sq. ft)]]</f>
        <v>2.480525281053044</v>
      </c>
      <c r="M20" s="245"/>
      <c r="O20" s="245"/>
      <c r="P20" s="54"/>
      <c r="R20">
        <v>2023</v>
      </c>
      <c r="S20" t="s">
        <v>99</v>
      </c>
      <c r="T20" t="s">
        <v>3497</v>
      </c>
      <c r="U20" t="s">
        <v>71</v>
      </c>
    </row>
    <row r="21" spans="1:21" x14ac:dyDescent="0.2">
      <c r="A21" t="s">
        <v>3418</v>
      </c>
      <c r="B21" t="s">
        <v>5504</v>
      </c>
      <c r="C21" t="s">
        <v>3454</v>
      </c>
      <c r="D21" t="s">
        <v>5508</v>
      </c>
      <c r="E21" t="s">
        <v>67</v>
      </c>
      <c r="H21">
        <v>6.5449846949787354</v>
      </c>
      <c r="J21">
        <v>6</v>
      </c>
      <c r="K21" s="245">
        <v>16.07</v>
      </c>
      <c r="L21" s="245">
        <f>Table27[[#This Row],[Materials ($)]]/Table27[[#This Row],[Area (sq. ft)]]</f>
        <v>2.455315138067288</v>
      </c>
      <c r="M21" s="245"/>
      <c r="O21" s="245"/>
      <c r="P21" s="54"/>
      <c r="R21">
        <v>2023</v>
      </c>
      <c r="S21" t="s">
        <v>99</v>
      </c>
      <c r="T21" t="s">
        <v>3489</v>
      </c>
      <c r="U21" t="s">
        <v>71</v>
      </c>
    </row>
    <row r="22" spans="1:21" x14ac:dyDescent="0.2">
      <c r="A22" t="s">
        <v>3418</v>
      </c>
      <c r="B22" t="s">
        <v>5504</v>
      </c>
      <c r="C22" t="s">
        <v>3448</v>
      </c>
      <c r="D22" t="s">
        <v>5508</v>
      </c>
      <c r="E22" t="s">
        <v>67</v>
      </c>
      <c r="H22">
        <v>10.471975511965976</v>
      </c>
      <c r="J22">
        <v>8</v>
      </c>
      <c r="K22" s="245">
        <v>24.92</v>
      </c>
      <c r="L22" s="245">
        <f>Table27[[#This Row],[Materials ($)]]/Table27[[#This Row],[Area (sq. ft)]]</f>
        <v>2.3796847091100197</v>
      </c>
      <c r="M22" s="245"/>
      <c r="O22" s="245"/>
      <c r="P22" s="54"/>
      <c r="R22">
        <v>2023</v>
      </c>
      <c r="S22" t="s">
        <v>99</v>
      </c>
      <c r="T22" t="s">
        <v>3483</v>
      </c>
      <c r="U22" t="s">
        <v>71</v>
      </c>
    </row>
    <row r="23" spans="1:21" x14ac:dyDescent="0.2">
      <c r="A23" t="s">
        <v>3418</v>
      </c>
      <c r="B23" t="s">
        <v>5504</v>
      </c>
      <c r="C23" t="s">
        <v>3455</v>
      </c>
      <c r="D23" t="s">
        <v>5508</v>
      </c>
      <c r="E23" t="s">
        <v>67</v>
      </c>
      <c r="H23">
        <v>18.32595714594046</v>
      </c>
      <c r="J23">
        <v>8</v>
      </c>
      <c r="K23" s="245">
        <v>42.66</v>
      </c>
      <c r="L23" s="245">
        <f>Table27[[#This Row],[Materials ($)]]/Table27[[#This Row],[Area (sq. ft)]]</f>
        <v>2.3278456705029442</v>
      </c>
      <c r="M23" s="245"/>
      <c r="O23" s="245"/>
      <c r="P23" s="54"/>
      <c r="R23">
        <v>2023</v>
      </c>
      <c r="S23" t="s">
        <v>99</v>
      </c>
      <c r="T23" t="s">
        <v>3490</v>
      </c>
      <c r="U23" t="s">
        <v>71</v>
      </c>
    </row>
    <row r="24" spans="1:21" x14ac:dyDescent="0.2">
      <c r="A24" t="s">
        <v>3418</v>
      </c>
      <c r="B24" t="s">
        <v>5504</v>
      </c>
      <c r="C24" t="s">
        <v>3447</v>
      </c>
      <c r="D24" t="s">
        <v>5508</v>
      </c>
      <c r="E24" t="s">
        <v>67</v>
      </c>
      <c r="H24">
        <v>7.8539816339744828</v>
      </c>
      <c r="J24">
        <v>6</v>
      </c>
      <c r="K24" s="245">
        <v>17.98</v>
      </c>
      <c r="L24" s="245">
        <f>Table27[[#This Row],[Materials ($)]]/Table27[[#This Row],[Area (sq. ft)]]</f>
        <v>2.2892847014338225</v>
      </c>
      <c r="M24" s="245"/>
      <c r="O24" s="245"/>
      <c r="P24" s="54"/>
      <c r="R24">
        <v>2023</v>
      </c>
      <c r="S24" t="s">
        <v>99</v>
      </c>
      <c r="T24" t="s">
        <v>3482</v>
      </c>
      <c r="U24" t="s">
        <v>71</v>
      </c>
    </row>
    <row r="25" spans="1:21" x14ac:dyDescent="0.2">
      <c r="A25" t="s">
        <v>3418</v>
      </c>
      <c r="B25" t="s">
        <v>5504</v>
      </c>
      <c r="C25" t="s">
        <v>3457</v>
      </c>
      <c r="D25" t="s">
        <v>5508</v>
      </c>
      <c r="E25" t="s">
        <v>67</v>
      </c>
      <c r="H25">
        <v>10.471975511965976</v>
      </c>
      <c r="J25">
        <v>8</v>
      </c>
      <c r="K25" s="245">
        <v>23.9</v>
      </c>
      <c r="L25" s="245">
        <f>Table27[[#This Row],[Materials ($)]]/Table27[[#This Row],[Area (sq. ft)]]</f>
        <v>2.2822818839377792</v>
      </c>
      <c r="M25" s="245"/>
      <c r="O25" s="245"/>
      <c r="P25" s="54"/>
      <c r="R25">
        <v>2023</v>
      </c>
      <c r="S25" t="s">
        <v>99</v>
      </c>
      <c r="T25" t="s">
        <v>3492</v>
      </c>
      <c r="U25" t="s">
        <v>71</v>
      </c>
    </row>
    <row r="26" spans="1:21" x14ac:dyDescent="0.2">
      <c r="A26" t="s">
        <v>3418</v>
      </c>
      <c r="B26" t="s">
        <v>5504</v>
      </c>
      <c r="C26" t="s">
        <v>3459</v>
      </c>
      <c r="D26" t="s">
        <v>5508</v>
      </c>
      <c r="E26" t="s">
        <v>67</v>
      </c>
      <c r="H26">
        <v>9.1629785729702302</v>
      </c>
      <c r="J26">
        <v>6</v>
      </c>
      <c r="K26" s="245">
        <v>20.72</v>
      </c>
      <c r="L26" s="245">
        <f>Table27[[#This Row],[Materials ($)]]/Table27[[#This Row],[Area (sq. ft)]]</f>
        <v>2.261273431449649</v>
      </c>
      <c r="M26" s="245"/>
      <c r="O26" s="245"/>
      <c r="P26" s="54"/>
      <c r="R26">
        <v>2023</v>
      </c>
      <c r="S26" t="s">
        <v>99</v>
      </c>
      <c r="T26" t="s">
        <v>3494</v>
      </c>
      <c r="U26" t="s">
        <v>71</v>
      </c>
    </row>
    <row r="27" spans="1:21" x14ac:dyDescent="0.2">
      <c r="A27" t="s">
        <v>3418</v>
      </c>
      <c r="B27" t="s">
        <v>5504</v>
      </c>
      <c r="C27" t="s">
        <v>3466</v>
      </c>
      <c r="D27" t="s">
        <v>5508</v>
      </c>
      <c r="E27" t="s">
        <v>67</v>
      </c>
      <c r="H27">
        <v>18.32595714594046</v>
      </c>
      <c r="J27">
        <v>6</v>
      </c>
      <c r="K27" s="245">
        <v>40.98</v>
      </c>
      <c r="L27" s="245">
        <f>Table27[[#This Row],[Materials ($)]]/Table27[[#This Row],[Area (sq. ft)]]</f>
        <v>2.2361724232820128</v>
      </c>
      <c r="M27" s="245"/>
      <c r="O27" s="245"/>
      <c r="P27" s="54"/>
      <c r="R27">
        <v>2023</v>
      </c>
      <c r="S27" t="s">
        <v>99</v>
      </c>
      <c r="T27" t="s">
        <v>3501</v>
      </c>
      <c r="U27" t="s">
        <v>71</v>
      </c>
    </row>
    <row r="28" spans="1:21" x14ac:dyDescent="0.2">
      <c r="A28" t="s">
        <v>3418</v>
      </c>
      <c r="B28" t="s">
        <v>5504</v>
      </c>
      <c r="C28" t="s">
        <v>3465</v>
      </c>
      <c r="D28" t="s">
        <v>5508</v>
      </c>
      <c r="E28" t="s">
        <v>67</v>
      </c>
      <c r="H28">
        <v>11.780972450961723</v>
      </c>
      <c r="J28">
        <v>6</v>
      </c>
      <c r="K28" s="245">
        <v>25.96</v>
      </c>
      <c r="L28" s="245">
        <f>Table27[[#This Row],[Materials ($)]]/Table27[[#This Row],[Area (sq. ft)]]</f>
        <v>2.2035532387549885</v>
      </c>
      <c r="M28" s="245"/>
      <c r="O28" s="245"/>
      <c r="P28" s="54"/>
      <c r="R28">
        <v>2023</v>
      </c>
      <c r="S28" t="s">
        <v>99</v>
      </c>
      <c r="T28" t="s">
        <v>3500</v>
      </c>
      <c r="U28" t="s">
        <v>71</v>
      </c>
    </row>
    <row r="29" spans="1:21" x14ac:dyDescent="0.2">
      <c r="A29" t="s">
        <v>3418</v>
      </c>
      <c r="B29" t="s">
        <v>5504</v>
      </c>
      <c r="C29" t="s">
        <v>3461</v>
      </c>
      <c r="D29" t="s">
        <v>5508</v>
      </c>
      <c r="E29" t="s">
        <v>67</v>
      </c>
      <c r="H29">
        <v>7.8539816339744828</v>
      </c>
      <c r="J29">
        <v>6</v>
      </c>
      <c r="K29" s="245">
        <v>16.37</v>
      </c>
      <c r="L29" s="245">
        <f>Table27[[#This Row],[Materials ($)]]/Table27[[#This Row],[Area (sq. ft)]]</f>
        <v>2.0842931347314617</v>
      </c>
      <c r="M29" s="245"/>
      <c r="O29" s="245"/>
      <c r="P29" s="54"/>
      <c r="R29">
        <v>2023</v>
      </c>
      <c r="S29" t="s">
        <v>99</v>
      </c>
      <c r="T29" t="s">
        <v>3496</v>
      </c>
      <c r="U29" t="s">
        <v>71</v>
      </c>
    </row>
    <row r="30" spans="1:21" x14ac:dyDescent="0.2">
      <c r="A30" t="s">
        <v>3418</v>
      </c>
      <c r="B30" t="s">
        <v>5504</v>
      </c>
      <c r="C30" t="s">
        <v>3460</v>
      </c>
      <c r="D30" t="s">
        <v>5508</v>
      </c>
      <c r="E30" t="s">
        <v>67</v>
      </c>
      <c r="H30">
        <v>13.089969389957471</v>
      </c>
      <c r="J30">
        <v>6</v>
      </c>
      <c r="K30" s="245">
        <v>27.28</v>
      </c>
      <c r="L30" s="245">
        <f>Table27[[#This Row],[Materials ($)]]/Table27[[#This Row],[Area (sq. ft)]]</f>
        <v>2.0840384868225144</v>
      </c>
      <c r="M30" s="245"/>
      <c r="O30" s="245"/>
      <c r="P30" s="54"/>
      <c r="R30">
        <v>2023</v>
      </c>
      <c r="S30" t="s">
        <v>99</v>
      </c>
      <c r="T30" t="s">
        <v>3495</v>
      </c>
      <c r="U30" t="s">
        <v>71</v>
      </c>
    </row>
    <row r="31" spans="1:21" x14ac:dyDescent="0.2">
      <c r="A31" t="s">
        <v>3418</v>
      </c>
      <c r="B31" t="s">
        <v>5504</v>
      </c>
      <c r="C31" t="s">
        <v>3464</v>
      </c>
      <c r="D31" t="s">
        <v>5508</v>
      </c>
      <c r="E31" t="s">
        <v>67</v>
      </c>
      <c r="H31">
        <v>11.780972450961723</v>
      </c>
      <c r="J31">
        <v>8</v>
      </c>
      <c r="K31" s="245">
        <v>24.35</v>
      </c>
      <c r="L31" s="245">
        <f>Table27[[#This Row],[Materials ($)]]/Table27[[#This Row],[Area (sq. ft)]]</f>
        <v>2.0668921942867478</v>
      </c>
      <c r="M31" s="245"/>
      <c r="O31" s="245"/>
      <c r="P31" s="54"/>
      <c r="R31">
        <v>2023</v>
      </c>
      <c r="S31" t="s">
        <v>99</v>
      </c>
      <c r="T31" t="s">
        <v>3499</v>
      </c>
      <c r="U31" t="s">
        <v>71</v>
      </c>
    </row>
    <row r="32" spans="1:21" x14ac:dyDescent="0.2">
      <c r="A32" t="s">
        <v>3418</v>
      </c>
      <c r="B32" t="s">
        <v>5504</v>
      </c>
      <c r="C32" t="s">
        <v>3450</v>
      </c>
      <c r="D32" t="s">
        <v>5508</v>
      </c>
      <c r="E32" t="s">
        <v>67</v>
      </c>
      <c r="H32">
        <v>10.471975511965976</v>
      </c>
      <c r="J32">
        <v>6</v>
      </c>
      <c r="K32" s="245">
        <v>20.68</v>
      </c>
      <c r="L32" s="245">
        <f>Table27[[#This Row],[Materials ($)]]/Table27[[#This Row],[Area (sq. ft)]]</f>
        <v>1.9747945338842376</v>
      </c>
      <c r="M32" s="245"/>
      <c r="O32" s="245"/>
      <c r="P32" s="54"/>
      <c r="R32">
        <v>2023</v>
      </c>
      <c r="S32" t="s">
        <v>99</v>
      </c>
      <c r="T32" t="s">
        <v>3485</v>
      </c>
      <c r="U32" t="s">
        <v>71</v>
      </c>
    </row>
    <row r="33" spans="1:24" x14ac:dyDescent="0.2">
      <c r="A33" t="s">
        <v>3418</v>
      </c>
      <c r="C33" t="s">
        <v>3445</v>
      </c>
      <c r="D33" t="s">
        <v>5508</v>
      </c>
      <c r="E33" t="s">
        <v>67</v>
      </c>
      <c r="H33">
        <v>15</v>
      </c>
      <c r="J33">
        <v>3</v>
      </c>
      <c r="K33" s="245">
        <v>27.68</v>
      </c>
      <c r="L33" s="245">
        <f>Table27[[#This Row],[Materials ($)]]/Table27[[#This Row],[Area (sq. ft)]]</f>
        <v>1.8453333333333333</v>
      </c>
      <c r="M33" s="245"/>
      <c r="O33" s="245"/>
      <c r="P33" s="54"/>
      <c r="R33">
        <v>2023</v>
      </c>
      <c r="S33" t="s">
        <v>99</v>
      </c>
      <c r="T33" t="s">
        <v>3480</v>
      </c>
      <c r="U33" t="s">
        <v>71</v>
      </c>
    </row>
    <row r="34" spans="1:24" x14ac:dyDescent="0.2">
      <c r="A34" t="s">
        <v>3418</v>
      </c>
      <c r="B34" t="s">
        <v>5504</v>
      </c>
      <c r="C34" t="s">
        <v>3463</v>
      </c>
      <c r="D34" t="s">
        <v>5508</v>
      </c>
      <c r="E34" t="s">
        <v>67</v>
      </c>
      <c r="H34">
        <v>10.471975511965976</v>
      </c>
      <c r="J34">
        <v>6</v>
      </c>
      <c r="K34" s="245">
        <v>18.579999999999998</v>
      </c>
      <c r="L34" s="245">
        <f>Table27[[#This Row],[Materials ($)]]/Table27[[#This Row],[Area (sq. ft)]]</f>
        <v>1.7742593055884492</v>
      </c>
      <c r="M34" s="245"/>
      <c r="O34" s="245"/>
      <c r="P34" s="54"/>
      <c r="R34">
        <v>2023</v>
      </c>
      <c r="S34" t="s">
        <v>99</v>
      </c>
      <c r="T34" t="s">
        <v>3498</v>
      </c>
      <c r="U34" t="s">
        <v>71</v>
      </c>
    </row>
    <row r="35" spans="1:24" x14ac:dyDescent="0.2">
      <c r="A35" t="s">
        <v>3418</v>
      </c>
      <c r="B35" t="s">
        <v>5504</v>
      </c>
      <c r="C35" t="s">
        <v>3444</v>
      </c>
      <c r="D35" t="s">
        <v>5508</v>
      </c>
      <c r="E35" t="s">
        <v>67</v>
      </c>
      <c r="H35">
        <v>60</v>
      </c>
      <c r="J35">
        <v>8</v>
      </c>
      <c r="K35" s="245">
        <v>96.75</v>
      </c>
      <c r="L35" s="245">
        <f>Table27[[#This Row],[Materials ($)]]/Table27[[#This Row],[Area (sq. ft)]]</f>
        <v>1.6125</v>
      </c>
      <c r="M35" s="245"/>
      <c r="O35" s="245"/>
      <c r="P35" s="54"/>
      <c r="R35">
        <v>2023</v>
      </c>
      <c r="S35" t="s">
        <v>99</v>
      </c>
      <c r="T35" t="s">
        <v>3479</v>
      </c>
      <c r="U35" t="s">
        <v>71</v>
      </c>
    </row>
    <row r="36" spans="1:24" x14ac:dyDescent="0.2">
      <c r="A36" t="s">
        <v>3418</v>
      </c>
      <c r="B36" t="s">
        <v>5505</v>
      </c>
      <c r="C36" t="s">
        <v>3449</v>
      </c>
      <c r="D36" t="s">
        <v>5508</v>
      </c>
      <c r="E36" t="s">
        <v>67</v>
      </c>
      <c r="H36">
        <v>6.25</v>
      </c>
      <c r="J36">
        <v>2.1</v>
      </c>
      <c r="K36" s="245">
        <v>9.4600000000000009</v>
      </c>
      <c r="L36" s="245">
        <f>Table27[[#This Row],[Materials ($)]]/Table27[[#This Row],[Area (sq. ft)]]</f>
        <v>1.5136000000000001</v>
      </c>
      <c r="M36" s="245"/>
      <c r="O36" s="245"/>
      <c r="P36" s="54"/>
      <c r="R36">
        <v>2023</v>
      </c>
      <c r="S36" t="s">
        <v>99</v>
      </c>
      <c r="T36" t="s">
        <v>3484</v>
      </c>
      <c r="U36" t="s">
        <v>71</v>
      </c>
    </row>
    <row r="37" spans="1:24" x14ac:dyDescent="0.2">
      <c r="A37" t="s">
        <v>3418</v>
      </c>
      <c r="B37" t="s">
        <v>5506</v>
      </c>
      <c r="C37" t="s">
        <v>3474</v>
      </c>
      <c r="D37" t="s">
        <v>3419</v>
      </c>
      <c r="E37" t="s">
        <v>67</v>
      </c>
      <c r="H37">
        <v>50</v>
      </c>
      <c r="J37">
        <v>5</v>
      </c>
      <c r="K37" s="245">
        <v>68.7</v>
      </c>
      <c r="L37" s="245">
        <f>Table27[[#This Row],[Materials ($)]]/Table27[[#This Row],[Area (sq. ft)]]</f>
        <v>1.3740000000000001</v>
      </c>
      <c r="M37" s="245"/>
      <c r="O37" s="245"/>
      <c r="P37" s="54"/>
      <c r="R37">
        <v>2023</v>
      </c>
      <c r="S37" t="s">
        <v>99</v>
      </c>
      <c r="T37" t="s">
        <v>3509</v>
      </c>
      <c r="U37" t="s">
        <v>71</v>
      </c>
    </row>
    <row r="38" spans="1:24" x14ac:dyDescent="0.2">
      <c r="A38" t="s">
        <v>3418</v>
      </c>
      <c r="B38" t="s">
        <v>5504</v>
      </c>
      <c r="C38" t="s">
        <v>3443</v>
      </c>
      <c r="D38" t="s">
        <v>5508</v>
      </c>
      <c r="E38" t="s">
        <v>67</v>
      </c>
      <c r="H38">
        <v>60</v>
      </c>
      <c r="J38">
        <v>6</v>
      </c>
      <c r="K38" s="245">
        <v>80.97</v>
      </c>
      <c r="L38" s="245">
        <f>Table27[[#This Row],[Materials ($)]]/Table27[[#This Row],[Area (sq. ft)]]</f>
        <v>1.3494999999999999</v>
      </c>
      <c r="M38" s="245"/>
      <c r="O38" s="245"/>
      <c r="P38" s="54"/>
      <c r="R38">
        <v>2023</v>
      </c>
      <c r="S38" t="s">
        <v>99</v>
      </c>
      <c r="T38" t="s">
        <v>3478</v>
      </c>
      <c r="U38" t="s">
        <v>71</v>
      </c>
    </row>
    <row r="39" spans="1:24" x14ac:dyDescent="0.2">
      <c r="A39" t="s">
        <v>3418</v>
      </c>
      <c r="B39" t="s">
        <v>5505</v>
      </c>
      <c r="C39" t="s">
        <v>3442</v>
      </c>
      <c r="D39" t="s">
        <v>5508</v>
      </c>
      <c r="E39" t="s">
        <v>67</v>
      </c>
      <c r="H39">
        <v>15</v>
      </c>
      <c r="J39">
        <v>6</v>
      </c>
      <c r="K39" s="245">
        <v>18.850000000000001</v>
      </c>
      <c r="L39" s="245">
        <f>Table27[[#This Row],[Materials ($)]]/Table27[[#This Row],[Area (sq. ft)]]</f>
        <v>1.2566666666666668</v>
      </c>
      <c r="M39" s="245"/>
      <c r="O39" s="245"/>
      <c r="P39" s="54"/>
      <c r="R39">
        <v>2023</v>
      </c>
      <c r="S39" t="s">
        <v>99</v>
      </c>
      <c r="T39" t="s">
        <v>3477</v>
      </c>
      <c r="U39" t="s">
        <v>71</v>
      </c>
    </row>
    <row r="40" spans="1:24" x14ac:dyDescent="0.2">
      <c r="A40" t="s">
        <v>3418</v>
      </c>
      <c r="B40" t="s">
        <v>5506</v>
      </c>
      <c r="C40" t="s">
        <v>3471</v>
      </c>
      <c r="D40" t="s">
        <v>3419</v>
      </c>
      <c r="E40" t="s">
        <v>67</v>
      </c>
      <c r="H40">
        <v>100</v>
      </c>
      <c r="J40">
        <v>5</v>
      </c>
      <c r="K40" s="245">
        <v>109.85</v>
      </c>
      <c r="L40" s="245">
        <f>Table27[[#This Row],[Materials ($)]]/Table27[[#This Row],[Area (sq. ft)]]</f>
        <v>1.0985</v>
      </c>
      <c r="M40" s="245"/>
      <c r="O40" s="245"/>
      <c r="P40" s="54"/>
      <c r="R40">
        <v>2023</v>
      </c>
      <c r="S40" t="s">
        <v>99</v>
      </c>
      <c r="T40" t="s">
        <v>3506</v>
      </c>
      <c r="U40" t="s">
        <v>71</v>
      </c>
    </row>
    <row r="41" spans="1:24" x14ac:dyDescent="0.2">
      <c r="A41" t="s">
        <v>3418</v>
      </c>
      <c r="B41" t="s">
        <v>5506</v>
      </c>
      <c r="C41" t="s">
        <v>3470</v>
      </c>
      <c r="D41" t="s">
        <v>3419</v>
      </c>
      <c r="E41" t="s">
        <v>67</v>
      </c>
      <c r="H41">
        <v>200</v>
      </c>
      <c r="J41">
        <v>5</v>
      </c>
      <c r="K41" s="245">
        <v>180.69</v>
      </c>
      <c r="L41" s="245">
        <f>Table27[[#This Row],[Materials ($)]]/Table27[[#This Row],[Area (sq. ft)]]</f>
        <v>0.90344999999999998</v>
      </c>
      <c r="M41" s="245"/>
      <c r="O41" s="245"/>
      <c r="P41" s="54"/>
      <c r="R41">
        <v>2023</v>
      </c>
      <c r="S41" t="s">
        <v>99</v>
      </c>
      <c r="T41" t="s">
        <v>3505</v>
      </c>
      <c r="U41" t="s">
        <v>71</v>
      </c>
    </row>
    <row r="42" spans="1:24" x14ac:dyDescent="0.2">
      <c r="A42" t="s">
        <v>3418</v>
      </c>
      <c r="C42" t="s">
        <v>2950</v>
      </c>
      <c r="D42" t="s">
        <v>3419</v>
      </c>
      <c r="E42" t="s">
        <v>67</v>
      </c>
      <c r="F42">
        <v>0.75</v>
      </c>
      <c r="G42">
        <v>1</v>
      </c>
      <c r="H42">
        <v>1</v>
      </c>
      <c r="K42" s="245">
        <v>0.61</v>
      </c>
      <c r="L42" s="245">
        <f>Table27[[#This Row],[Materials ($)]]/Table27[[#This Row],[Area (sq. ft)]]</f>
        <v>0.61</v>
      </c>
      <c r="M42" s="245"/>
      <c r="N42">
        <v>4.5999999999999999E-2</v>
      </c>
      <c r="O42" s="245">
        <v>1.66</v>
      </c>
      <c r="P42" s="54">
        <v>3.45</v>
      </c>
      <c r="R42">
        <v>2023</v>
      </c>
      <c r="S42" t="s">
        <v>70</v>
      </c>
      <c r="U42" t="s">
        <v>72</v>
      </c>
    </row>
    <row r="43" spans="1:24" x14ac:dyDescent="0.2">
      <c r="A43" t="s">
        <v>3418</v>
      </c>
      <c r="C43" t="s">
        <v>2951</v>
      </c>
      <c r="D43" t="s">
        <v>3419</v>
      </c>
      <c r="E43" t="s">
        <v>67</v>
      </c>
      <c r="F43">
        <v>0.75</v>
      </c>
      <c r="G43">
        <v>1.5</v>
      </c>
      <c r="H43">
        <v>1</v>
      </c>
      <c r="K43" s="245">
        <v>0.59</v>
      </c>
      <c r="L43" s="245">
        <f>Table27[[#This Row],[Materials ($)]]/Table27[[#This Row],[Area (sq. ft)]]</f>
        <v>0.59</v>
      </c>
      <c r="M43" s="245"/>
      <c r="N43">
        <v>0.05</v>
      </c>
      <c r="O43" s="245">
        <v>1.82</v>
      </c>
      <c r="P43" s="54">
        <v>3.69</v>
      </c>
      <c r="R43">
        <v>2023</v>
      </c>
      <c r="S43" t="s">
        <v>70</v>
      </c>
      <c r="U43" t="s">
        <v>72</v>
      </c>
    </row>
    <row r="44" spans="1:24" x14ac:dyDescent="0.2">
      <c r="A44" t="s">
        <v>3418</v>
      </c>
      <c r="C44" t="s">
        <v>2945</v>
      </c>
      <c r="D44" t="s">
        <v>3419</v>
      </c>
      <c r="E44" t="s">
        <v>67</v>
      </c>
      <c r="F44">
        <v>1.5</v>
      </c>
      <c r="G44">
        <v>0.5</v>
      </c>
      <c r="H44">
        <f>2*25</f>
        <v>50</v>
      </c>
      <c r="K44" s="245">
        <v>5.0999999999999996</v>
      </c>
      <c r="L44" s="245">
        <f>Table27[[#This Row],[Materials ($)]]/Table27[[#This Row],[Area (sq. ft)]]</f>
        <v>0.10199999999999999</v>
      </c>
      <c r="M44" s="245"/>
      <c r="N44">
        <v>8.2469999999999999</v>
      </c>
      <c r="O44" s="245">
        <v>300</v>
      </c>
      <c r="P44" s="54">
        <v>505.6</v>
      </c>
      <c r="R44">
        <v>2023</v>
      </c>
      <c r="S44" t="s">
        <v>70</v>
      </c>
      <c r="U44" t="s">
        <v>72</v>
      </c>
    </row>
    <row r="45" spans="1:24" x14ac:dyDescent="0.2">
      <c r="A45" t="s">
        <v>3418</v>
      </c>
      <c r="C45" t="s">
        <v>2947</v>
      </c>
      <c r="D45" t="s">
        <v>3419</v>
      </c>
      <c r="E45" t="s">
        <v>67</v>
      </c>
      <c r="F45">
        <v>1.5</v>
      </c>
      <c r="G45">
        <v>0.5</v>
      </c>
      <c r="H45">
        <v>1</v>
      </c>
      <c r="K45" s="245">
        <v>0.1</v>
      </c>
      <c r="L45" s="245">
        <f>Table27[[#This Row],[Materials ($)]]/Table27[[#This Row],[Area (sq. ft)]]</f>
        <v>0.1</v>
      </c>
      <c r="M45" s="245"/>
      <c r="N45">
        <v>0.16300000000000001</v>
      </c>
      <c r="O45" s="245">
        <v>5.95</v>
      </c>
      <c r="P45" s="54">
        <v>10.01</v>
      </c>
      <c r="R45">
        <v>2023</v>
      </c>
      <c r="S45" t="s">
        <v>70</v>
      </c>
      <c r="U45" t="s">
        <v>72</v>
      </c>
    </row>
    <row r="48" spans="1:24" x14ac:dyDescent="0.2">
      <c r="X48" s="41"/>
    </row>
    <row r="50" spans="25:26" x14ac:dyDescent="0.2">
      <c r="Y50" s="55"/>
      <c r="Z50" s="55"/>
    </row>
    <row r="51" spans="25:26" x14ac:dyDescent="0.2">
      <c r="Y51" s="55"/>
      <c r="Z51" s="55"/>
    </row>
    <row r="52" spans="25:26" x14ac:dyDescent="0.2">
      <c r="Y52" s="55"/>
      <c r="Z52" s="55"/>
    </row>
    <row r="53" spans="25:26" x14ac:dyDescent="0.2">
      <c r="Y53" s="55"/>
      <c r="Z53" s="55"/>
    </row>
    <row r="54" spans="25:26" x14ac:dyDescent="0.2">
      <c r="Y54" s="55"/>
      <c r="Z54" s="55"/>
    </row>
    <row r="55" spans="25:26" x14ac:dyDescent="0.2">
      <c r="Y55" s="55"/>
      <c r="Z55" s="55"/>
    </row>
    <row r="56" spans="25:26" x14ac:dyDescent="0.2">
      <c r="Y56" s="55"/>
      <c r="Z56" s="55"/>
    </row>
    <row r="57" spans="25:26" x14ac:dyDescent="0.2">
      <c r="Y57" s="55"/>
      <c r="Z57" s="55"/>
    </row>
    <row r="58" spans="25:26" x14ac:dyDescent="0.2">
      <c r="Y58" s="55"/>
      <c r="Z58" s="55"/>
    </row>
    <row r="59" spans="25:26" x14ac:dyDescent="0.2">
      <c r="Y59" s="55"/>
      <c r="Z59" s="55"/>
    </row>
    <row r="60" spans="25:26" x14ac:dyDescent="0.2">
      <c r="Y60" s="55"/>
      <c r="Z60" s="55"/>
    </row>
    <row r="61" spans="25:26" x14ac:dyDescent="0.2">
      <c r="Y61" s="55"/>
      <c r="Z61" s="55"/>
    </row>
    <row r="62" spans="25:26" x14ac:dyDescent="0.2">
      <c r="Y62" s="55"/>
      <c r="Z62" s="55"/>
    </row>
    <row r="63" spans="25:26" x14ac:dyDescent="0.2">
      <c r="Y63" s="55"/>
      <c r="Z63" s="55"/>
    </row>
    <row r="64" spans="25:26" x14ac:dyDescent="0.2">
      <c r="Y64" s="55"/>
      <c r="Z64" s="55"/>
    </row>
    <row r="65" spans="25:27" x14ac:dyDescent="0.2">
      <c r="Y65" s="55"/>
      <c r="Z65" s="55"/>
    </row>
    <row r="66" spans="25:27" x14ac:dyDescent="0.2">
      <c r="Y66" s="55"/>
      <c r="Z66" s="55"/>
    </row>
    <row r="67" spans="25:27" x14ac:dyDescent="0.2">
      <c r="Y67" s="55"/>
      <c r="Z67" s="55"/>
      <c r="AA67" s="1"/>
    </row>
    <row r="68" spans="25:27" x14ac:dyDescent="0.2">
      <c r="Y68" s="55"/>
      <c r="Z68" s="55"/>
    </row>
    <row r="69" spans="25:27" x14ac:dyDescent="0.2">
      <c r="Y69" s="55"/>
      <c r="Z69" s="55"/>
    </row>
    <row r="70" spans="25:27" x14ac:dyDescent="0.2">
      <c r="Y70" s="55"/>
      <c r="Z70" s="55"/>
    </row>
    <row r="71" spans="25:27" x14ac:dyDescent="0.2">
      <c r="Y71" s="55"/>
      <c r="Z71" s="55"/>
    </row>
    <row r="72" spans="25:27" x14ac:dyDescent="0.2">
      <c r="Y72" s="55"/>
      <c r="Z72" s="55"/>
    </row>
    <row r="73" spans="25:27" x14ac:dyDescent="0.2">
      <c r="Y73" s="55"/>
      <c r="Z73" s="55"/>
    </row>
    <row r="74" spans="25:27" x14ac:dyDescent="0.2">
      <c r="Y74" s="55"/>
      <c r="Z74" s="55"/>
    </row>
    <row r="75" spans="25:27" x14ac:dyDescent="0.2">
      <c r="Y75" s="55"/>
      <c r="Z75" s="55"/>
    </row>
    <row r="76" spans="25:27" x14ac:dyDescent="0.2">
      <c r="Y76" s="55"/>
      <c r="Z76" s="55"/>
    </row>
    <row r="77" spans="25:27" x14ac:dyDescent="0.2">
      <c r="Y77" s="55"/>
      <c r="Z77" s="55"/>
    </row>
    <row r="78" spans="25:27" x14ac:dyDescent="0.2">
      <c r="Y78" s="55"/>
      <c r="Z78" s="55"/>
    </row>
    <row r="79" spans="25:27" x14ac:dyDescent="0.2">
      <c r="Y79" s="55"/>
      <c r="Z79" s="55"/>
    </row>
    <row r="80" spans="25:27" x14ac:dyDescent="0.2">
      <c r="Y80" s="55"/>
      <c r="Z80" s="55"/>
    </row>
    <row r="81" spans="25:26" x14ac:dyDescent="0.2">
      <c r="Y81" s="55"/>
      <c r="Z81" s="55"/>
    </row>
    <row r="82" spans="25:26" x14ac:dyDescent="0.2">
      <c r="Y82" s="55"/>
      <c r="Z82" s="55"/>
    </row>
    <row r="83" spans="25:26" x14ac:dyDescent="0.2">
      <c r="Y83" s="55"/>
      <c r="Z83" s="55"/>
    </row>
    <row r="84" spans="25:26" x14ac:dyDescent="0.2">
      <c r="Y84" s="55"/>
      <c r="Z84" s="55"/>
    </row>
    <row r="85" spans="25:26" x14ac:dyDescent="0.2">
      <c r="Y85" s="55"/>
      <c r="Z85" s="55"/>
    </row>
    <row r="86" spans="25:26" x14ac:dyDescent="0.2">
      <c r="Y86" s="55"/>
      <c r="Z86" s="55"/>
    </row>
    <row r="87" spans="25:26" x14ac:dyDescent="0.2">
      <c r="Y87" s="55"/>
      <c r="Z87" s="55"/>
    </row>
    <row r="88" spans="25:26" x14ac:dyDescent="0.2">
      <c r="Y88" s="55"/>
      <c r="Z88" s="55"/>
    </row>
    <row r="89" spans="25:26" x14ac:dyDescent="0.2">
      <c r="Y89" s="55"/>
      <c r="Z89" s="55"/>
    </row>
    <row r="90" spans="25:26" x14ac:dyDescent="0.2">
      <c r="Y90" s="55"/>
      <c r="Z90" s="55"/>
    </row>
    <row r="91" spans="25:26" x14ac:dyDescent="0.2">
      <c r="Y91" s="55"/>
      <c r="Z91" s="55"/>
    </row>
    <row r="92" spans="25:26" x14ac:dyDescent="0.2">
      <c r="Y92" s="55"/>
      <c r="Z92" s="55"/>
    </row>
    <row r="93" spans="25:26" x14ac:dyDescent="0.2">
      <c r="Y93" s="55"/>
      <c r="Z93" s="55"/>
    </row>
    <row r="94" spans="25:26" x14ac:dyDescent="0.2">
      <c r="Y94" s="55"/>
      <c r="Z94" s="55"/>
    </row>
    <row r="95" spans="25:26" x14ac:dyDescent="0.2">
      <c r="Y95" s="55"/>
      <c r="Z95" s="55"/>
    </row>
    <row r="96" spans="25:26" x14ac:dyDescent="0.2">
      <c r="Y96" s="55"/>
      <c r="Z96" s="55"/>
    </row>
    <row r="97" spans="25:26" x14ac:dyDescent="0.2">
      <c r="Y97" s="55"/>
      <c r="Z97" s="55"/>
    </row>
    <row r="98" spans="25:26" x14ac:dyDescent="0.2">
      <c r="Y98" s="55"/>
      <c r="Z98" s="55"/>
    </row>
    <row r="99" spans="25:26" x14ac:dyDescent="0.2">
      <c r="Y99" s="55"/>
      <c r="Z99" s="55"/>
    </row>
    <row r="100" spans="25:26" x14ac:dyDescent="0.2">
      <c r="Y100" s="55"/>
      <c r="Z100" s="55"/>
    </row>
    <row r="101" spans="25:26" x14ac:dyDescent="0.2">
      <c r="Y101" s="55"/>
      <c r="Z101" s="55"/>
    </row>
    <row r="102" spans="25:26" x14ac:dyDescent="0.2">
      <c r="Y102" s="55"/>
      <c r="Z102" s="55"/>
    </row>
    <row r="103" spans="25:26" x14ac:dyDescent="0.2">
      <c r="Y103" s="55"/>
      <c r="Z103" s="55"/>
    </row>
    <row r="104" spans="25:26" x14ac:dyDescent="0.2">
      <c r="Y104" s="55"/>
      <c r="Z104" s="55"/>
    </row>
    <row r="105" spans="25:26" x14ac:dyDescent="0.2">
      <c r="Y105" s="55"/>
      <c r="Z105" s="55"/>
    </row>
    <row r="106" spans="25:26" x14ac:dyDescent="0.2">
      <c r="Y106" s="55"/>
      <c r="Z106" s="55"/>
    </row>
    <row r="107" spans="25:26" x14ac:dyDescent="0.2">
      <c r="Y107" s="55"/>
      <c r="Z107" s="55"/>
    </row>
    <row r="108" spans="25:26" x14ac:dyDescent="0.2">
      <c r="Y108" s="55"/>
      <c r="Z108" s="55"/>
    </row>
    <row r="109" spans="25:26" x14ac:dyDescent="0.2">
      <c r="Y109" s="55"/>
      <c r="Z109" s="55"/>
    </row>
    <row r="110" spans="25:26" x14ac:dyDescent="0.2">
      <c r="Y110" s="55"/>
      <c r="Z110" s="55"/>
    </row>
    <row r="111" spans="25:26" x14ac:dyDescent="0.2">
      <c r="Y111" s="55"/>
      <c r="Z111" s="55"/>
    </row>
    <row r="112" spans="25:26" x14ac:dyDescent="0.2">
      <c r="Y112" s="55"/>
      <c r="Z112" s="55"/>
    </row>
    <row r="113" spans="25:26" x14ac:dyDescent="0.2">
      <c r="Y113" s="55"/>
      <c r="Z113" s="55"/>
    </row>
    <row r="114" spans="25:26" x14ac:dyDescent="0.2">
      <c r="Y114" s="55"/>
      <c r="Z114" s="55"/>
    </row>
    <row r="115" spans="25:26" x14ac:dyDescent="0.2">
      <c r="Y115" s="55"/>
      <c r="Z115" s="55"/>
    </row>
    <row r="116" spans="25:26" x14ac:dyDescent="0.2">
      <c r="Y116" s="55"/>
      <c r="Z116" s="55"/>
    </row>
    <row r="117" spans="25:26" x14ac:dyDescent="0.2">
      <c r="Y117" s="55"/>
      <c r="Z117" s="55"/>
    </row>
    <row r="118" spans="25:26" x14ac:dyDescent="0.2">
      <c r="Y118" s="55"/>
      <c r="Z118" s="55"/>
    </row>
    <row r="119" spans="25:26" x14ac:dyDescent="0.2">
      <c r="Y119" s="55"/>
      <c r="Z119" s="55"/>
    </row>
    <row r="120" spans="25:26" x14ac:dyDescent="0.2">
      <c r="Y120" s="55"/>
      <c r="Z120" s="55"/>
    </row>
    <row r="121" spans="25:26" x14ac:dyDescent="0.2">
      <c r="Y121" s="55"/>
      <c r="Z121" s="55"/>
    </row>
    <row r="122" spans="25:26" x14ac:dyDescent="0.2">
      <c r="Y122" s="55"/>
      <c r="Z122" s="55"/>
    </row>
    <row r="123" spans="25:26" x14ac:dyDescent="0.2">
      <c r="Y123" s="55"/>
      <c r="Z123" s="55"/>
    </row>
    <row r="124" spans="25:26" x14ac:dyDescent="0.2">
      <c r="Y124" s="55"/>
      <c r="Z124" s="55"/>
    </row>
    <row r="125" spans="25:26" x14ac:dyDescent="0.2">
      <c r="Y125" s="55"/>
      <c r="Z125" s="55"/>
    </row>
    <row r="126" spans="25:26" x14ac:dyDescent="0.2">
      <c r="Y126" s="55"/>
      <c r="Z126" s="55"/>
    </row>
    <row r="127" spans="25:26" x14ac:dyDescent="0.2">
      <c r="Y127" s="55"/>
      <c r="Z127" s="55"/>
    </row>
    <row r="128" spans="25:26" x14ac:dyDescent="0.2">
      <c r="Y128" s="55"/>
      <c r="Z128" s="55"/>
    </row>
    <row r="129" spans="25:26" x14ac:dyDescent="0.2">
      <c r="Y129" s="55"/>
      <c r="Z129" s="55"/>
    </row>
    <row r="130" spans="25:26" x14ac:dyDescent="0.2">
      <c r="Y130" s="55"/>
      <c r="Z130" s="55"/>
    </row>
    <row r="131" spans="25:26" x14ac:dyDescent="0.2">
      <c r="Y131" s="55"/>
      <c r="Z131" s="55"/>
    </row>
    <row r="132" spans="25:26" x14ac:dyDescent="0.2">
      <c r="Y132" s="55"/>
      <c r="Z132" s="55"/>
    </row>
    <row r="133" spans="25:26" x14ac:dyDescent="0.2">
      <c r="Y133" s="55"/>
      <c r="Z133" s="55"/>
    </row>
    <row r="134" spans="25:26" x14ac:dyDescent="0.2">
      <c r="Y134" s="55"/>
      <c r="Z134" s="55"/>
    </row>
    <row r="135" spans="25:26" x14ac:dyDescent="0.2">
      <c r="Y135" s="55"/>
      <c r="Z135" s="55"/>
    </row>
    <row r="136" spans="25:26" x14ac:dyDescent="0.2">
      <c r="Y136" s="55"/>
      <c r="Z136" s="55"/>
    </row>
    <row r="137" spans="25:26" x14ac:dyDescent="0.2">
      <c r="Y137" s="55"/>
      <c r="Z137" s="55"/>
    </row>
    <row r="138" spans="25:26" x14ac:dyDescent="0.2">
      <c r="Y138" s="55"/>
      <c r="Z138" s="55"/>
    </row>
    <row r="139" spans="25:26" x14ac:dyDescent="0.2">
      <c r="Y139" s="55"/>
      <c r="Z139" s="55"/>
    </row>
    <row r="140" spans="25:26" x14ac:dyDescent="0.2">
      <c r="Y140" s="55"/>
      <c r="Z140" s="55"/>
    </row>
    <row r="141" spans="25:26" x14ac:dyDescent="0.2">
      <c r="Y141" s="55"/>
      <c r="Z141" s="55"/>
    </row>
    <row r="142" spans="25:26" x14ac:dyDescent="0.2">
      <c r="Y142" s="55"/>
      <c r="Z142" s="55"/>
    </row>
    <row r="143" spans="25:26" x14ac:dyDescent="0.2">
      <c r="Y143" s="55"/>
      <c r="Z143" s="55"/>
    </row>
    <row r="144" spans="25:26" x14ac:dyDescent="0.2">
      <c r="Y144" s="55"/>
      <c r="Z144" s="55"/>
    </row>
    <row r="145" spans="25:26" x14ac:dyDescent="0.2">
      <c r="Y145" s="55"/>
      <c r="Z145" s="55"/>
    </row>
    <row r="146" spans="25:26" x14ac:dyDescent="0.2">
      <c r="Y146" s="55"/>
      <c r="Z146" s="55"/>
    </row>
    <row r="147" spans="25:26" x14ac:dyDescent="0.2">
      <c r="Y147" s="55"/>
      <c r="Z147" s="55"/>
    </row>
    <row r="148" spans="25:26" x14ac:dyDescent="0.2">
      <c r="Y148" s="55"/>
      <c r="Z148" s="55"/>
    </row>
    <row r="149" spans="25:26" x14ac:dyDescent="0.2">
      <c r="Y149" s="55"/>
      <c r="Z149" s="55"/>
    </row>
    <row r="150" spans="25:26" x14ac:dyDescent="0.2">
      <c r="Y150" s="55"/>
      <c r="Z150" s="55"/>
    </row>
    <row r="151" spans="25:26" x14ac:dyDescent="0.2">
      <c r="Y151" s="55"/>
      <c r="Z151" s="55"/>
    </row>
    <row r="152" spans="25:26" x14ac:dyDescent="0.2">
      <c r="Y152" s="55"/>
      <c r="Z152" s="55"/>
    </row>
    <row r="153" spans="25:26" x14ac:dyDescent="0.2">
      <c r="Y153" s="55"/>
      <c r="Z153" s="55"/>
    </row>
    <row r="154" spans="25:26" x14ac:dyDescent="0.2">
      <c r="Y154" s="55"/>
      <c r="Z154" s="55"/>
    </row>
    <row r="155" spans="25:26" x14ac:dyDescent="0.2">
      <c r="Y155" s="55"/>
      <c r="Z155" s="55"/>
    </row>
    <row r="156" spans="25:26" x14ac:dyDescent="0.2">
      <c r="Y156" s="55"/>
      <c r="Z156" s="55"/>
    </row>
    <row r="157" spans="25:26" x14ac:dyDescent="0.2">
      <c r="Y157" s="55"/>
      <c r="Z157" s="55"/>
    </row>
    <row r="158" spans="25:26" x14ac:dyDescent="0.2">
      <c r="Y158" s="55"/>
      <c r="Z158" s="55"/>
    </row>
    <row r="159" spans="25:26" x14ac:dyDescent="0.2">
      <c r="Y159" s="55"/>
      <c r="Z159" s="55"/>
    </row>
    <row r="160" spans="25:26" x14ac:dyDescent="0.2">
      <c r="Y160" s="55"/>
      <c r="Z160" s="55"/>
    </row>
    <row r="161" spans="25:26" x14ac:dyDescent="0.2">
      <c r="Y161" s="55"/>
      <c r="Z161" s="55"/>
    </row>
    <row r="162" spans="25:26" x14ac:dyDescent="0.2">
      <c r="Y162" s="55"/>
      <c r="Z162" s="55"/>
    </row>
    <row r="163" spans="25:26" x14ac:dyDescent="0.2">
      <c r="Y163" s="55"/>
      <c r="Z163" s="55"/>
    </row>
    <row r="164" spans="25:26" x14ac:dyDescent="0.2">
      <c r="Y164" s="55"/>
      <c r="Z164" s="55"/>
    </row>
    <row r="165" spans="25:26" x14ac:dyDescent="0.2">
      <c r="Y165" s="55"/>
      <c r="Z165" s="55"/>
    </row>
    <row r="166" spans="25:26" x14ac:dyDescent="0.2">
      <c r="Y166" s="55"/>
      <c r="Z166" s="55"/>
    </row>
    <row r="167" spans="25:26" x14ac:dyDescent="0.2">
      <c r="Y167" s="55"/>
      <c r="Z167" s="55"/>
    </row>
    <row r="168" spans="25:26" x14ac:dyDescent="0.2">
      <c r="Y168" s="55"/>
      <c r="Z168" s="55"/>
    </row>
    <row r="169" spans="25:26" x14ac:dyDescent="0.2">
      <c r="Y169" s="55"/>
      <c r="Z169" s="55"/>
    </row>
    <row r="170" spans="25:26" x14ac:dyDescent="0.2">
      <c r="Y170" s="55"/>
      <c r="Z170" s="55"/>
    </row>
    <row r="171" spans="25:26" x14ac:dyDescent="0.2">
      <c r="Y171" s="55"/>
      <c r="Z171" s="55"/>
    </row>
    <row r="172" spans="25:26" x14ac:dyDescent="0.2">
      <c r="Y172" s="55"/>
      <c r="Z172" s="55"/>
    </row>
    <row r="173" spans="25:26" x14ac:dyDescent="0.2">
      <c r="Y173" s="55"/>
      <c r="Z173" s="55"/>
    </row>
    <row r="174" spans="25:26" x14ac:dyDescent="0.2">
      <c r="Y174" s="55"/>
      <c r="Z174" s="55"/>
    </row>
    <row r="175" spans="25:26" x14ac:dyDescent="0.2">
      <c r="Y175" s="55"/>
      <c r="Z175" s="55"/>
    </row>
    <row r="176" spans="25:26" x14ac:dyDescent="0.2">
      <c r="Y176" s="55"/>
      <c r="Z176" s="55"/>
    </row>
    <row r="177" spans="25:26" x14ac:dyDescent="0.2">
      <c r="Y177" s="55"/>
      <c r="Z177" s="55"/>
    </row>
    <row r="178" spans="25:26" x14ac:dyDescent="0.2">
      <c r="Y178" s="55"/>
      <c r="Z178" s="55"/>
    </row>
    <row r="179" spans="25:26" x14ac:dyDescent="0.2">
      <c r="Y179" s="55"/>
      <c r="Z179" s="55"/>
    </row>
    <row r="180" spans="25:26" x14ac:dyDescent="0.2">
      <c r="Y180" s="55"/>
      <c r="Z180" s="55"/>
    </row>
    <row r="181" spans="25:26" x14ac:dyDescent="0.2">
      <c r="Y181" s="55"/>
      <c r="Z181" s="55"/>
    </row>
    <row r="182" spans="25:26" x14ac:dyDescent="0.2">
      <c r="Y182" s="55"/>
      <c r="Z182" s="55"/>
    </row>
    <row r="183" spans="25:26" x14ac:dyDescent="0.2">
      <c r="Y183" s="55"/>
      <c r="Z183" s="55"/>
    </row>
    <row r="184" spans="25:26" x14ac:dyDescent="0.2">
      <c r="Y184" s="55"/>
      <c r="Z184" s="55"/>
    </row>
    <row r="185" spans="25:26" x14ac:dyDescent="0.2">
      <c r="Y185" s="55"/>
      <c r="Z185" s="55"/>
    </row>
    <row r="186" spans="25:26" x14ac:dyDescent="0.2">
      <c r="Y186" s="55"/>
      <c r="Z186" s="55"/>
    </row>
    <row r="187" spans="25:26" x14ac:dyDescent="0.2">
      <c r="Y187" s="55"/>
      <c r="Z187" s="55"/>
    </row>
    <row r="188" spans="25:26" x14ac:dyDescent="0.2">
      <c r="Y188" s="55"/>
      <c r="Z188" s="55"/>
    </row>
    <row r="189" spans="25:26" x14ac:dyDescent="0.2">
      <c r="Y189" s="55"/>
      <c r="Z189" s="55"/>
    </row>
    <row r="190" spans="25:26" x14ac:dyDescent="0.2">
      <c r="Y190" s="55"/>
      <c r="Z190" s="55"/>
    </row>
    <row r="191" spans="25:26" x14ac:dyDescent="0.2">
      <c r="Y191" s="55"/>
      <c r="Z191" s="55"/>
    </row>
    <row r="192" spans="25:26" x14ac:dyDescent="0.2">
      <c r="Y192" s="55"/>
      <c r="Z192" s="55"/>
    </row>
    <row r="193" spans="25:26" x14ac:dyDescent="0.2">
      <c r="Y193" s="55"/>
      <c r="Z193" s="55"/>
    </row>
    <row r="194" spans="25:26" x14ac:dyDescent="0.2">
      <c r="Y194" s="55"/>
      <c r="Z194" s="55"/>
    </row>
    <row r="195" spans="25:26" x14ac:dyDescent="0.2">
      <c r="Y195" s="55"/>
      <c r="Z195" s="55"/>
    </row>
    <row r="196" spans="25:26" x14ac:dyDescent="0.2">
      <c r="Y196" s="55"/>
      <c r="Z196" s="55"/>
    </row>
    <row r="197" spans="25:26" x14ac:dyDescent="0.2">
      <c r="Y197" s="55"/>
      <c r="Z197" s="55"/>
    </row>
    <row r="198" spans="25:26" x14ac:dyDescent="0.2">
      <c r="Y198" s="55"/>
      <c r="Z198" s="55"/>
    </row>
    <row r="199" spans="25:26" x14ac:dyDescent="0.2">
      <c r="Y199" s="55"/>
      <c r="Z199" s="55"/>
    </row>
    <row r="200" spans="25:26" x14ac:dyDescent="0.2">
      <c r="Y200" s="55"/>
      <c r="Z200" s="55"/>
    </row>
    <row r="201" spans="25:26" x14ac:dyDescent="0.2">
      <c r="Y201" s="55"/>
      <c r="Z201" s="55"/>
    </row>
    <row r="202" spans="25:26" x14ac:dyDescent="0.2">
      <c r="Y202" s="55"/>
      <c r="Z202" s="55"/>
    </row>
    <row r="203" spans="25:26" x14ac:dyDescent="0.2">
      <c r="Y203" s="55"/>
      <c r="Z203" s="55"/>
    </row>
    <row r="204" spans="25:26" x14ac:dyDescent="0.2">
      <c r="Y204" s="55"/>
      <c r="Z204" s="55"/>
    </row>
    <row r="205" spans="25:26" x14ac:dyDescent="0.2">
      <c r="Y205" s="55"/>
      <c r="Z205" s="55"/>
    </row>
    <row r="206" spans="25:26" x14ac:dyDescent="0.2">
      <c r="Y206" s="55"/>
      <c r="Z206" s="55"/>
    </row>
    <row r="207" spans="25:26" x14ac:dyDescent="0.2">
      <c r="Y207" s="55"/>
      <c r="Z207" s="55"/>
    </row>
    <row r="208" spans="25:26" x14ac:dyDescent="0.2">
      <c r="Y208" s="55"/>
      <c r="Z208" s="55"/>
    </row>
    <row r="209" spans="25:26" x14ac:dyDescent="0.2">
      <c r="Y209" s="55"/>
      <c r="Z209" s="55"/>
    </row>
    <row r="210" spans="25:26" x14ac:dyDescent="0.2">
      <c r="Y210" s="55"/>
      <c r="Z210" s="55"/>
    </row>
    <row r="211" spans="25:26" x14ac:dyDescent="0.2">
      <c r="Y211" s="55"/>
      <c r="Z211" s="55"/>
    </row>
    <row r="212" spans="25:26" x14ac:dyDescent="0.2">
      <c r="Y212" s="55"/>
      <c r="Z212" s="55"/>
    </row>
    <row r="213" spans="25:26" x14ac:dyDescent="0.2">
      <c r="Y213" s="55"/>
      <c r="Z213" s="55"/>
    </row>
    <row r="214" spans="25:26" x14ac:dyDescent="0.2">
      <c r="Y214" s="55"/>
      <c r="Z214" s="55"/>
    </row>
    <row r="215" spans="25:26" x14ac:dyDescent="0.2">
      <c r="Y215" s="55"/>
      <c r="Z215" s="55"/>
    </row>
    <row r="216" spans="25:26" x14ac:dyDescent="0.2">
      <c r="Y216" s="55"/>
      <c r="Z216" s="55"/>
    </row>
    <row r="217" spans="25:26" x14ac:dyDescent="0.2">
      <c r="Y217" s="55"/>
      <c r="Z217" s="55"/>
    </row>
    <row r="218" spans="25:26" x14ac:dyDescent="0.2">
      <c r="Y218" s="55"/>
      <c r="Z218" s="55"/>
    </row>
    <row r="219" spans="25:26" x14ac:dyDescent="0.2">
      <c r="Y219" s="55"/>
      <c r="Z219" s="55"/>
    </row>
    <row r="220" spans="25:26" x14ac:dyDescent="0.2">
      <c r="Y220" s="55"/>
      <c r="Z220" s="55"/>
    </row>
    <row r="221" spans="25:26" x14ac:dyDescent="0.2">
      <c r="Y221" s="55"/>
      <c r="Z221" s="55"/>
    </row>
    <row r="222" spans="25:26" x14ac:dyDescent="0.2">
      <c r="Y222" s="55"/>
      <c r="Z222" s="55"/>
    </row>
    <row r="223" spans="25:26" x14ac:dyDescent="0.2">
      <c r="Y223" s="55"/>
      <c r="Z223" s="55"/>
    </row>
    <row r="224" spans="25:26" x14ac:dyDescent="0.2">
      <c r="Y224" s="55"/>
      <c r="Z224" s="55"/>
    </row>
    <row r="225" spans="25:26" x14ac:dyDescent="0.2">
      <c r="Y225" s="55"/>
      <c r="Z225" s="55"/>
    </row>
    <row r="226" spans="25:26" x14ac:dyDescent="0.2">
      <c r="Y226" s="55"/>
      <c r="Z226" s="55"/>
    </row>
    <row r="227" spans="25:26" x14ac:dyDescent="0.2">
      <c r="Y227" s="55"/>
      <c r="Z227" s="55"/>
    </row>
    <row r="228" spans="25:26" x14ac:dyDescent="0.2">
      <c r="Y228" s="55"/>
      <c r="Z228" s="55"/>
    </row>
    <row r="229" spans="25:26" x14ac:dyDescent="0.2">
      <c r="Y229" s="55"/>
      <c r="Z229" s="55"/>
    </row>
    <row r="230" spans="25:26" x14ac:dyDescent="0.2">
      <c r="Y230" s="55"/>
      <c r="Z230" s="55"/>
    </row>
    <row r="231" spans="25:26" x14ac:dyDescent="0.2">
      <c r="Y231" s="55"/>
      <c r="Z231" s="55"/>
    </row>
    <row r="232" spans="25:26" x14ac:dyDescent="0.2">
      <c r="Y232" s="55"/>
      <c r="Z232" s="55"/>
    </row>
    <row r="233" spans="25:26" x14ac:dyDescent="0.2">
      <c r="Y233" s="55"/>
      <c r="Z233" s="55"/>
    </row>
    <row r="234" spans="25:26" x14ac:dyDescent="0.2">
      <c r="Y234" s="55"/>
      <c r="Z234" s="55"/>
    </row>
    <row r="235" spans="25:26" x14ac:dyDescent="0.2">
      <c r="Y235" s="55"/>
      <c r="Z235" s="55"/>
    </row>
    <row r="236" spans="25:26" x14ac:dyDescent="0.2">
      <c r="Y236" s="55"/>
      <c r="Z236" s="55"/>
    </row>
    <row r="237" spans="25:26" x14ac:dyDescent="0.2">
      <c r="Y237" s="55"/>
      <c r="Z237" s="55"/>
    </row>
    <row r="238" spans="25:26" x14ac:dyDescent="0.2">
      <c r="Y238" s="55"/>
      <c r="Z238" s="55"/>
    </row>
    <row r="239" spans="25:26" x14ac:dyDescent="0.2">
      <c r="Y239" s="55"/>
      <c r="Z239" s="55"/>
    </row>
    <row r="240" spans="25:26" x14ac:dyDescent="0.2">
      <c r="Y240" s="55"/>
      <c r="Z240" s="55"/>
    </row>
    <row r="241" spans="25:26" x14ac:dyDescent="0.2">
      <c r="Y241" s="55"/>
      <c r="Z241" s="55"/>
    </row>
    <row r="242" spans="25:26" x14ac:dyDescent="0.2">
      <c r="Y242" s="55"/>
      <c r="Z242" s="55"/>
    </row>
    <row r="243" spans="25:26" x14ac:dyDescent="0.2">
      <c r="Y243" s="55"/>
      <c r="Z243" s="55"/>
    </row>
    <row r="244" spans="25:26" x14ac:dyDescent="0.2">
      <c r="Y244" s="55"/>
      <c r="Z244" s="55"/>
    </row>
    <row r="245" spans="25:26" x14ac:dyDescent="0.2">
      <c r="Y245" s="55"/>
      <c r="Z245" s="55"/>
    </row>
    <row r="246" spans="25:26" x14ac:dyDescent="0.2">
      <c r="Y246" s="55"/>
      <c r="Z246" s="55"/>
    </row>
    <row r="247" spans="25:26" x14ac:dyDescent="0.2">
      <c r="Y247" s="55"/>
      <c r="Z247" s="55"/>
    </row>
    <row r="248" spans="25:26" x14ac:dyDescent="0.2">
      <c r="Y248" s="55"/>
      <c r="Z248" s="55"/>
    </row>
    <row r="249" spans="25:26" x14ac:dyDescent="0.2">
      <c r="Y249" s="55"/>
      <c r="Z249" s="55"/>
    </row>
    <row r="250" spans="25:26" x14ac:dyDescent="0.2">
      <c r="Y250" s="55"/>
      <c r="Z250" s="55"/>
    </row>
    <row r="251" spans="25:26" x14ac:dyDescent="0.2">
      <c r="Y251" s="55"/>
      <c r="Z251" s="55"/>
    </row>
    <row r="252" spans="25:26" x14ac:dyDescent="0.2">
      <c r="Y252" s="55"/>
      <c r="Z252" s="55"/>
    </row>
    <row r="253" spans="25:26" x14ac:dyDescent="0.2">
      <c r="Y253" s="55"/>
      <c r="Z253" s="55"/>
    </row>
    <row r="254" spans="25:26" x14ac:dyDescent="0.2">
      <c r="Y254" s="55"/>
      <c r="Z254" s="55"/>
    </row>
    <row r="255" spans="25:26" x14ac:dyDescent="0.2">
      <c r="Y255" s="55"/>
      <c r="Z255" s="55"/>
    </row>
    <row r="256" spans="25:26" x14ac:dyDescent="0.2">
      <c r="Y256" s="55"/>
      <c r="Z256" s="55"/>
    </row>
    <row r="257" spans="25:26" x14ac:dyDescent="0.2">
      <c r="Y257" s="55"/>
      <c r="Z257" s="55"/>
    </row>
    <row r="258" spans="25:26" x14ac:dyDescent="0.2">
      <c r="Y258" s="55"/>
      <c r="Z258" s="55"/>
    </row>
    <row r="259" spans="25:26" x14ac:dyDescent="0.2">
      <c r="Y259" s="55"/>
      <c r="Z259" s="55"/>
    </row>
    <row r="260" spans="25:26" x14ac:dyDescent="0.2">
      <c r="Y260" s="55"/>
      <c r="Z260" s="55"/>
    </row>
    <row r="261" spans="25:26" x14ac:dyDescent="0.2">
      <c r="Y261" s="55"/>
      <c r="Z261" s="55"/>
    </row>
    <row r="262" spans="25:26" x14ac:dyDescent="0.2">
      <c r="Y262" s="55"/>
      <c r="Z262" s="55"/>
    </row>
    <row r="263" spans="25:26" x14ac:dyDescent="0.2">
      <c r="Y263" s="55"/>
      <c r="Z263" s="55"/>
    </row>
    <row r="264" spans="25:26" x14ac:dyDescent="0.2">
      <c r="Y264" s="55"/>
      <c r="Z264" s="55"/>
    </row>
    <row r="265" spans="25:26" x14ac:dyDescent="0.2">
      <c r="Y265" s="55"/>
      <c r="Z265" s="55"/>
    </row>
    <row r="266" spans="25:26" x14ac:dyDescent="0.2">
      <c r="Y266" s="55"/>
      <c r="Z266" s="55"/>
    </row>
    <row r="267" spans="25:26" x14ac:dyDescent="0.2">
      <c r="Y267" s="55"/>
      <c r="Z267" s="55"/>
    </row>
    <row r="268" spans="25:26" x14ac:dyDescent="0.2">
      <c r="Y268" s="55"/>
      <c r="Z268" s="55"/>
    </row>
    <row r="269" spans="25:26" x14ac:dyDescent="0.2">
      <c r="Y269" s="55"/>
      <c r="Z269" s="55"/>
    </row>
    <row r="270" spans="25:26" x14ac:dyDescent="0.2">
      <c r="Y270" s="55"/>
      <c r="Z270" s="55"/>
    </row>
    <row r="271" spans="25:26" x14ac:dyDescent="0.2">
      <c r="Y271" s="55"/>
      <c r="Z271" s="55"/>
    </row>
    <row r="272" spans="25:26" x14ac:dyDescent="0.2">
      <c r="Y272" s="55"/>
      <c r="Z272" s="55"/>
    </row>
    <row r="273" spans="25:26" x14ac:dyDescent="0.2">
      <c r="Y273" s="55"/>
      <c r="Z273" s="55"/>
    </row>
    <row r="274" spans="25:26" x14ac:dyDescent="0.2">
      <c r="Y274" s="55"/>
      <c r="Z274" s="55"/>
    </row>
    <row r="275" spans="25:26" x14ac:dyDescent="0.2">
      <c r="Y275" s="55"/>
      <c r="Z275" s="55"/>
    </row>
    <row r="276" spans="25:26" x14ac:dyDescent="0.2">
      <c r="Y276" s="55"/>
      <c r="Z276" s="55"/>
    </row>
    <row r="277" spans="25:26" x14ac:dyDescent="0.2">
      <c r="Y277" s="55"/>
      <c r="Z277" s="55"/>
    </row>
    <row r="278" spans="25:26" x14ac:dyDescent="0.2">
      <c r="Y278" s="55"/>
      <c r="Z278" s="55"/>
    </row>
    <row r="279" spans="25:26" x14ac:dyDescent="0.2">
      <c r="Y279" s="55"/>
      <c r="Z279" s="55"/>
    </row>
    <row r="280" spans="25:26" x14ac:dyDescent="0.2">
      <c r="Y280" s="55"/>
      <c r="Z280" s="55"/>
    </row>
    <row r="281" spans="25:26" x14ac:dyDescent="0.2">
      <c r="Y281" s="55"/>
      <c r="Z281" s="55"/>
    </row>
    <row r="282" spans="25:26" x14ac:dyDescent="0.2">
      <c r="Y282" s="55"/>
      <c r="Z282" s="55"/>
    </row>
    <row r="283" spans="25:26" x14ac:dyDescent="0.2">
      <c r="Y283" s="55"/>
      <c r="Z283" s="55"/>
    </row>
    <row r="284" spans="25:26" x14ac:dyDescent="0.2">
      <c r="Y284" s="55"/>
      <c r="Z284" s="55"/>
    </row>
    <row r="285" spans="25:26" x14ac:dyDescent="0.2">
      <c r="Y285" s="55"/>
      <c r="Z285" s="55"/>
    </row>
    <row r="286" spans="25:26" x14ac:dyDescent="0.2">
      <c r="Y286" s="55"/>
      <c r="Z286" s="55"/>
    </row>
    <row r="287" spans="25:26" x14ac:dyDescent="0.2">
      <c r="Y287" s="55"/>
      <c r="Z287" s="55"/>
    </row>
    <row r="288" spans="25:26" x14ac:dyDescent="0.2">
      <c r="Y288" s="55"/>
      <c r="Z288" s="55"/>
    </row>
    <row r="289" spans="25:26" x14ac:dyDescent="0.2">
      <c r="Y289" s="55"/>
      <c r="Z289" s="55"/>
    </row>
    <row r="290" spans="25:26" x14ac:dyDescent="0.2">
      <c r="Y290" s="55"/>
      <c r="Z290" s="55"/>
    </row>
    <row r="291" spans="25:26" x14ac:dyDescent="0.2">
      <c r="Y291" s="55"/>
      <c r="Z291" s="55"/>
    </row>
    <row r="292" spans="25:26" x14ac:dyDescent="0.2">
      <c r="Y292" s="55"/>
      <c r="Z292" s="55"/>
    </row>
    <row r="293" spans="25:26" x14ac:dyDescent="0.2">
      <c r="Y293" s="55"/>
      <c r="Z293" s="55"/>
    </row>
    <row r="294" spans="25:26" x14ac:dyDescent="0.2">
      <c r="Y294" s="55"/>
      <c r="Z294" s="55"/>
    </row>
    <row r="295" spans="25:26" x14ac:dyDescent="0.2">
      <c r="Y295" s="55"/>
      <c r="Z295" s="55"/>
    </row>
    <row r="296" spans="25:26" x14ac:dyDescent="0.2">
      <c r="Y296" s="55"/>
      <c r="Z296" s="55"/>
    </row>
    <row r="297" spans="25:26" x14ac:dyDescent="0.2">
      <c r="Y297" s="55"/>
      <c r="Z297" s="55"/>
    </row>
    <row r="298" spans="25:26" x14ac:dyDescent="0.2">
      <c r="Y298" s="55"/>
      <c r="Z298" s="55"/>
    </row>
    <row r="299" spans="25:26" x14ac:dyDescent="0.2">
      <c r="Y299" s="55"/>
      <c r="Z299" s="55"/>
    </row>
    <row r="300" spans="25:26" x14ac:dyDescent="0.2">
      <c r="Y300" s="55"/>
      <c r="Z300" s="55"/>
    </row>
    <row r="301" spans="25:26" x14ac:dyDescent="0.2">
      <c r="Y301" s="55"/>
      <c r="Z301" s="55"/>
    </row>
    <row r="302" spans="25:26" x14ac:dyDescent="0.2">
      <c r="Y302" s="55"/>
      <c r="Z302" s="55"/>
    </row>
    <row r="303" spans="25:26" x14ac:dyDescent="0.2">
      <c r="Y303" s="55"/>
      <c r="Z303" s="55"/>
    </row>
    <row r="304" spans="25:26" x14ac:dyDescent="0.2">
      <c r="Y304" s="55"/>
      <c r="Z304" s="55"/>
    </row>
    <row r="305" spans="25:26" x14ac:dyDescent="0.2">
      <c r="Y305" s="55"/>
      <c r="Z305" s="55"/>
    </row>
    <row r="306" spans="25:26" x14ac:dyDescent="0.2">
      <c r="Y306" s="55"/>
      <c r="Z306" s="55"/>
    </row>
    <row r="307" spans="25:26" x14ac:dyDescent="0.2">
      <c r="Y307" s="55"/>
      <c r="Z307" s="55"/>
    </row>
    <row r="308" spans="25:26" x14ac:dyDescent="0.2">
      <c r="Y308" s="55"/>
      <c r="Z308" s="55"/>
    </row>
    <row r="309" spans="25:26" x14ac:dyDescent="0.2">
      <c r="Y309" s="55"/>
      <c r="Z309" s="55"/>
    </row>
    <row r="310" spans="25:26" x14ac:dyDescent="0.2">
      <c r="Y310" s="55"/>
      <c r="Z310" s="55"/>
    </row>
    <row r="311" spans="25:26" x14ac:dyDescent="0.2">
      <c r="Y311" s="55"/>
      <c r="Z311" s="55"/>
    </row>
    <row r="312" spans="25:26" x14ac:dyDescent="0.2">
      <c r="Y312" s="55"/>
      <c r="Z312" s="55"/>
    </row>
    <row r="313" spans="25:26" x14ac:dyDescent="0.2">
      <c r="Y313" s="55"/>
      <c r="Z313" s="55"/>
    </row>
    <row r="314" spans="25:26" x14ac:dyDescent="0.2">
      <c r="Y314" s="55"/>
      <c r="Z314" s="55"/>
    </row>
    <row r="315" spans="25:26" x14ac:dyDescent="0.2">
      <c r="Y315" s="55"/>
      <c r="Z315" s="55"/>
    </row>
    <row r="316" spans="25:26" x14ac:dyDescent="0.2">
      <c r="Y316" s="55"/>
      <c r="Z316" s="55"/>
    </row>
    <row r="317" spans="25:26" x14ac:dyDescent="0.2">
      <c r="Y317" s="55"/>
      <c r="Z317" s="55"/>
    </row>
    <row r="318" spans="25:26" x14ac:dyDescent="0.2">
      <c r="Y318" s="55"/>
      <c r="Z318" s="55"/>
    </row>
    <row r="319" spans="25:26" x14ac:dyDescent="0.2">
      <c r="Y319" s="55"/>
      <c r="Z319" s="55"/>
    </row>
    <row r="320" spans="25:26" x14ac:dyDescent="0.2">
      <c r="Y320" s="55"/>
      <c r="Z320" s="55"/>
    </row>
    <row r="321" spans="25:26" x14ac:dyDescent="0.2">
      <c r="Y321" s="55"/>
      <c r="Z321" s="55"/>
    </row>
    <row r="322" spans="25:26" x14ac:dyDescent="0.2">
      <c r="Y322" s="55"/>
      <c r="Z322" s="55"/>
    </row>
    <row r="323" spans="25:26" x14ac:dyDescent="0.2">
      <c r="Y323" s="55"/>
      <c r="Z323" s="55"/>
    </row>
    <row r="324" spans="25:26" x14ac:dyDescent="0.2">
      <c r="Y324" s="55"/>
      <c r="Z324" s="55"/>
    </row>
    <row r="325" spans="25:26" x14ac:dyDescent="0.2">
      <c r="Y325" s="55"/>
      <c r="Z325" s="55"/>
    </row>
    <row r="326" spans="25:26" x14ac:dyDescent="0.2">
      <c r="Y326" s="55"/>
      <c r="Z326" s="55"/>
    </row>
    <row r="327" spans="25:26" x14ac:dyDescent="0.2">
      <c r="Y327" s="55"/>
      <c r="Z327" s="55"/>
    </row>
    <row r="328" spans="25:26" x14ac:dyDescent="0.2">
      <c r="Y328" s="55"/>
      <c r="Z328" s="55"/>
    </row>
    <row r="329" spans="25:26" x14ac:dyDescent="0.2">
      <c r="Y329" s="55"/>
      <c r="Z329" s="55"/>
    </row>
    <row r="330" spans="25:26" x14ac:dyDescent="0.2">
      <c r="Y330" s="55"/>
      <c r="Z330" s="55"/>
    </row>
    <row r="331" spans="25:26" x14ac:dyDescent="0.2">
      <c r="Y331" s="55"/>
      <c r="Z331" s="55"/>
    </row>
    <row r="332" spans="25:26" x14ac:dyDescent="0.2">
      <c r="Y332" s="55"/>
      <c r="Z332" s="55"/>
    </row>
    <row r="333" spans="25:26" x14ac:dyDescent="0.2">
      <c r="Y333" s="55"/>
      <c r="Z333" s="55"/>
    </row>
    <row r="334" spans="25:26" x14ac:dyDescent="0.2">
      <c r="Y334" s="55"/>
      <c r="Z334" s="55"/>
    </row>
    <row r="335" spans="25:26" x14ac:dyDescent="0.2">
      <c r="Y335" s="55"/>
      <c r="Z335" s="55"/>
    </row>
    <row r="336" spans="25:26" x14ac:dyDescent="0.2">
      <c r="Y336" s="55"/>
      <c r="Z336" s="55"/>
    </row>
    <row r="337" spans="25:26" x14ac:dyDescent="0.2">
      <c r="Y337" s="55"/>
      <c r="Z337" s="55"/>
    </row>
    <row r="338" spans="25:26" x14ac:dyDescent="0.2">
      <c r="Y338" s="55"/>
      <c r="Z338" s="55"/>
    </row>
    <row r="339" spans="25:26" x14ac:dyDescent="0.2">
      <c r="Y339" s="55"/>
      <c r="Z339" s="55"/>
    </row>
    <row r="340" spans="25:26" x14ac:dyDescent="0.2">
      <c r="Y340" s="55"/>
      <c r="Z340" s="55"/>
    </row>
    <row r="341" spans="25:26" x14ac:dyDescent="0.2">
      <c r="Y341" s="55"/>
      <c r="Z341" s="55"/>
    </row>
    <row r="342" spans="25:26" x14ac:dyDescent="0.2">
      <c r="Y342" s="55"/>
      <c r="Z342" s="55"/>
    </row>
    <row r="343" spans="25:26" x14ac:dyDescent="0.2">
      <c r="Y343" s="55"/>
      <c r="Z343" s="55"/>
    </row>
    <row r="344" spans="25:26" x14ac:dyDescent="0.2">
      <c r="Y344" s="55"/>
      <c r="Z344" s="55"/>
    </row>
    <row r="345" spans="25:26" x14ac:dyDescent="0.2">
      <c r="Y345" s="55"/>
      <c r="Z345" s="55"/>
    </row>
    <row r="346" spans="25:26" x14ac:dyDescent="0.2">
      <c r="Y346" s="55"/>
      <c r="Z346" s="55"/>
    </row>
    <row r="347" spans="25:26" x14ac:dyDescent="0.2">
      <c r="Y347" s="55"/>
      <c r="Z347" s="55"/>
    </row>
    <row r="348" spans="25:26" x14ac:dyDescent="0.2">
      <c r="Y348" s="55"/>
      <c r="Z348" s="55"/>
    </row>
    <row r="349" spans="25:26" x14ac:dyDescent="0.2">
      <c r="Y349" s="55"/>
      <c r="Z349" s="55"/>
    </row>
    <row r="350" spans="25:26" x14ac:dyDescent="0.2">
      <c r="Y350" s="55"/>
      <c r="Z350" s="55"/>
    </row>
    <row r="351" spans="25:26" x14ac:dyDescent="0.2">
      <c r="Y351" s="55"/>
      <c r="Z351" s="55"/>
    </row>
    <row r="352" spans="25:26" x14ac:dyDescent="0.2">
      <c r="Y352" s="55"/>
      <c r="Z352" s="55"/>
    </row>
    <row r="353" spans="25:26" x14ac:dyDescent="0.2">
      <c r="Y353" s="55"/>
      <c r="Z353" s="55"/>
    </row>
    <row r="354" spans="25:26" x14ac:dyDescent="0.2">
      <c r="Y354" s="55"/>
      <c r="Z354" s="55"/>
    </row>
    <row r="355" spans="25:26" x14ac:dyDescent="0.2">
      <c r="Y355" s="55"/>
      <c r="Z355" s="55"/>
    </row>
    <row r="356" spans="25:26" x14ac:dyDescent="0.2">
      <c r="Y356" s="55"/>
      <c r="Z356" s="55"/>
    </row>
    <row r="357" spans="25:26" x14ac:dyDescent="0.2">
      <c r="Y357" s="55"/>
      <c r="Z357" s="55"/>
    </row>
    <row r="358" spans="25:26" x14ac:dyDescent="0.2">
      <c r="Y358" s="55"/>
      <c r="Z358" s="55"/>
    </row>
    <row r="359" spans="25:26" x14ac:dyDescent="0.2">
      <c r="Y359" s="55"/>
      <c r="Z359" s="55"/>
    </row>
    <row r="360" spans="25:26" x14ac:dyDescent="0.2">
      <c r="Y360" s="55"/>
      <c r="Z360" s="55"/>
    </row>
    <row r="361" spans="25:26" x14ac:dyDescent="0.2">
      <c r="Y361" s="55"/>
      <c r="Z361" s="55"/>
    </row>
    <row r="362" spans="25:26" x14ac:dyDescent="0.2">
      <c r="Y362" s="55"/>
      <c r="Z362" s="55"/>
    </row>
    <row r="363" spans="25:26" x14ac:dyDescent="0.2">
      <c r="Y363" s="55"/>
      <c r="Z363" s="55"/>
    </row>
    <row r="364" spans="25:26" x14ac:dyDescent="0.2">
      <c r="Y364" s="55"/>
      <c r="Z364" s="55"/>
    </row>
    <row r="365" spans="25:26" x14ac:dyDescent="0.2">
      <c r="Y365" s="55"/>
      <c r="Z365" s="55"/>
    </row>
    <row r="366" spans="25:26" x14ac:dyDescent="0.2">
      <c r="Y366" s="55"/>
      <c r="Z366" s="55"/>
    </row>
    <row r="367" spans="25:26" x14ac:dyDescent="0.2">
      <c r="Y367" s="55"/>
      <c r="Z367" s="55"/>
    </row>
    <row r="368" spans="25:26" x14ac:dyDescent="0.2">
      <c r="Y368" s="55"/>
      <c r="Z368" s="55"/>
    </row>
    <row r="369" spans="25:26" x14ac:dyDescent="0.2">
      <c r="Y369" s="55"/>
      <c r="Z369" s="55"/>
    </row>
    <row r="370" spans="25:26" x14ac:dyDescent="0.2">
      <c r="Y370" s="55"/>
      <c r="Z370" s="55"/>
    </row>
    <row r="371" spans="25:26" x14ac:dyDescent="0.2">
      <c r="Y371" s="55"/>
      <c r="Z371" s="55"/>
    </row>
    <row r="372" spans="25:26" x14ac:dyDescent="0.2">
      <c r="Y372" s="55"/>
      <c r="Z372" s="55"/>
    </row>
    <row r="373" spans="25:26" x14ac:dyDescent="0.2">
      <c r="Y373" s="55"/>
      <c r="Z373" s="55"/>
    </row>
    <row r="374" spans="25:26" x14ac:dyDescent="0.2">
      <c r="Y374" s="55"/>
      <c r="Z374" s="55"/>
    </row>
    <row r="375" spans="25:26" x14ac:dyDescent="0.2">
      <c r="Y375" s="55"/>
      <c r="Z375" s="55"/>
    </row>
    <row r="376" spans="25:26" x14ac:dyDescent="0.2">
      <c r="Y376" s="55"/>
      <c r="Z376" s="55"/>
    </row>
    <row r="377" spans="25:26" x14ac:dyDescent="0.2">
      <c r="Y377" s="55"/>
      <c r="Z377" s="55"/>
    </row>
    <row r="378" spans="25:26" x14ac:dyDescent="0.2">
      <c r="Y378" s="55"/>
      <c r="Z378" s="55"/>
    </row>
    <row r="379" spans="25:26" x14ac:dyDescent="0.2">
      <c r="Y379" s="55"/>
      <c r="Z379" s="55"/>
    </row>
    <row r="380" spans="25:26" x14ac:dyDescent="0.2">
      <c r="Y380" s="55"/>
      <c r="Z380" s="55"/>
    </row>
    <row r="381" spans="25:26" x14ac:dyDescent="0.2">
      <c r="Y381" s="55"/>
      <c r="Z381" s="55"/>
    </row>
    <row r="382" spans="25:26" x14ac:dyDescent="0.2">
      <c r="Y382" s="55"/>
      <c r="Z382" s="55"/>
    </row>
    <row r="383" spans="25:26" x14ac:dyDescent="0.2">
      <c r="Y383" s="55"/>
      <c r="Z383" s="55"/>
    </row>
    <row r="384" spans="25:26" x14ac:dyDescent="0.2">
      <c r="Y384" s="55"/>
      <c r="Z384" s="55"/>
    </row>
    <row r="385" spans="25:26" x14ac:dyDescent="0.2">
      <c r="Y385" s="55"/>
      <c r="Z385" s="55"/>
    </row>
    <row r="386" spans="25:26" x14ac:dyDescent="0.2">
      <c r="Y386" s="55"/>
      <c r="Z386" s="55"/>
    </row>
    <row r="387" spans="25:26" x14ac:dyDescent="0.2">
      <c r="Y387" s="55"/>
      <c r="Z387" s="55"/>
    </row>
    <row r="388" spans="25:26" x14ac:dyDescent="0.2">
      <c r="Y388" s="55"/>
      <c r="Z388" s="55"/>
    </row>
    <row r="389" spans="25:26" x14ac:dyDescent="0.2">
      <c r="Y389" s="55"/>
      <c r="Z389" s="55"/>
    </row>
    <row r="390" spans="25:26" x14ac:dyDescent="0.2">
      <c r="Y390" s="55"/>
      <c r="Z390" s="55"/>
    </row>
    <row r="391" spans="25:26" x14ac:dyDescent="0.2">
      <c r="Y391" s="55"/>
      <c r="Z391" s="55"/>
    </row>
    <row r="392" spans="25:26" x14ac:dyDescent="0.2">
      <c r="Y392" s="55"/>
      <c r="Z392" s="55"/>
    </row>
    <row r="393" spans="25:26" x14ac:dyDescent="0.2">
      <c r="Y393" s="55"/>
      <c r="Z393" s="55"/>
    </row>
    <row r="394" spans="25:26" x14ac:dyDescent="0.2">
      <c r="Y394" s="55"/>
      <c r="Z394" s="55"/>
    </row>
    <row r="395" spans="25:26" x14ac:dyDescent="0.2">
      <c r="Y395" s="55"/>
      <c r="Z395" s="55"/>
    </row>
    <row r="396" spans="25:26" x14ac:dyDescent="0.2">
      <c r="Y396" s="55"/>
      <c r="Z396" s="55"/>
    </row>
    <row r="397" spans="25:26" x14ac:dyDescent="0.2">
      <c r="Y397" s="55"/>
      <c r="Z397" s="55"/>
    </row>
    <row r="398" spans="25:26" x14ac:dyDescent="0.2">
      <c r="Y398" s="55"/>
      <c r="Z398" s="55"/>
    </row>
    <row r="399" spans="25:26" x14ac:dyDescent="0.2">
      <c r="Y399" s="55"/>
      <c r="Z399" s="55"/>
    </row>
    <row r="400" spans="25:26" x14ac:dyDescent="0.2">
      <c r="Y400" s="55"/>
      <c r="Z400" s="55"/>
    </row>
    <row r="401" spans="25:26" x14ac:dyDescent="0.2">
      <c r="Y401" s="55"/>
      <c r="Z401" s="55"/>
    </row>
    <row r="402" spans="25:26" x14ac:dyDescent="0.2">
      <c r="Y402" s="55"/>
      <c r="Z402" s="55"/>
    </row>
    <row r="403" spans="25:26" x14ac:dyDescent="0.2">
      <c r="Y403" s="55"/>
      <c r="Z403" s="55"/>
    </row>
    <row r="404" spans="25:26" x14ac:dyDescent="0.2">
      <c r="Y404" s="55"/>
      <c r="Z404" s="55"/>
    </row>
    <row r="405" spans="25:26" x14ac:dyDescent="0.2">
      <c r="Y405" s="55"/>
      <c r="Z405" s="55"/>
    </row>
    <row r="406" spans="25:26" x14ac:dyDescent="0.2">
      <c r="Y406" s="55"/>
      <c r="Z406" s="55"/>
    </row>
    <row r="407" spans="25:26" x14ac:dyDescent="0.2">
      <c r="Y407" s="55"/>
      <c r="Z407" s="55"/>
    </row>
    <row r="408" spans="25:26" x14ac:dyDescent="0.2">
      <c r="Y408" s="55"/>
      <c r="Z408" s="55"/>
    </row>
    <row r="409" spans="25:26" x14ac:dyDescent="0.2">
      <c r="Y409" s="55"/>
      <c r="Z409" s="55"/>
    </row>
    <row r="410" spans="25:26" x14ac:dyDescent="0.2">
      <c r="Y410" s="55"/>
      <c r="Z410" s="55"/>
    </row>
    <row r="411" spans="25:26" x14ac:dyDescent="0.2">
      <c r="Y411" s="55"/>
      <c r="Z411" s="55"/>
    </row>
    <row r="412" spans="25:26" x14ac:dyDescent="0.2">
      <c r="Y412" s="55"/>
      <c r="Z412" s="55"/>
    </row>
    <row r="413" spans="25:26" x14ac:dyDescent="0.2">
      <c r="Y413" s="55"/>
      <c r="Z413" s="55"/>
    </row>
    <row r="414" spans="25:26" x14ac:dyDescent="0.2">
      <c r="Y414" s="55"/>
      <c r="Z414" s="55"/>
    </row>
    <row r="415" spans="25:26" x14ac:dyDescent="0.2">
      <c r="Y415" s="55"/>
      <c r="Z415" s="55"/>
    </row>
    <row r="416" spans="25:26" x14ac:dyDescent="0.2">
      <c r="Y416" s="55"/>
      <c r="Z416" s="55"/>
    </row>
    <row r="417" spans="25:26" x14ac:dyDescent="0.2">
      <c r="Y417" s="55"/>
      <c r="Z417" s="55"/>
    </row>
    <row r="418" spans="25:26" x14ac:dyDescent="0.2">
      <c r="Y418" s="55"/>
      <c r="Z418" s="55"/>
    </row>
    <row r="419" spans="25:26" x14ac:dyDescent="0.2">
      <c r="Y419" s="55"/>
      <c r="Z419" s="55"/>
    </row>
    <row r="420" spans="25:26" x14ac:dyDescent="0.2">
      <c r="Y420" s="55"/>
      <c r="Z420" s="55"/>
    </row>
    <row r="421" spans="25:26" x14ac:dyDescent="0.2">
      <c r="Y421" s="55"/>
      <c r="Z421" s="55"/>
    </row>
    <row r="422" spans="25:26" x14ac:dyDescent="0.2">
      <c r="Y422" s="55"/>
      <c r="Z422" s="55"/>
    </row>
    <row r="423" spans="25:26" x14ac:dyDescent="0.2">
      <c r="Y423" s="55"/>
      <c r="Z423" s="55"/>
    </row>
    <row r="424" spans="25:26" x14ac:dyDescent="0.2">
      <c r="Y424" s="55"/>
      <c r="Z424" s="55"/>
    </row>
    <row r="425" spans="25:26" x14ac:dyDescent="0.2">
      <c r="Y425" s="55"/>
      <c r="Z425" s="55"/>
    </row>
    <row r="426" spans="25:26" x14ac:dyDescent="0.2">
      <c r="Y426" s="55"/>
      <c r="Z426" s="55"/>
    </row>
    <row r="427" spans="25:26" x14ac:dyDescent="0.2">
      <c r="Y427" s="55"/>
      <c r="Z427" s="55"/>
    </row>
    <row r="428" spans="25:26" x14ac:dyDescent="0.2">
      <c r="Y428" s="55"/>
      <c r="Z428" s="55"/>
    </row>
    <row r="429" spans="25:26" x14ac:dyDescent="0.2">
      <c r="Y429" s="55"/>
      <c r="Z429" s="55"/>
    </row>
    <row r="430" spans="25:26" x14ac:dyDescent="0.2">
      <c r="Y430" s="55"/>
      <c r="Z430" s="55"/>
    </row>
    <row r="431" spans="25:26" x14ac:dyDescent="0.2">
      <c r="Y431" s="55"/>
      <c r="Z431" s="55"/>
    </row>
    <row r="432" spans="25:26" x14ac:dyDescent="0.2">
      <c r="Y432" s="55"/>
      <c r="Z432" s="55"/>
    </row>
  </sheetData>
  <phoneticPr fontId="25" type="noConversion"/>
  <hyperlinks>
    <hyperlink ref="A1" location="'Table of Contents'!A1" display="Table of Contents" xr:uid="{C4B2F1DF-B4F9-482A-B3A1-34C934AF6417}"/>
  </hyperlinks>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89CDE-F2B0-452B-8538-187D8057A365}">
  <dimension ref="A1:AD27"/>
  <sheetViews>
    <sheetView showGridLines="0" workbookViewId="0">
      <selection activeCell="A39" sqref="A39"/>
    </sheetView>
  </sheetViews>
  <sheetFormatPr baseColWidth="10" defaultColWidth="8.83203125" defaultRowHeight="15" x14ac:dyDescent="0.2"/>
  <cols>
    <col min="1" max="1" width="32.5" bestFit="1" customWidth="1"/>
    <col min="2" max="2" width="13.6640625" bestFit="1" customWidth="1"/>
    <col min="3" max="3" width="11.6640625" bestFit="1" customWidth="1"/>
    <col min="21" max="21" width="17" bestFit="1" customWidth="1"/>
    <col min="22" max="22" width="7.6640625" bestFit="1" customWidth="1"/>
    <col min="23" max="23" width="17" bestFit="1" customWidth="1"/>
    <col min="24" max="24" width="7.6640625" bestFit="1" customWidth="1"/>
    <col min="25" max="25" width="8.5" bestFit="1" customWidth="1"/>
    <col min="26" max="26" width="27.6640625" bestFit="1" customWidth="1"/>
    <col min="27" max="27" width="12.33203125" bestFit="1" customWidth="1"/>
    <col min="28" max="28" width="16.5" bestFit="1" customWidth="1"/>
    <col min="29" max="29" width="21.33203125" customWidth="1"/>
  </cols>
  <sheetData>
    <row r="1" spans="1:30" x14ac:dyDescent="0.2">
      <c r="A1" s="4" t="s">
        <v>21</v>
      </c>
    </row>
    <row r="2" spans="1:30" ht="16" thickBot="1" x14ac:dyDescent="0.25">
      <c r="A2" s="41" t="s">
        <v>342</v>
      </c>
    </row>
    <row r="3" spans="1:30" x14ac:dyDescent="0.2">
      <c r="A3" s="434" t="s">
        <v>343</v>
      </c>
      <c r="B3" s="435"/>
      <c r="C3" s="436"/>
      <c r="D3" s="437" t="s">
        <v>344</v>
      </c>
      <c r="E3" s="437"/>
      <c r="F3" s="437"/>
      <c r="G3" s="437"/>
      <c r="H3" s="437"/>
      <c r="I3" s="437"/>
      <c r="J3" s="438"/>
      <c r="K3" s="439" t="s">
        <v>345</v>
      </c>
      <c r="L3" s="440"/>
      <c r="M3" s="440"/>
      <c r="N3" s="440"/>
      <c r="O3" s="440"/>
      <c r="P3" s="440"/>
      <c r="Q3" s="441"/>
      <c r="R3" s="442" t="s">
        <v>346</v>
      </c>
      <c r="S3" s="443"/>
      <c r="T3" s="448"/>
      <c r="U3" s="430" t="s">
        <v>4571</v>
      </c>
      <c r="V3" s="444"/>
      <c r="W3" s="430" t="s">
        <v>4572</v>
      </c>
      <c r="X3" s="430"/>
      <c r="Y3" s="431" t="s">
        <v>347</v>
      </c>
      <c r="Z3" s="432"/>
      <c r="AA3" s="432"/>
      <c r="AB3" s="432"/>
      <c r="AC3" s="433"/>
    </row>
    <row r="4" spans="1:30" ht="16" thickBot="1" x14ac:dyDescent="0.25">
      <c r="A4" s="106" t="s">
        <v>0</v>
      </c>
      <c r="B4" s="107" t="s">
        <v>348</v>
      </c>
      <c r="C4" s="108" t="s">
        <v>349</v>
      </c>
      <c r="D4" s="109" t="s">
        <v>350</v>
      </c>
      <c r="E4" s="110" t="s">
        <v>351</v>
      </c>
      <c r="F4" s="110" t="s">
        <v>352</v>
      </c>
      <c r="G4" s="110" t="s">
        <v>353</v>
      </c>
      <c r="H4" s="110" t="s">
        <v>354</v>
      </c>
      <c r="I4" s="110" t="s">
        <v>355</v>
      </c>
      <c r="J4" s="110" t="s">
        <v>356</v>
      </c>
      <c r="K4" s="111" t="s">
        <v>350</v>
      </c>
      <c r="L4" s="112" t="s">
        <v>351</v>
      </c>
      <c r="M4" s="112" t="s">
        <v>352</v>
      </c>
      <c r="N4" s="112" t="s">
        <v>353</v>
      </c>
      <c r="O4" s="112" t="s">
        <v>354</v>
      </c>
      <c r="P4" s="112" t="s">
        <v>355</v>
      </c>
      <c r="Q4" s="119" t="s">
        <v>356</v>
      </c>
      <c r="R4" s="113" t="s">
        <v>357</v>
      </c>
      <c r="S4" s="114" t="s">
        <v>358</v>
      </c>
      <c r="T4" s="115" t="s">
        <v>359</v>
      </c>
      <c r="U4" s="116" t="s">
        <v>360</v>
      </c>
      <c r="V4" s="327" t="s">
        <v>361</v>
      </c>
      <c r="W4" s="116" t="s">
        <v>360</v>
      </c>
      <c r="X4" s="116" t="s">
        <v>361</v>
      </c>
      <c r="Y4" s="102" t="s">
        <v>39</v>
      </c>
      <c r="Z4" s="103" t="s">
        <v>5321</v>
      </c>
      <c r="AA4" s="103" t="s">
        <v>362</v>
      </c>
      <c r="AB4" s="46" t="s">
        <v>5385</v>
      </c>
      <c r="AC4" s="117" t="s">
        <v>41</v>
      </c>
    </row>
    <row r="5" spans="1:30" ht="16" thickBot="1" x14ac:dyDescent="0.25">
      <c r="A5" s="156" t="s">
        <v>5499</v>
      </c>
      <c r="B5" s="156" t="s">
        <v>3418</v>
      </c>
      <c r="C5" s="157" t="s">
        <v>364</v>
      </c>
      <c r="D5" s="157">
        <v>0.25099900000000003</v>
      </c>
      <c r="E5" s="157">
        <v>0.163885</v>
      </c>
      <c r="F5" s="157">
        <v>4.1077000000000002E-2</v>
      </c>
      <c r="G5" s="157" t="s">
        <v>31</v>
      </c>
      <c r="H5" s="246" t="s">
        <v>365</v>
      </c>
      <c r="I5" s="157">
        <v>2.1</v>
      </c>
      <c r="J5" s="157">
        <v>8</v>
      </c>
      <c r="K5" s="157">
        <v>0</v>
      </c>
      <c r="L5" s="157">
        <v>0</v>
      </c>
      <c r="M5" s="157">
        <v>0</v>
      </c>
      <c r="N5" s="157" t="s">
        <v>366</v>
      </c>
      <c r="O5" s="157" t="s">
        <v>366</v>
      </c>
      <c r="P5" s="157">
        <v>0</v>
      </c>
      <c r="Q5" s="157">
        <v>0</v>
      </c>
      <c r="R5" s="157">
        <v>0.156496</v>
      </c>
      <c r="S5" s="157">
        <v>1.1694450000000001</v>
      </c>
      <c r="T5" s="157">
        <v>2.4636140000000002</v>
      </c>
      <c r="U5" s="310">
        <f>'Duct Insulation Data'!AC4</f>
        <v>3.5755627479132697</v>
      </c>
      <c r="V5" s="236" t="s">
        <v>366</v>
      </c>
      <c r="W5" s="247">
        <v>0</v>
      </c>
      <c r="X5" s="247">
        <v>0</v>
      </c>
      <c r="Y5" s="15">
        <v>999</v>
      </c>
      <c r="Z5" s="15" t="s">
        <v>5477</v>
      </c>
      <c r="AA5" s="15" t="s">
        <v>5446</v>
      </c>
      <c r="AB5" s="157" t="s">
        <v>5386</v>
      </c>
      <c r="AC5" s="157"/>
      <c r="AD5" s="18"/>
    </row>
    <row r="9" spans="1:30" x14ac:dyDescent="0.2">
      <c r="A9" s="34" t="s">
        <v>372</v>
      </c>
    </row>
    <row r="10" spans="1:30" s="15" customFormat="1" ht="16" thickBot="1" x14ac:dyDescent="0.25"/>
    <row r="11" spans="1:30" x14ac:dyDescent="0.2">
      <c r="A11" s="340" t="s">
        <v>5380</v>
      </c>
      <c r="B11" s="38"/>
      <c r="C11" s="38"/>
    </row>
    <row r="12" spans="1:30" x14ac:dyDescent="0.2">
      <c r="A12" s="341" t="s">
        <v>374</v>
      </c>
      <c r="B12" s="281" t="s">
        <v>5509</v>
      </c>
      <c r="C12" s="325"/>
      <c r="J12" s="41"/>
    </row>
    <row r="13" spans="1:30" x14ac:dyDescent="0.2">
      <c r="A13" s="341" t="s">
        <v>375</v>
      </c>
      <c r="B13" s="38">
        <v>31</v>
      </c>
      <c r="C13" s="38"/>
    </row>
    <row r="14" spans="1:30" ht="17" x14ac:dyDescent="0.2">
      <c r="A14" s="341" t="s">
        <v>376</v>
      </c>
      <c r="B14" s="38">
        <v>0.108</v>
      </c>
      <c r="C14" s="38"/>
      <c r="L14" s="41" t="s">
        <v>4810</v>
      </c>
    </row>
    <row r="15" spans="1:30" x14ac:dyDescent="0.2">
      <c r="A15" s="38"/>
      <c r="B15" s="38"/>
      <c r="C15" s="38"/>
      <c r="J15" s="243" t="s">
        <v>5031</v>
      </c>
      <c r="L15" t="s">
        <v>4806</v>
      </c>
      <c r="M15">
        <f>VALUE(TRIM(RIGHT(TEXT(J17,),LEN(J17)-LEN("Metric_1")-4)))</f>
        <v>0.25099900000000003</v>
      </c>
      <c r="N15">
        <f>VALUE(TRIM(RIGHT(TEXT(J21,),LEN(J21)-LEN("Metric_1")-4)))</f>
        <v>0.163885</v>
      </c>
      <c r="O15">
        <f>VALUE(TRIM(RIGHT(TEXT(J25,),LEN(J25)-LEN("Metric_1")-4)))</f>
        <v>4.1077000000000002E-2</v>
      </c>
    </row>
    <row r="16" spans="1:30" x14ac:dyDescent="0.2">
      <c r="B16" s="38"/>
      <c r="J16" t="s">
        <v>5514</v>
      </c>
      <c r="L16" t="s">
        <v>4807</v>
      </c>
      <c r="M16">
        <f>VALUE(TRIM(RIGHT(TEXT(J18,),LEN(J18)-LEN("Metric_2")-4)))</f>
        <v>0</v>
      </c>
      <c r="N16">
        <f>VALUE(TRIM(RIGHT(TEXT(J22,),LEN(J22)-LEN("Metric_2")-4)))</f>
        <v>0</v>
      </c>
      <c r="O16">
        <f>VALUE(TRIM(RIGHT(TEXT(J26,),LEN(J26)-LEN("Metric_2")-4)))</f>
        <v>0</v>
      </c>
    </row>
    <row r="17" spans="2:15" x14ac:dyDescent="0.2">
      <c r="B17" s="38"/>
      <c r="J17" t="s">
        <v>5515</v>
      </c>
      <c r="L17" t="s">
        <v>4808</v>
      </c>
      <c r="M17">
        <f>VALUE(TRIM(RIGHT(J16,LEN(J16)-LEN("Intercept")-4)))</f>
        <v>0.156496</v>
      </c>
      <c r="N17">
        <f>VALUE(TRIM(RIGHT(J20,LEN(J20)-LEN("Intercept")-4)))</f>
        <v>1.1694450000000001</v>
      </c>
      <c r="O17">
        <f>VALUE(TRIM(RIGHT(J24,LEN(J24)-LEN("Intercept")-4)))</f>
        <v>2.4636140000000002</v>
      </c>
    </row>
    <row r="18" spans="2:15" x14ac:dyDescent="0.2">
      <c r="B18" s="38"/>
      <c r="J18" t="s">
        <v>5116</v>
      </c>
    </row>
    <row r="19" spans="2:15" x14ac:dyDescent="0.2">
      <c r="B19" s="38"/>
      <c r="J19" t="s">
        <v>5032</v>
      </c>
    </row>
    <row r="20" spans="2:15" x14ac:dyDescent="0.2">
      <c r="B20" s="38"/>
      <c r="J20" t="s">
        <v>5512</v>
      </c>
    </row>
    <row r="21" spans="2:15" x14ac:dyDescent="0.2">
      <c r="B21" s="38"/>
      <c r="J21" t="s">
        <v>5513</v>
      </c>
    </row>
    <row r="22" spans="2:15" x14ac:dyDescent="0.2">
      <c r="B22" s="38"/>
      <c r="J22" t="s">
        <v>5116</v>
      </c>
    </row>
    <row r="23" spans="2:15" x14ac:dyDescent="0.2">
      <c r="B23" s="38"/>
      <c r="J23" t="s">
        <v>5033</v>
      </c>
    </row>
    <row r="24" spans="2:15" x14ac:dyDescent="0.2">
      <c r="B24" s="38"/>
      <c r="J24" t="s">
        <v>5510</v>
      </c>
    </row>
    <row r="25" spans="2:15" x14ac:dyDescent="0.2">
      <c r="B25" s="38"/>
      <c r="J25" t="s">
        <v>5511</v>
      </c>
    </row>
    <row r="26" spans="2:15" x14ac:dyDescent="0.2">
      <c r="B26" s="38"/>
      <c r="J26" t="s">
        <v>5116</v>
      </c>
    </row>
    <row r="27" spans="2:15" x14ac:dyDescent="0.2">
      <c r="B27" s="38"/>
    </row>
  </sheetData>
  <mergeCells count="7">
    <mergeCell ref="W3:X3"/>
    <mergeCell ref="Y3:AC3"/>
    <mergeCell ref="A3:C3"/>
    <mergeCell ref="D3:J3"/>
    <mergeCell ref="K3:Q3"/>
    <mergeCell ref="R3:T3"/>
    <mergeCell ref="U3:V3"/>
  </mergeCells>
  <hyperlinks>
    <hyperlink ref="A1" location="'Table of Contents'!A1" display="Table of Contents" xr:uid="{99490CCF-3DF5-4A9C-B721-CD2CE3821AA5}"/>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8C2F-8186-4771-A687-11EBE1202F55}">
  <dimension ref="A1:AB386"/>
  <sheetViews>
    <sheetView zoomScale="85" zoomScaleNormal="85" workbookViewId="0"/>
  </sheetViews>
  <sheetFormatPr baseColWidth="10" defaultColWidth="8.83203125" defaultRowHeight="15" x14ac:dyDescent="0.2"/>
  <cols>
    <col min="1" max="1" width="16.6640625" bestFit="1" customWidth="1"/>
    <col min="2" max="3" width="0" hidden="1" customWidth="1"/>
    <col min="4" max="4" width="10.6640625" customWidth="1"/>
    <col min="6" max="6" width="13.6640625" bestFit="1" customWidth="1"/>
    <col min="7" max="7" width="0" hidden="1" customWidth="1"/>
    <col min="8" max="8" width="16" bestFit="1" customWidth="1"/>
    <col min="9" max="9" width="22.6640625" bestFit="1" customWidth="1"/>
    <col min="10" max="10" width="16" bestFit="1" customWidth="1"/>
    <col min="11" max="11" width="21.1640625" bestFit="1" customWidth="1"/>
    <col min="12" max="12" width="13.5" customWidth="1"/>
    <col min="13" max="13" width="18.6640625" bestFit="1" customWidth="1"/>
    <col min="15" max="15" width="21.6640625" bestFit="1" customWidth="1"/>
    <col min="16" max="16" width="18.5" bestFit="1" customWidth="1"/>
    <col min="17" max="17" width="33.33203125" bestFit="1" customWidth="1"/>
    <col min="18" max="18" width="9.6640625" bestFit="1" customWidth="1"/>
    <col min="19" max="19" width="10.5" bestFit="1" customWidth="1"/>
    <col min="20" max="20" width="13.5" bestFit="1" customWidth="1"/>
    <col min="21" max="21" width="26.33203125" bestFit="1" customWidth="1"/>
    <col min="22" max="22" width="12" bestFit="1" customWidth="1"/>
    <col min="23" max="23" width="30.6640625" hidden="1" customWidth="1"/>
    <col min="24" max="24" width="32.6640625" customWidth="1"/>
    <col min="25" max="25" width="8.6640625" customWidth="1"/>
    <col min="26" max="26" width="18.33203125" bestFit="1" customWidth="1"/>
    <col min="27" max="27" width="22.33203125" customWidth="1"/>
  </cols>
  <sheetData>
    <row r="1" spans="1:28" x14ac:dyDescent="0.2">
      <c r="A1" s="4" t="s">
        <v>21</v>
      </c>
    </row>
    <row r="2" spans="1:28" ht="19" x14ac:dyDescent="0.25">
      <c r="A2" s="24" t="s">
        <v>22</v>
      </c>
      <c r="L2" s="257"/>
      <c r="X2" s="357" t="s">
        <v>5314</v>
      </c>
      <c r="AA2" s="127" t="s">
        <v>5305</v>
      </c>
    </row>
    <row r="3" spans="1:28" x14ac:dyDescent="0.2">
      <c r="A3" t="s">
        <v>0</v>
      </c>
      <c r="B3" t="s">
        <v>3820</v>
      </c>
      <c r="C3" t="s">
        <v>4811</v>
      </c>
      <c r="D3" t="s">
        <v>4812</v>
      </c>
      <c r="E3" t="s">
        <v>4813</v>
      </c>
      <c r="F3" t="s">
        <v>5302</v>
      </c>
      <c r="G3" t="s">
        <v>4814</v>
      </c>
      <c r="H3" t="s">
        <v>4815</v>
      </c>
      <c r="I3" t="s">
        <v>4816</v>
      </c>
      <c r="J3" t="s">
        <v>4817</v>
      </c>
      <c r="K3" t="s">
        <v>4818</v>
      </c>
      <c r="L3" t="s">
        <v>4819</v>
      </c>
      <c r="M3" t="s">
        <v>4820</v>
      </c>
      <c r="N3" t="s">
        <v>4821</v>
      </c>
      <c r="O3" t="s">
        <v>4822</v>
      </c>
      <c r="P3" t="s">
        <v>4823</v>
      </c>
      <c r="Q3" t="s">
        <v>4824</v>
      </c>
      <c r="R3" t="s">
        <v>4825</v>
      </c>
      <c r="S3" t="s">
        <v>4826</v>
      </c>
      <c r="T3" t="s">
        <v>4827</v>
      </c>
      <c r="U3" t="s">
        <v>4828</v>
      </c>
      <c r="V3" t="s">
        <v>4829</v>
      </c>
      <c r="W3" t="s">
        <v>5185</v>
      </c>
      <c r="X3" t="s">
        <v>5184</v>
      </c>
      <c r="Y3" t="s">
        <v>1211</v>
      </c>
      <c r="Z3" t="s">
        <v>5306</v>
      </c>
      <c r="AA3" t="s">
        <v>364</v>
      </c>
      <c r="AB3" t="s">
        <v>5299</v>
      </c>
    </row>
    <row r="4" spans="1:28" hidden="1" x14ac:dyDescent="0.2">
      <c r="A4" t="s">
        <v>5303</v>
      </c>
      <c r="B4">
        <v>1060</v>
      </c>
      <c r="C4">
        <v>1406</v>
      </c>
      <c r="D4" t="s">
        <v>5186</v>
      </c>
      <c r="E4" t="s">
        <v>4832</v>
      </c>
      <c r="F4" t="s">
        <v>5187</v>
      </c>
      <c r="G4" t="s">
        <v>1241</v>
      </c>
      <c r="H4">
        <v>32</v>
      </c>
      <c r="I4" t="s">
        <v>5188</v>
      </c>
      <c r="J4">
        <v>4.5999999999999996</v>
      </c>
      <c r="K4" t="s">
        <v>5189</v>
      </c>
      <c r="M4" t="s">
        <v>5190</v>
      </c>
      <c r="N4" t="s">
        <v>4837</v>
      </c>
      <c r="O4" t="s">
        <v>4838</v>
      </c>
      <c r="P4" t="s">
        <v>56</v>
      </c>
      <c r="Q4" t="s">
        <v>4839</v>
      </c>
      <c r="R4">
        <v>1981</v>
      </c>
      <c r="S4">
        <v>1040</v>
      </c>
      <c r="T4">
        <v>1</v>
      </c>
      <c r="U4" t="s">
        <v>4840</v>
      </c>
      <c r="V4">
        <v>2011</v>
      </c>
      <c r="W4">
        <v>85.625</v>
      </c>
      <c r="Y4" s="55">
        <f>Table2929[[#This Row],[total_cost]]/Table2929[[#This Row],[cfa_post]]</f>
        <v>0</v>
      </c>
      <c r="Z4" s="55">
        <f>Table2929[[#This Row],[total_cost]]/INDEX(CPI!$A$3:$C$31,MATCH(Table2929[[#This Row],[start_year]],CPI!$A$3:$A$31,0),3)</f>
        <v>0</v>
      </c>
      <c r="AA4" s="55">
        <f>Table2929[[#This Row],[$/sqft]]/INDEX(CPI!$A$3:$C$31,MATCH(Table2929[[#This Row],[start_year]],CPI!$A$3:$A$31,0),3)</f>
        <v>0</v>
      </c>
      <c r="AB4" s="55" t="s">
        <v>72</v>
      </c>
    </row>
    <row r="5" spans="1:28" hidden="1" x14ac:dyDescent="0.2">
      <c r="A5" t="s">
        <v>5303</v>
      </c>
      <c r="B5">
        <v>1061</v>
      </c>
      <c r="C5">
        <v>1416</v>
      </c>
      <c r="D5" t="s">
        <v>5186</v>
      </c>
      <c r="E5" t="s">
        <v>4832</v>
      </c>
      <c r="F5" t="s">
        <v>5187</v>
      </c>
      <c r="G5" t="s">
        <v>1241</v>
      </c>
      <c r="H5">
        <v>13</v>
      </c>
      <c r="I5" t="s">
        <v>5188</v>
      </c>
      <c r="J5">
        <v>3</v>
      </c>
      <c r="K5" t="s">
        <v>5189</v>
      </c>
      <c r="M5" t="s">
        <v>4849</v>
      </c>
      <c r="N5" t="s">
        <v>4837</v>
      </c>
      <c r="O5" t="s">
        <v>4838</v>
      </c>
      <c r="P5" t="s">
        <v>56</v>
      </c>
      <c r="Q5" t="s">
        <v>4839</v>
      </c>
      <c r="R5">
        <v>1962</v>
      </c>
      <c r="S5">
        <v>1583</v>
      </c>
      <c r="T5">
        <v>1</v>
      </c>
      <c r="U5" t="s">
        <v>4840</v>
      </c>
      <c r="V5">
        <v>2011</v>
      </c>
      <c r="W5">
        <v>76.92307692</v>
      </c>
      <c r="Y5" s="55">
        <f>Table2929[[#This Row],[total_cost]]/Table2929[[#This Row],[cfa_post]]</f>
        <v>0</v>
      </c>
      <c r="Z5" s="55">
        <f>Table2929[[#This Row],[total_cost]]/INDEX(CPI!$A$3:$C$31,MATCH(Table2929[[#This Row],[start_year]],CPI!$A$3:$A$31,0),3)</f>
        <v>0</v>
      </c>
      <c r="AA5" s="55">
        <f>Table2929[[#This Row],[$/sqft]]/INDEX(CPI!$A$3:$C$31,MATCH(Table2929[[#This Row],[start_year]],CPI!$A$3:$A$31,0),3)</f>
        <v>0</v>
      </c>
      <c r="AB5" s="55" t="s">
        <v>72</v>
      </c>
    </row>
    <row r="6" spans="1:28" hidden="1" x14ac:dyDescent="0.2">
      <c r="A6" t="s">
        <v>5303</v>
      </c>
      <c r="B6">
        <v>1062</v>
      </c>
      <c r="C6">
        <v>1428</v>
      </c>
      <c r="D6" t="s">
        <v>5186</v>
      </c>
      <c r="E6" t="s">
        <v>4832</v>
      </c>
      <c r="F6" t="s">
        <v>5187</v>
      </c>
      <c r="G6" t="s">
        <v>1241</v>
      </c>
      <c r="H6">
        <v>13</v>
      </c>
      <c r="I6" t="s">
        <v>5188</v>
      </c>
      <c r="J6">
        <v>57</v>
      </c>
      <c r="K6" t="s">
        <v>5189</v>
      </c>
      <c r="M6" t="s">
        <v>4849</v>
      </c>
      <c r="N6" t="s">
        <v>4837</v>
      </c>
      <c r="O6" t="s">
        <v>4838</v>
      </c>
      <c r="P6" t="s">
        <v>56</v>
      </c>
      <c r="Q6" t="s">
        <v>4839</v>
      </c>
      <c r="R6">
        <v>1964</v>
      </c>
      <c r="S6">
        <v>1608</v>
      </c>
      <c r="T6">
        <v>1</v>
      </c>
      <c r="U6" t="s">
        <v>4840</v>
      </c>
      <c r="V6">
        <v>2011</v>
      </c>
      <c r="W6">
        <v>-338.46153850000002</v>
      </c>
      <c r="Y6" s="55">
        <f>Table2929[[#This Row],[total_cost]]/Table2929[[#This Row],[cfa_post]]</f>
        <v>0</v>
      </c>
      <c r="Z6" s="55">
        <f>Table2929[[#This Row],[total_cost]]/INDEX(CPI!$A$3:$C$31,MATCH(Table2929[[#This Row],[start_year]],CPI!$A$3:$A$31,0),3)</f>
        <v>0</v>
      </c>
      <c r="AA6" s="55">
        <f>Table2929[[#This Row],[$/sqft]]/INDEX(CPI!$A$3:$C$31,MATCH(Table2929[[#This Row],[start_year]],CPI!$A$3:$A$31,0),3)</f>
        <v>0</v>
      </c>
      <c r="AB6" s="55" t="s">
        <v>72</v>
      </c>
    </row>
    <row r="7" spans="1:28" hidden="1" x14ac:dyDescent="0.2">
      <c r="A7" t="s">
        <v>5303</v>
      </c>
      <c r="B7">
        <v>1063</v>
      </c>
      <c r="C7">
        <v>1447</v>
      </c>
      <c r="D7" t="s">
        <v>5186</v>
      </c>
      <c r="E7" t="s">
        <v>4832</v>
      </c>
      <c r="F7" t="s">
        <v>5187</v>
      </c>
      <c r="G7" t="s">
        <v>1241</v>
      </c>
      <c r="H7">
        <v>504</v>
      </c>
      <c r="I7" t="s">
        <v>5191</v>
      </c>
      <c r="J7">
        <v>144</v>
      </c>
      <c r="K7" t="s">
        <v>5192</v>
      </c>
      <c r="N7" t="s">
        <v>4969</v>
      </c>
      <c r="O7" t="s">
        <v>4838</v>
      </c>
      <c r="P7" t="s">
        <v>4844</v>
      </c>
      <c r="Q7" t="s">
        <v>217</v>
      </c>
      <c r="R7">
        <v>1966</v>
      </c>
      <c r="S7">
        <v>5210</v>
      </c>
      <c r="T7">
        <v>2</v>
      </c>
      <c r="U7" t="s">
        <v>4840</v>
      </c>
      <c r="V7">
        <v>2012</v>
      </c>
      <c r="W7">
        <v>71.428571430000005</v>
      </c>
      <c r="Y7" s="55">
        <f>Table2929[[#This Row],[total_cost]]/Table2929[[#This Row],[cfa_post]]</f>
        <v>0</v>
      </c>
      <c r="Z7" s="55">
        <f>Table2929[[#This Row],[total_cost]]/INDEX(CPI!$A$3:$C$31,MATCH(Table2929[[#This Row],[start_year]],CPI!$A$3:$A$31,0),3)</f>
        <v>0</v>
      </c>
      <c r="AA7" s="55">
        <f>Table2929[[#This Row],[$/sqft]]/INDEX(CPI!$A$3:$C$31,MATCH(Table2929[[#This Row],[start_year]],CPI!$A$3:$A$31,0),3)</f>
        <v>0</v>
      </c>
      <c r="AB7" s="55" t="s">
        <v>72</v>
      </c>
    </row>
    <row r="8" spans="1:28" hidden="1" x14ac:dyDescent="0.2">
      <c r="A8" t="s">
        <v>5303</v>
      </c>
      <c r="B8">
        <v>1064</v>
      </c>
      <c r="C8">
        <v>1462</v>
      </c>
      <c r="D8" t="s">
        <v>5186</v>
      </c>
      <c r="E8" t="s">
        <v>4832</v>
      </c>
      <c r="F8" t="s">
        <v>5187</v>
      </c>
      <c r="G8" t="s">
        <v>1241</v>
      </c>
      <c r="H8">
        <v>568</v>
      </c>
      <c r="I8" t="s">
        <v>5191</v>
      </c>
      <c r="J8">
        <v>163</v>
      </c>
      <c r="K8" t="s">
        <v>5192</v>
      </c>
      <c r="N8" t="s">
        <v>4969</v>
      </c>
      <c r="O8" t="s">
        <v>4838</v>
      </c>
      <c r="P8" t="s">
        <v>4844</v>
      </c>
      <c r="Q8" t="s">
        <v>4872</v>
      </c>
      <c r="R8">
        <v>1970</v>
      </c>
      <c r="S8">
        <v>2448</v>
      </c>
      <c r="T8">
        <v>1</v>
      </c>
      <c r="U8" t="s">
        <v>4840</v>
      </c>
      <c r="V8">
        <v>2011</v>
      </c>
      <c r="W8">
        <v>71.302816899999996</v>
      </c>
      <c r="Y8" s="55">
        <f>Table2929[[#This Row],[total_cost]]/Table2929[[#This Row],[cfa_post]]</f>
        <v>0</v>
      </c>
      <c r="Z8" s="55">
        <f>Table2929[[#This Row],[total_cost]]/INDEX(CPI!$A$3:$C$31,MATCH(Table2929[[#This Row],[start_year]],CPI!$A$3:$A$31,0),3)</f>
        <v>0</v>
      </c>
      <c r="AA8" s="55">
        <f>Table2929[[#This Row],[$/sqft]]/INDEX(CPI!$A$3:$C$31,MATCH(Table2929[[#This Row],[start_year]],CPI!$A$3:$A$31,0),3)</f>
        <v>0</v>
      </c>
      <c r="AB8" s="55" t="s">
        <v>72</v>
      </c>
    </row>
    <row r="9" spans="1:28" hidden="1" x14ac:dyDescent="0.2">
      <c r="A9" t="s">
        <v>5303</v>
      </c>
      <c r="B9">
        <v>1066</v>
      </c>
      <c r="C9">
        <v>1502</v>
      </c>
      <c r="D9" t="s">
        <v>5186</v>
      </c>
      <c r="E9" t="s">
        <v>4832</v>
      </c>
      <c r="F9" t="s">
        <v>5187</v>
      </c>
      <c r="G9" t="s">
        <v>1241</v>
      </c>
      <c r="H9">
        <v>90</v>
      </c>
      <c r="I9" t="s">
        <v>5192</v>
      </c>
      <c r="N9" t="s">
        <v>4969</v>
      </c>
      <c r="O9" t="s">
        <v>4838</v>
      </c>
      <c r="P9" t="s">
        <v>4844</v>
      </c>
      <c r="Q9" t="s">
        <v>217</v>
      </c>
      <c r="R9">
        <v>1940</v>
      </c>
      <c r="S9">
        <v>1769</v>
      </c>
      <c r="T9">
        <v>2</v>
      </c>
      <c r="U9" t="s">
        <v>4840</v>
      </c>
      <c r="V9">
        <v>2011</v>
      </c>
      <c r="Y9" s="55">
        <f>Table2929[[#This Row],[total_cost]]/Table2929[[#This Row],[cfa_post]]</f>
        <v>0</v>
      </c>
      <c r="Z9" s="55">
        <f>Table2929[[#This Row],[total_cost]]/INDEX(CPI!$A$3:$C$31,MATCH(Table2929[[#This Row],[start_year]],CPI!$A$3:$A$31,0),3)</f>
        <v>0</v>
      </c>
      <c r="AA9" s="55">
        <f>Table2929[[#This Row],[$/sqft]]/INDEX(CPI!$A$3:$C$31,MATCH(Table2929[[#This Row],[start_year]],CPI!$A$3:$A$31,0),3)</f>
        <v>0</v>
      </c>
      <c r="AB9" s="55" t="s">
        <v>72</v>
      </c>
    </row>
    <row r="10" spans="1:28" hidden="1" x14ac:dyDescent="0.2">
      <c r="A10" t="s">
        <v>5303</v>
      </c>
      <c r="B10">
        <v>1067</v>
      </c>
      <c r="C10">
        <v>1516</v>
      </c>
      <c r="D10" t="s">
        <v>5186</v>
      </c>
      <c r="E10" t="s">
        <v>4832</v>
      </c>
      <c r="F10" t="s">
        <v>5187</v>
      </c>
      <c r="G10" t="s">
        <v>1241</v>
      </c>
      <c r="H10">
        <v>74</v>
      </c>
      <c r="I10" t="s">
        <v>5192</v>
      </c>
      <c r="N10" t="s">
        <v>4969</v>
      </c>
      <c r="O10" t="s">
        <v>4838</v>
      </c>
      <c r="P10" t="s">
        <v>4844</v>
      </c>
      <c r="Q10" t="s">
        <v>4872</v>
      </c>
      <c r="R10">
        <v>1909</v>
      </c>
      <c r="S10">
        <v>2295</v>
      </c>
      <c r="T10">
        <v>2</v>
      </c>
      <c r="U10" t="s">
        <v>4840</v>
      </c>
      <c r="V10">
        <v>2011</v>
      </c>
      <c r="Y10" s="55">
        <f>Table2929[[#This Row],[total_cost]]/Table2929[[#This Row],[cfa_post]]</f>
        <v>0</v>
      </c>
      <c r="Z10" s="55">
        <f>Table2929[[#This Row],[total_cost]]/INDEX(CPI!$A$3:$C$31,MATCH(Table2929[[#This Row],[start_year]],CPI!$A$3:$A$31,0),3)</f>
        <v>0</v>
      </c>
      <c r="AA10" s="55">
        <f>Table2929[[#This Row],[$/sqft]]/INDEX(CPI!$A$3:$C$31,MATCH(Table2929[[#This Row],[start_year]],CPI!$A$3:$A$31,0),3)</f>
        <v>0</v>
      </c>
      <c r="AB10" s="55" t="s">
        <v>72</v>
      </c>
    </row>
    <row r="11" spans="1:28" hidden="1" x14ac:dyDescent="0.2">
      <c r="A11" t="s">
        <v>5303</v>
      </c>
      <c r="B11">
        <v>1070</v>
      </c>
      <c r="C11">
        <v>1550</v>
      </c>
      <c r="D11" t="s">
        <v>5186</v>
      </c>
      <c r="E11" t="s">
        <v>4832</v>
      </c>
      <c r="F11" t="s">
        <v>5187</v>
      </c>
      <c r="G11" t="s">
        <v>1241</v>
      </c>
      <c r="H11">
        <v>785</v>
      </c>
      <c r="I11" t="s">
        <v>5191</v>
      </c>
      <c r="J11">
        <v>267</v>
      </c>
      <c r="K11" t="s">
        <v>5192</v>
      </c>
      <c r="N11" t="s">
        <v>5006</v>
      </c>
      <c r="O11" t="s">
        <v>4838</v>
      </c>
      <c r="P11" t="s">
        <v>4844</v>
      </c>
      <c r="Q11" t="s">
        <v>16</v>
      </c>
      <c r="R11">
        <v>1920</v>
      </c>
      <c r="S11">
        <v>3050</v>
      </c>
      <c r="T11">
        <v>2</v>
      </c>
      <c r="U11" t="s">
        <v>4840</v>
      </c>
      <c r="V11">
        <v>2011</v>
      </c>
      <c r="W11">
        <v>65.987261149999995</v>
      </c>
      <c r="Y11" s="55">
        <f>Table2929[[#This Row],[total_cost]]/Table2929[[#This Row],[cfa_post]]</f>
        <v>0</v>
      </c>
      <c r="Z11" s="55">
        <f>Table2929[[#This Row],[total_cost]]/INDEX(CPI!$A$3:$C$31,MATCH(Table2929[[#This Row],[start_year]],CPI!$A$3:$A$31,0),3)</f>
        <v>0</v>
      </c>
      <c r="AA11" s="55">
        <f>Table2929[[#This Row],[$/sqft]]/INDEX(CPI!$A$3:$C$31,MATCH(Table2929[[#This Row],[start_year]],CPI!$A$3:$A$31,0),3)</f>
        <v>0</v>
      </c>
      <c r="AB11" s="55" t="s">
        <v>72</v>
      </c>
    </row>
    <row r="12" spans="1:28" hidden="1" x14ac:dyDescent="0.2">
      <c r="A12" t="s">
        <v>5303</v>
      </c>
      <c r="B12">
        <v>1070</v>
      </c>
      <c r="C12">
        <v>1551</v>
      </c>
      <c r="D12" t="s">
        <v>5186</v>
      </c>
      <c r="E12" t="s">
        <v>4832</v>
      </c>
      <c r="F12" t="s">
        <v>5187</v>
      </c>
      <c r="G12" t="s">
        <v>1241</v>
      </c>
      <c r="H12">
        <v>291</v>
      </c>
      <c r="I12" t="s">
        <v>5191</v>
      </c>
      <c r="J12">
        <v>0</v>
      </c>
      <c r="K12" t="s">
        <v>5192</v>
      </c>
      <c r="N12" t="s">
        <v>5006</v>
      </c>
      <c r="O12" t="s">
        <v>4838</v>
      </c>
      <c r="P12" t="s">
        <v>4844</v>
      </c>
      <c r="Q12" t="s">
        <v>16</v>
      </c>
      <c r="R12">
        <v>1920</v>
      </c>
      <c r="S12">
        <v>3050</v>
      </c>
      <c r="T12">
        <v>2</v>
      </c>
      <c r="U12" t="s">
        <v>4840</v>
      </c>
      <c r="V12">
        <v>2011</v>
      </c>
      <c r="W12">
        <v>100</v>
      </c>
      <c r="Y12" s="55">
        <f>Table2929[[#This Row],[total_cost]]/Table2929[[#This Row],[cfa_post]]</f>
        <v>0</v>
      </c>
      <c r="Z12" s="55">
        <f>Table2929[[#This Row],[total_cost]]/INDEX(CPI!$A$3:$C$31,MATCH(Table2929[[#This Row],[start_year]],CPI!$A$3:$A$31,0),3)</f>
        <v>0</v>
      </c>
      <c r="AA12" s="55">
        <f>Table2929[[#This Row],[$/sqft]]/INDEX(CPI!$A$3:$C$31,MATCH(Table2929[[#This Row],[start_year]],CPI!$A$3:$A$31,0),3)</f>
        <v>0</v>
      </c>
      <c r="AB12" s="55" t="s">
        <v>72</v>
      </c>
    </row>
    <row r="13" spans="1:28" hidden="1" x14ac:dyDescent="0.2">
      <c r="A13" t="s">
        <v>5303</v>
      </c>
      <c r="B13">
        <v>1071</v>
      </c>
      <c r="C13">
        <v>1568</v>
      </c>
      <c r="D13" t="s">
        <v>5186</v>
      </c>
      <c r="E13" t="s">
        <v>4832</v>
      </c>
      <c r="F13" t="s">
        <v>5187</v>
      </c>
      <c r="G13" t="s">
        <v>1241</v>
      </c>
      <c r="H13">
        <v>1143</v>
      </c>
      <c r="I13" t="s">
        <v>5192</v>
      </c>
      <c r="N13" t="s">
        <v>5006</v>
      </c>
      <c r="O13" t="s">
        <v>4838</v>
      </c>
      <c r="P13" t="s">
        <v>4844</v>
      </c>
      <c r="Q13" t="s">
        <v>16</v>
      </c>
      <c r="R13">
        <v>1920</v>
      </c>
      <c r="S13">
        <v>3380</v>
      </c>
      <c r="T13">
        <v>1</v>
      </c>
      <c r="U13" t="s">
        <v>4840</v>
      </c>
      <c r="V13">
        <v>2011</v>
      </c>
      <c r="Y13" s="55">
        <f>Table2929[[#This Row],[total_cost]]/Table2929[[#This Row],[cfa_post]]</f>
        <v>0</v>
      </c>
      <c r="Z13" s="55">
        <f>Table2929[[#This Row],[total_cost]]/INDEX(CPI!$A$3:$C$31,MATCH(Table2929[[#This Row],[start_year]],CPI!$A$3:$A$31,0),3)</f>
        <v>0</v>
      </c>
      <c r="AA13" s="55">
        <f>Table2929[[#This Row],[$/sqft]]/INDEX(CPI!$A$3:$C$31,MATCH(Table2929[[#This Row],[start_year]],CPI!$A$3:$A$31,0),3)</f>
        <v>0</v>
      </c>
      <c r="AB13" s="55" t="s">
        <v>72</v>
      </c>
    </row>
    <row r="14" spans="1:28" hidden="1" x14ac:dyDescent="0.2">
      <c r="A14" t="s">
        <v>5303</v>
      </c>
      <c r="B14">
        <v>1071</v>
      </c>
      <c r="C14">
        <v>1569</v>
      </c>
      <c r="D14" t="s">
        <v>5186</v>
      </c>
      <c r="E14" t="s">
        <v>4832</v>
      </c>
      <c r="F14" t="s">
        <v>5187</v>
      </c>
      <c r="G14" t="s">
        <v>1241</v>
      </c>
      <c r="H14">
        <v>160</v>
      </c>
      <c r="I14" t="s">
        <v>5192</v>
      </c>
      <c r="N14" t="s">
        <v>5006</v>
      </c>
      <c r="O14" t="s">
        <v>4838</v>
      </c>
      <c r="P14" t="s">
        <v>4844</v>
      </c>
      <c r="Q14" t="s">
        <v>16</v>
      </c>
      <c r="R14">
        <v>1920</v>
      </c>
      <c r="S14">
        <v>3380</v>
      </c>
      <c r="T14">
        <v>1</v>
      </c>
      <c r="U14" t="s">
        <v>4840</v>
      </c>
      <c r="V14">
        <v>2011</v>
      </c>
      <c r="Y14" s="55">
        <f>Table2929[[#This Row],[total_cost]]/Table2929[[#This Row],[cfa_post]]</f>
        <v>0</v>
      </c>
      <c r="Z14" s="55">
        <f>Table2929[[#This Row],[total_cost]]/INDEX(CPI!$A$3:$C$31,MATCH(Table2929[[#This Row],[start_year]],CPI!$A$3:$A$31,0),3)</f>
        <v>0</v>
      </c>
      <c r="AA14" s="55">
        <f>Table2929[[#This Row],[$/sqft]]/INDEX(CPI!$A$3:$C$31,MATCH(Table2929[[#This Row],[start_year]],CPI!$A$3:$A$31,0),3)</f>
        <v>0</v>
      </c>
      <c r="AB14" s="55" t="s">
        <v>72</v>
      </c>
    </row>
    <row r="15" spans="1:28" hidden="1" x14ac:dyDescent="0.2">
      <c r="A15" t="s">
        <v>5303</v>
      </c>
      <c r="B15">
        <v>1074</v>
      </c>
      <c r="C15">
        <v>1613</v>
      </c>
      <c r="D15" t="s">
        <v>5186</v>
      </c>
      <c r="E15" t="s">
        <v>4832</v>
      </c>
      <c r="F15" t="s">
        <v>5187</v>
      </c>
      <c r="G15" t="s">
        <v>1241</v>
      </c>
      <c r="H15">
        <v>1254</v>
      </c>
      <c r="I15" t="s">
        <v>5191</v>
      </c>
      <c r="J15">
        <v>60</v>
      </c>
      <c r="K15" t="s">
        <v>5192</v>
      </c>
      <c r="N15" t="s">
        <v>5006</v>
      </c>
      <c r="O15" t="s">
        <v>4838</v>
      </c>
      <c r="P15" t="s">
        <v>4844</v>
      </c>
      <c r="Q15" t="s">
        <v>16</v>
      </c>
      <c r="R15">
        <v>1920</v>
      </c>
      <c r="S15">
        <v>2990</v>
      </c>
      <c r="T15">
        <v>1</v>
      </c>
      <c r="U15" t="s">
        <v>4840</v>
      </c>
      <c r="V15">
        <v>2011</v>
      </c>
      <c r="W15">
        <v>95.215311</v>
      </c>
      <c r="Y15" s="55">
        <f>Table2929[[#This Row],[total_cost]]/Table2929[[#This Row],[cfa_post]]</f>
        <v>0</v>
      </c>
      <c r="Z15" s="55">
        <f>Table2929[[#This Row],[total_cost]]/INDEX(CPI!$A$3:$C$31,MATCH(Table2929[[#This Row],[start_year]],CPI!$A$3:$A$31,0),3)</f>
        <v>0</v>
      </c>
      <c r="AA15" s="55">
        <f>Table2929[[#This Row],[$/sqft]]/INDEX(CPI!$A$3:$C$31,MATCH(Table2929[[#This Row],[start_year]],CPI!$A$3:$A$31,0),3)</f>
        <v>0</v>
      </c>
      <c r="AB15" s="55" t="s">
        <v>72</v>
      </c>
    </row>
    <row r="16" spans="1:28" hidden="1" x14ac:dyDescent="0.2">
      <c r="A16" t="s">
        <v>5303</v>
      </c>
      <c r="B16">
        <v>1075</v>
      </c>
      <c r="C16">
        <v>1621</v>
      </c>
      <c r="D16" t="s">
        <v>5186</v>
      </c>
      <c r="E16" t="s">
        <v>4832</v>
      </c>
      <c r="F16" t="s">
        <v>5187</v>
      </c>
      <c r="G16" t="s">
        <v>1241</v>
      </c>
      <c r="H16">
        <v>530</v>
      </c>
      <c r="I16" t="s">
        <v>5191</v>
      </c>
      <c r="J16">
        <v>110</v>
      </c>
      <c r="K16" t="s">
        <v>5192</v>
      </c>
      <c r="N16" t="s">
        <v>5006</v>
      </c>
      <c r="O16" t="s">
        <v>4838</v>
      </c>
      <c r="P16" t="s">
        <v>4844</v>
      </c>
      <c r="Q16" t="s">
        <v>4839</v>
      </c>
      <c r="R16">
        <v>1985</v>
      </c>
      <c r="S16">
        <v>1710</v>
      </c>
      <c r="T16">
        <v>2</v>
      </c>
      <c r="U16" t="s">
        <v>5019</v>
      </c>
      <c r="V16">
        <v>2011</v>
      </c>
      <c r="W16">
        <v>79.245283020000002</v>
      </c>
      <c r="Y16" s="55">
        <f>Table2929[[#This Row],[total_cost]]/Table2929[[#This Row],[cfa_post]]</f>
        <v>0</v>
      </c>
      <c r="Z16" s="55">
        <f>Table2929[[#This Row],[total_cost]]/INDEX(CPI!$A$3:$C$31,MATCH(Table2929[[#This Row],[start_year]],CPI!$A$3:$A$31,0),3)</f>
        <v>0</v>
      </c>
      <c r="AA16" s="55">
        <f>Table2929[[#This Row],[$/sqft]]/INDEX(CPI!$A$3:$C$31,MATCH(Table2929[[#This Row],[start_year]],CPI!$A$3:$A$31,0),3)</f>
        <v>0</v>
      </c>
      <c r="AB16" s="55" t="s">
        <v>72</v>
      </c>
    </row>
    <row r="17" spans="1:28" hidden="1" x14ac:dyDescent="0.2">
      <c r="A17" t="s">
        <v>5303</v>
      </c>
      <c r="B17">
        <v>1076</v>
      </c>
      <c r="C17">
        <v>1635</v>
      </c>
      <c r="D17" t="s">
        <v>5186</v>
      </c>
      <c r="E17" t="s">
        <v>4832</v>
      </c>
      <c r="F17" t="s">
        <v>5187</v>
      </c>
      <c r="G17" t="s">
        <v>1241</v>
      </c>
      <c r="H17">
        <v>105</v>
      </c>
      <c r="I17" t="s">
        <v>5191</v>
      </c>
      <c r="J17">
        <v>0</v>
      </c>
      <c r="K17" t="s">
        <v>5192</v>
      </c>
      <c r="N17" t="s">
        <v>5006</v>
      </c>
      <c r="O17" t="s">
        <v>4838</v>
      </c>
      <c r="P17" t="s">
        <v>4844</v>
      </c>
      <c r="Q17" t="s">
        <v>217</v>
      </c>
      <c r="R17">
        <v>1970</v>
      </c>
      <c r="S17">
        <v>3170</v>
      </c>
      <c r="T17">
        <v>2</v>
      </c>
      <c r="U17" t="s">
        <v>4840</v>
      </c>
      <c r="V17">
        <v>2011</v>
      </c>
      <c r="W17">
        <v>100</v>
      </c>
      <c r="Y17" s="55">
        <f>Table2929[[#This Row],[total_cost]]/Table2929[[#This Row],[cfa_post]]</f>
        <v>0</v>
      </c>
      <c r="Z17" s="55">
        <f>Table2929[[#This Row],[total_cost]]/INDEX(CPI!$A$3:$C$31,MATCH(Table2929[[#This Row],[start_year]],CPI!$A$3:$A$31,0),3)</f>
        <v>0</v>
      </c>
      <c r="AA17" s="55">
        <f>Table2929[[#This Row],[$/sqft]]/INDEX(CPI!$A$3:$C$31,MATCH(Table2929[[#This Row],[start_year]],CPI!$A$3:$A$31,0),3)</f>
        <v>0</v>
      </c>
      <c r="AB17" s="55" t="s">
        <v>72</v>
      </c>
    </row>
    <row r="18" spans="1:28" hidden="1" x14ac:dyDescent="0.2">
      <c r="A18" t="s">
        <v>5303</v>
      </c>
      <c r="B18">
        <v>1076</v>
      </c>
      <c r="C18">
        <v>1636</v>
      </c>
      <c r="D18" t="s">
        <v>5186</v>
      </c>
      <c r="E18" t="s">
        <v>4832</v>
      </c>
      <c r="F18" t="s">
        <v>5187</v>
      </c>
      <c r="G18" t="s">
        <v>1241</v>
      </c>
      <c r="H18">
        <v>677</v>
      </c>
      <c r="I18" t="s">
        <v>5191</v>
      </c>
      <c r="J18">
        <v>708</v>
      </c>
      <c r="K18" t="s">
        <v>5192</v>
      </c>
      <c r="N18" t="s">
        <v>5006</v>
      </c>
      <c r="O18" t="s">
        <v>4838</v>
      </c>
      <c r="P18" t="s">
        <v>4844</v>
      </c>
      <c r="Q18" t="s">
        <v>217</v>
      </c>
      <c r="R18">
        <v>1970</v>
      </c>
      <c r="S18">
        <v>3170</v>
      </c>
      <c r="T18">
        <v>2</v>
      </c>
      <c r="U18" t="s">
        <v>4840</v>
      </c>
      <c r="V18">
        <v>2011</v>
      </c>
      <c r="W18">
        <v>-4.579025111</v>
      </c>
      <c r="Y18" s="55">
        <f>Table2929[[#This Row],[total_cost]]/Table2929[[#This Row],[cfa_post]]</f>
        <v>0</v>
      </c>
      <c r="Z18" s="55">
        <f>Table2929[[#This Row],[total_cost]]/INDEX(CPI!$A$3:$C$31,MATCH(Table2929[[#This Row],[start_year]],CPI!$A$3:$A$31,0),3)</f>
        <v>0</v>
      </c>
      <c r="AA18" s="55">
        <f>Table2929[[#This Row],[$/sqft]]/INDEX(CPI!$A$3:$C$31,MATCH(Table2929[[#This Row],[start_year]],CPI!$A$3:$A$31,0),3)</f>
        <v>0</v>
      </c>
      <c r="AB18" s="55" t="s">
        <v>72</v>
      </c>
    </row>
    <row r="19" spans="1:28" hidden="1" x14ac:dyDescent="0.2">
      <c r="A19" t="s">
        <v>5303</v>
      </c>
      <c r="B19">
        <v>1077</v>
      </c>
      <c r="C19">
        <v>1639</v>
      </c>
      <c r="D19" t="s">
        <v>5186</v>
      </c>
      <c r="E19" t="s">
        <v>4832</v>
      </c>
      <c r="F19" t="s">
        <v>5187</v>
      </c>
      <c r="G19" t="s">
        <v>1241</v>
      </c>
      <c r="H19">
        <v>266</v>
      </c>
      <c r="I19" t="s">
        <v>5191</v>
      </c>
      <c r="J19">
        <v>160</v>
      </c>
      <c r="K19" t="s">
        <v>5192</v>
      </c>
      <c r="N19" t="s">
        <v>5006</v>
      </c>
      <c r="O19" t="s">
        <v>4838</v>
      </c>
      <c r="P19" t="s">
        <v>4844</v>
      </c>
      <c r="Q19" t="s">
        <v>16</v>
      </c>
      <c r="R19">
        <v>1955</v>
      </c>
      <c r="S19">
        <v>1320</v>
      </c>
      <c r="T19">
        <v>1</v>
      </c>
      <c r="U19" t="s">
        <v>4840</v>
      </c>
      <c r="V19">
        <v>2011</v>
      </c>
      <c r="W19">
        <v>39.849624059999996</v>
      </c>
      <c r="Y19" s="55">
        <f>Table2929[[#This Row],[total_cost]]/Table2929[[#This Row],[cfa_post]]</f>
        <v>0</v>
      </c>
      <c r="Z19" s="55">
        <f>Table2929[[#This Row],[total_cost]]/INDEX(CPI!$A$3:$C$31,MATCH(Table2929[[#This Row],[start_year]],CPI!$A$3:$A$31,0),3)</f>
        <v>0</v>
      </c>
      <c r="AA19" s="55">
        <f>Table2929[[#This Row],[$/sqft]]/INDEX(CPI!$A$3:$C$31,MATCH(Table2929[[#This Row],[start_year]],CPI!$A$3:$A$31,0),3)</f>
        <v>0</v>
      </c>
      <c r="AB19" s="55" t="s">
        <v>72</v>
      </c>
    </row>
    <row r="20" spans="1:28" hidden="1" x14ac:dyDescent="0.2">
      <c r="A20" t="s">
        <v>5303</v>
      </c>
      <c r="B20">
        <v>1087</v>
      </c>
      <c r="C20">
        <v>1785</v>
      </c>
      <c r="D20" t="s">
        <v>5186</v>
      </c>
      <c r="E20" t="s">
        <v>4832</v>
      </c>
      <c r="F20" t="s">
        <v>5187</v>
      </c>
      <c r="G20" t="s">
        <v>1241</v>
      </c>
      <c r="M20" t="s">
        <v>5005</v>
      </c>
      <c r="N20" t="s">
        <v>5006</v>
      </c>
      <c r="O20" t="s">
        <v>4838</v>
      </c>
      <c r="R20">
        <v>1836</v>
      </c>
      <c r="S20">
        <v>3200</v>
      </c>
      <c r="U20" t="s">
        <v>5007</v>
      </c>
      <c r="V20">
        <v>2019</v>
      </c>
      <c r="Y20" s="55">
        <f>Table2929[[#This Row],[total_cost]]/Table2929[[#This Row],[cfa_post]]</f>
        <v>0</v>
      </c>
      <c r="Z20" s="55">
        <f>Table2929[[#This Row],[total_cost]]/INDEX(CPI!$A$3:$C$31,MATCH(Table2929[[#This Row],[start_year]],CPI!$A$3:$A$31,0),3)</f>
        <v>0</v>
      </c>
      <c r="AA20" s="55">
        <f>Table2929[[#This Row],[$/sqft]]/INDEX(CPI!$A$3:$C$31,MATCH(Table2929[[#This Row],[start_year]],CPI!$A$3:$A$31,0),3)</f>
        <v>0</v>
      </c>
      <c r="AB20" s="55" t="s">
        <v>72</v>
      </c>
    </row>
    <row r="21" spans="1:28" hidden="1" x14ac:dyDescent="0.2">
      <c r="A21" t="s">
        <v>5303</v>
      </c>
      <c r="B21">
        <v>1133</v>
      </c>
      <c r="C21">
        <v>2127</v>
      </c>
      <c r="D21" t="s">
        <v>5186</v>
      </c>
      <c r="E21" t="s">
        <v>4832</v>
      </c>
      <c r="F21" t="s">
        <v>5187</v>
      </c>
      <c r="G21" t="s">
        <v>1241</v>
      </c>
      <c r="L21">
        <v>375</v>
      </c>
      <c r="M21" t="s">
        <v>5020</v>
      </c>
      <c r="N21" t="s">
        <v>4857</v>
      </c>
      <c r="O21" t="s">
        <v>4838</v>
      </c>
      <c r="P21" t="s">
        <v>4844</v>
      </c>
      <c r="Q21" t="s">
        <v>16</v>
      </c>
      <c r="R21">
        <v>2005</v>
      </c>
      <c r="S21">
        <v>3139</v>
      </c>
      <c r="U21" t="s">
        <v>4840</v>
      </c>
      <c r="V21">
        <v>2011</v>
      </c>
      <c r="X21" t="str">
        <f>IF(Table2929[[#This Row],[performance_2]]&lt;&gt;"", IF(Table2929[[#This Row],[performance_1]]&lt;&gt;"",(Table2929[[#This Row],[performance_1]]-Table2929[[#This Row],[performance_2]])/Table2929[[#This Row],[performance_1]],""), "")</f>
        <v/>
      </c>
      <c r="Y21" s="55">
        <f>Table2929[[#This Row],[total_cost]]/Table2929[[#This Row],[cfa_post]]</f>
        <v>0.11946479770627588</v>
      </c>
      <c r="Z21" s="55">
        <f>Table2929[[#This Row],[total_cost]]/INDEX(CPI!$A$3:$C$31,MATCH(Table2929[[#This Row],[start_year]],CPI!$A$3:$A$31,0),3)</f>
        <v>506.97077874445966</v>
      </c>
      <c r="AA21" s="55">
        <f>Table2929[[#This Row],[$/sqft]]/INDEX(CPI!$A$3:$C$31,MATCH(Table2929[[#This Row],[start_year]],CPI!$A$3:$A$31,0),3)</f>
        <v>0.16150709740186672</v>
      </c>
      <c r="AB21" s="55" t="s">
        <v>72</v>
      </c>
    </row>
    <row r="22" spans="1:28" hidden="1" x14ac:dyDescent="0.2">
      <c r="A22" t="s">
        <v>5303</v>
      </c>
      <c r="B22">
        <v>1133</v>
      </c>
      <c r="C22">
        <v>2128</v>
      </c>
      <c r="D22" t="s">
        <v>5186</v>
      </c>
      <c r="E22" t="s">
        <v>4832</v>
      </c>
      <c r="F22" t="s">
        <v>5187</v>
      </c>
      <c r="G22" t="s">
        <v>1241</v>
      </c>
      <c r="L22">
        <v>1800</v>
      </c>
      <c r="M22" t="s">
        <v>5020</v>
      </c>
      <c r="N22" t="s">
        <v>4857</v>
      </c>
      <c r="O22" t="s">
        <v>4838</v>
      </c>
      <c r="P22" t="s">
        <v>4844</v>
      </c>
      <c r="Q22" t="s">
        <v>16</v>
      </c>
      <c r="R22">
        <v>2005</v>
      </c>
      <c r="S22">
        <v>3139</v>
      </c>
      <c r="U22" t="s">
        <v>4840</v>
      </c>
      <c r="V22">
        <v>2011</v>
      </c>
      <c r="X22" t="str">
        <f>IF(Table2929[[#This Row],[performance_2]]&lt;&gt;"", IF(Table2929[[#This Row],[performance_1]]&lt;&gt;"",(Table2929[[#This Row],[performance_1]]-Table2929[[#This Row],[performance_2]])/Table2929[[#This Row],[performance_1]],""), "")</f>
        <v/>
      </c>
      <c r="Y22" s="55">
        <f>Table2929[[#This Row],[total_cost]]/Table2929[[#This Row],[cfa_post]]</f>
        <v>0.57343102899012421</v>
      </c>
      <c r="Z22" s="55">
        <f>Table2929[[#This Row],[total_cost]]/INDEX(CPI!$A$3:$C$31,MATCH(Table2929[[#This Row],[start_year]],CPI!$A$3:$A$31,0),3)</f>
        <v>2433.4597379734064</v>
      </c>
      <c r="AA22" s="55">
        <f>Table2929[[#This Row],[$/sqft]]/INDEX(CPI!$A$3:$C$31,MATCH(Table2929[[#This Row],[start_year]],CPI!$A$3:$A$31,0),3)</f>
        <v>0.77523406752896018</v>
      </c>
      <c r="AB22" s="55" t="s">
        <v>72</v>
      </c>
    </row>
    <row r="23" spans="1:28" hidden="1" x14ac:dyDescent="0.2">
      <c r="A23" t="s">
        <v>5303</v>
      </c>
      <c r="B23">
        <v>1146</v>
      </c>
      <c r="C23">
        <v>2273</v>
      </c>
      <c r="D23" t="s">
        <v>5186</v>
      </c>
      <c r="E23" t="s">
        <v>4832</v>
      </c>
      <c r="F23" t="s">
        <v>5187</v>
      </c>
      <c r="G23" t="s">
        <v>5193</v>
      </c>
      <c r="M23" t="s">
        <v>5021</v>
      </c>
      <c r="N23" t="s">
        <v>4857</v>
      </c>
      <c r="V23">
        <v>2018</v>
      </c>
      <c r="Y23" s="55" t="e">
        <f>Table2929[[#This Row],[total_cost]]/Table2929[[#This Row],[cfa_post]]</f>
        <v>#DIV/0!</v>
      </c>
      <c r="Z23" s="55">
        <f>Table2929[[#This Row],[total_cost]]/INDEX(CPI!$A$3:$C$31,MATCH(Table2929[[#This Row],[start_year]],CPI!$A$3:$A$31,0),3)</f>
        <v>0</v>
      </c>
      <c r="AA23" s="55" t="e">
        <f>Table2929[[#This Row],[$/sqft]]/INDEX(CPI!$A$3:$C$31,MATCH(Table2929[[#This Row],[start_year]],CPI!$A$3:$A$31,0),3)</f>
        <v>#DIV/0!</v>
      </c>
      <c r="AB23" s="55" t="s">
        <v>72</v>
      </c>
    </row>
    <row r="24" spans="1:28" hidden="1" x14ac:dyDescent="0.2">
      <c r="A24" t="s">
        <v>5303</v>
      </c>
      <c r="B24">
        <v>1148</v>
      </c>
      <c r="C24">
        <v>2288</v>
      </c>
      <c r="D24" t="s">
        <v>5186</v>
      </c>
      <c r="E24" t="s">
        <v>4832</v>
      </c>
      <c r="F24" t="s">
        <v>5187</v>
      </c>
      <c r="G24" t="s">
        <v>1241</v>
      </c>
      <c r="M24" t="s">
        <v>5021</v>
      </c>
      <c r="N24" t="s">
        <v>4857</v>
      </c>
      <c r="U24" t="s">
        <v>4907</v>
      </c>
      <c r="V24">
        <v>2018</v>
      </c>
      <c r="Y24" s="55" t="e">
        <f>Table2929[[#This Row],[total_cost]]/Table2929[[#This Row],[cfa_post]]</f>
        <v>#DIV/0!</v>
      </c>
      <c r="Z24" s="55">
        <f>Table2929[[#This Row],[total_cost]]/INDEX(CPI!$A$3:$C$31,MATCH(Table2929[[#This Row],[start_year]],CPI!$A$3:$A$31,0),3)</f>
        <v>0</v>
      </c>
      <c r="AA24" s="55" t="e">
        <f>Table2929[[#This Row],[$/sqft]]/INDEX(CPI!$A$3:$C$31,MATCH(Table2929[[#This Row],[start_year]],CPI!$A$3:$A$31,0),3)</f>
        <v>#DIV/0!</v>
      </c>
      <c r="AB24" s="55" t="s">
        <v>72</v>
      </c>
    </row>
    <row r="25" spans="1:28" hidden="1" x14ac:dyDescent="0.2">
      <c r="A25" t="s">
        <v>5303</v>
      </c>
      <c r="B25">
        <v>1163</v>
      </c>
      <c r="C25">
        <v>2455</v>
      </c>
      <c r="D25" t="s">
        <v>5186</v>
      </c>
      <c r="E25" t="s">
        <v>4832</v>
      </c>
      <c r="F25" t="s">
        <v>5187</v>
      </c>
      <c r="G25" t="s">
        <v>1241</v>
      </c>
      <c r="L25">
        <v>1829</v>
      </c>
      <c r="M25" t="s">
        <v>5021</v>
      </c>
      <c r="N25" t="s">
        <v>4857</v>
      </c>
      <c r="O25" t="s">
        <v>4838</v>
      </c>
      <c r="P25" t="s">
        <v>4844</v>
      </c>
      <c r="R25">
        <v>1970</v>
      </c>
      <c r="S25">
        <v>2335</v>
      </c>
      <c r="U25" t="s">
        <v>4840</v>
      </c>
      <c r="V25">
        <v>2018</v>
      </c>
      <c r="X25" t="str">
        <f>IF(Table2929[[#This Row],[performance_2]]&lt;&gt;"", IF(Table2929[[#This Row],[performance_1]]&lt;&gt;"",(Table2929[[#This Row],[performance_1]]-Table2929[[#This Row],[performance_2]])/Table2929[[#This Row],[performance_1]],""), "")</f>
        <v/>
      </c>
      <c r="Y25" s="55">
        <f>Table2929[[#This Row],[total_cost]]/Table2929[[#This Row],[cfa_post]]</f>
        <v>0.78329764453961459</v>
      </c>
      <c r="Z25" s="55">
        <f>Table2929[[#This Row],[total_cost]]/INDEX(CPI!$A$3:$C$31,MATCH(Table2929[[#This Row],[start_year]],CPI!$A$3:$A$31,0),3)</f>
        <v>2215.0493827160494</v>
      </c>
      <c r="AA25" s="55">
        <f>Table2929[[#This Row],[$/sqft]]/INDEX(CPI!$A$3:$C$31,MATCH(Table2929[[#This Row],[start_year]],CPI!$A$3:$A$31,0),3)</f>
        <v>0.94862928595976426</v>
      </c>
      <c r="AB25" s="55" t="s">
        <v>72</v>
      </c>
    </row>
    <row r="26" spans="1:28" hidden="1" x14ac:dyDescent="0.2">
      <c r="A26" t="s">
        <v>5303</v>
      </c>
      <c r="B26">
        <v>1164</v>
      </c>
      <c r="C26">
        <v>2459</v>
      </c>
      <c r="D26" t="s">
        <v>5186</v>
      </c>
      <c r="E26" t="s">
        <v>4832</v>
      </c>
      <c r="F26" t="s">
        <v>5187</v>
      </c>
      <c r="G26" t="s">
        <v>1241</v>
      </c>
      <c r="H26">
        <v>6</v>
      </c>
      <c r="I26" t="s">
        <v>5189</v>
      </c>
      <c r="L26">
        <v>475</v>
      </c>
      <c r="M26" t="s">
        <v>5021</v>
      </c>
      <c r="N26" t="s">
        <v>4857</v>
      </c>
      <c r="U26" t="s">
        <v>4840</v>
      </c>
      <c r="V26">
        <v>2018</v>
      </c>
      <c r="X26" t="str">
        <f>IF(Table2929[[#This Row],[performance_2]]&lt;&gt;"", IF(Table2929[[#This Row],[performance_1]]&lt;&gt;"",(Table2929[[#This Row],[performance_1]]-Table2929[[#This Row],[performance_2]])/Table2929[[#This Row],[performance_1]],""), "")</f>
        <v/>
      </c>
      <c r="Y26" s="55" t="e">
        <f>Table2929[[#This Row],[total_cost]]/Table2929[[#This Row],[cfa_post]]</f>
        <v>#DIV/0!</v>
      </c>
      <c r="Z26" s="55">
        <f>Table2929[[#This Row],[total_cost]]/INDEX(CPI!$A$3:$C$31,MATCH(Table2929[[#This Row],[start_year]],CPI!$A$3:$A$31,0),3)</f>
        <v>575.25886101154924</v>
      </c>
      <c r="AA26" s="55" t="e">
        <f>Table2929[[#This Row],[$/sqft]]/INDEX(CPI!$A$3:$C$31,MATCH(Table2929[[#This Row],[start_year]],CPI!$A$3:$A$31,0),3)</f>
        <v>#DIV/0!</v>
      </c>
      <c r="AB26" s="55" t="s">
        <v>72</v>
      </c>
    </row>
    <row r="27" spans="1:28" hidden="1" x14ac:dyDescent="0.2">
      <c r="A27" t="s">
        <v>5303</v>
      </c>
      <c r="B27">
        <v>1165</v>
      </c>
      <c r="C27">
        <v>2469</v>
      </c>
      <c r="D27" t="s">
        <v>5186</v>
      </c>
      <c r="E27" t="s">
        <v>4832</v>
      </c>
      <c r="F27" t="s">
        <v>5187</v>
      </c>
      <c r="G27" t="s">
        <v>1241</v>
      </c>
      <c r="M27" t="s">
        <v>5021</v>
      </c>
      <c r="N27" t="s">
        <v>4857</v>
      </c>
      <c r="U27" t="s">
        <v>5019</v>
      </c>
      <c r="V27">
        <v>2018</v>
      </c>
      <c r="Y27" s="55" t="e">
        <f>Table2929[[#This Row],[total_cost]]/Table2929[[#This Row],[cfa_post]]</f>
        <v>#DIV/0!</v>
      </c>
      <c r="Z27" s="55">
        <f>Table2929[[#This Row],[total_cost]]/INDEX(CPI!$A$3:$C$31,MATCH(Table2929[[#This Row],[start_year]],CPI!$A$3:$A$31,0),3)</f>
        <v>0</v>
      </c>
      <c r="AA27" s="55" t="e">
        <f>Table2929[[#This Row],[$/sqft]]/INDEX(CPI!$A$3:$C$31,MATCH(Table2929[[#This Row],[start_year]],CPI!$A$3:$A$31,0),3)</f>
        <v>#DIV/0!</v>
      </c>
      <c r="AB27" s="55" t="s">
        <v>72</v>
      </c>
    </row>
    <row r="28" spans="1:28" hidden="1" x14ac:dyDescent="0.2">
      <c r="A28" t="s">
        <v>5303</v>
      </c>
      <c r="B28">
        <v>1166</v>
      </c>
      <c r="C28">
        <v>2478</v>
      </c>
      <c r="D28" t="s">
        <v>5186</v>
      </c>
      <c r="E28" t="s">
        <v>4832</v>
      </c>
      <c r="F28" t="s">
        <v>5187</v>
      </c>
      <c r="G28" t="s">
        <v>1241</v>
      </c>
      <c r="H28">
        <v>6</v>
      </c>
      <c r="I28" t="s">
        <v>5189</v>
      </c>
      <c r="M28" t="s">
        <v>5021</v>
      </c>
      <c r="N28" t="s">
        <v>4857</v>
      </c>
      <c r="U28" t="s">
        <v>5019</v>
      </c>
      <c r="V28">
        <v>2018</v>
      </c>
      <c r="Y28" s="55" t="e">
        <f>Table2929[[#This Row],[total_cost]]/Table2929[[#This Row],[cfa_post]]</f>
        <v>#DIV/0!</v>
      </c>
      <c r="Z28" s="55">
        <f>Table2929[[#This Row],[total_cost]]/INDEX(CPI!$A$3:$C$31,MATCH(Table2929[[#This Row],[start_year]],CPI!$A$3:$A$31,0),3)</f>
        <v>0</v>
      </c>
      <c r="AA28" s="55" t="e">
        <f>Table2929[[#This Row],[$/sqft]]/INDEX(CPI!$A$3:$C$31,MATCH(Table2929[[#This Row],[start_year]],CPI!$A$3:$A$31,0),3)</f>
        <v>#DIV/0!</v>
      </c>
      <c r="AB28" s="55" t="s">
        <v>72</v>
      </c>
    </row>
    <row r="29" spans="1:28" hidden="1" x14ac:dyDescent="0.2">
      <c r="A29" t="s">
        <v>5303</v>
      </c>
      <c r="B29">
        <v>1174</v>
      </c>
      <c r="C29">
        <v>2543</v>
      </c>
      <c r="D29" t="s">
        <v>5186</v>
      </c>
      <c r="E29" t="s">
        <v>4832</v>
      </c>
      <c r="F29" t="s">
        <v>5187</v>
      </c>
      <c r="G29" t="s">
        <v>1241</v>
      </c>
      <c r="M29" t="s">
        <v>5021</v>
      </c>
      <c r="N29" t="s">
        <v>4857</v>
      </c>
      <c r="U29" t="s">
        <v>5019</v>
      </c>
      <c r="V29">
        <v>2018</v>
      </c>
      <c r="Y29" s="55" t="e">
        <f>Table2929[[#This Row],[total_cost]]/Table2929[[#This Row],[cfa_post]]</f>
        <v>#DIV/0!</v>
      </c>
      <c r="Z29" s="55">
        <f>Table2929[[#This Row],[total_cost]]/INDEX(CPI!$A$3:$C$31,MATCH(Table2929[[#This Row],[start_year]],CPI!$A$3:$A$31,0),3)</f>
        <v>0</v>
      </c>
      <c r="AA29" s="55" t="e">
        <f>Table2929[[#This Row],[$/sqft]]/INDEX(CPI!$A$3:$C$31,MATCH(Table2929[[#This Row],[start_year]],CPI!$A$3:$A$31,0),3)</f>
        <v>#DIV/0!</v>
      </c>
      <c r="AB29" s="55" t="s">
        <v>72</v>
      </c>
    </row>
    <row r="30" spans="1:28" hidden="1" x14ac:dyDescent="0.2">
      <c r="A30" t="s">
        <v>5303</v>
      </c>
      <c r="B30">
        <v>1175</v>
      </c>
      <c r="C30">
        <v>2553</v>
      </c>
      <c r="D30" t="s">
        <v>5186</v>
      </c>
      <c r="E30" t="s">
        <v>4832</v>
      </c>
      <c r="F30" t="s">
        <v>5187</v>
      </c>
      <c r="G30" t="s">
        <v>1241</v>
      </c>
      <c r="M30" t="s">
        <v>5021</v>
      </c>
      <c r="N30" t="s">
        <v>4857</v>
      </c>
      <c r="U30" t="s">
        <v>5019</v>
      </c>
      <c r="V30">
        <v>2018</v>
      </c>
      <c r="Y30" s="55" t="e">
        <f>Table2929[[#This Row],[total_cost]]/Table2929[[#This Row],[cfa_post]]</f>
        <v>#DIV/0!</v>
      </c>
      <c r="Z30" s="55">
        <f>Table2929[[#This Row],[total_cost]]/INDEX(CPI!$A$3:$C$31,MATCH(Table2929[[#This Row],[start_year]],CPI!$A$3:$A$31,0),3)</f>
        <v>0</v>
      </c>
      <c r="AA30" s="55" t="e">
        <f>Table2929[[#This Row],[$/sqft]]/INDEX(CPI!$A$3:$C$31,MATCH(Table2929[[#This Row],[start_year]],CPI!$A$3:$A$31,0),3)</f>
        <v>#DIV/0!</v>
      </c>
      <c r="AB30" s="55" t="s">
        <v>72</v>
      </c>
    </row>
    <row r="31" spans="1:28" hidden="1" x14ac:dyDescent="0.2">
      <c r="A31" t="s">
        <v>5303</v>
      </c>
      <c r="B31">
        <v>1176</v>
      </c>
      <c r="C31">
        <v>2563</v>
      </c>
      <c r="D31" t="s">
        <v>5186</v>
      </c>
      <c r="E31" t="s">
        <v>4832</v>
      </c>
      <c r="F31" t="s">
        <v>5187</v>
      </c>
      <c r="G31" t="s">
        <v>1241</v>
      </c>
      <c r="M31" t="s">
        <v>5021</v>
      </c>
      <c r="N31" t="s">
        <v>4857</v>
      </c>
      <c r="U31" t="s">
        <v>4907</v>
      </c>
      <c r="V31">
        <v>2018</v>
      </c>
      <c r="Y31" s="55" t="e">
        <f>Table2929[[#This Row],[total_cost]]/Table2929[[#This Row],[cfa_post]]</f>
        <v>#DIV/0!</v>
      </c>
      <c r="Z31" s="55">
        <f>Table2929[[#This Row],[total_cost]]/INDEX(CPI!$A$3:$C$31,MATCH(Table2929[[#This Row],[start_year]],CPI!$A$3:$A$31,0),3)</f>
        <v>0</v>
      </c>
      <c r="AA31" s="55" t="e">
        <f>Table2929[[#This Row],[$/sqft]]/INDEX(CPI!$A$3:$C$31,MATCH(Table2929[[#This Row],[start_year]],CPI!$A$3:$A$31,0),3)</f>
        <v>#DIV/0!</v>
      </c>
      <c r="AB31" s="55" t="s">
        <v>72</v>
      </c>
    </row>
    <row r="32" spans="1:28" hidden="1" x14ac:dyDescent="0.2">
      <c r="A32" t="s">
        <v>5303</v>
      </c>
      <c r="B32">
        <v>1179</v>
      </c>
      <c r="C32">
        <v>2581</v>
      </c>
      <c r="D32" t="s">
        <v>5186</v>
      </c>
      <c r="E32" t="s">
        <v>4832</v>
      </c>
      <c r="F32" t="s">
        <v>5187</v>
      </c>
      <c r="G32" t="s">
        <v>1241</v>
      </c>
      <c r="M32" t="s">
        <v>5021</v>
      </c>
      <c r="N32" t="s">
        <v>4857</v>
      </c>
      <c r="U32" t="s">
        <v>5019</v>
      </c>
      <c r="V32">
        <v>2018</v>
      </c>
      <c r="Y32" s="55" t="e">
        <f>Table2929[[#This Row],[total_cost]]/Table2929[[#This Row],[cfa_post]]</f>
        <v>#DIV/0!</v>
      </c>
      <c r="Z32" s="55">
        <f>Table2929[[#This Row],[total_cost]]/INDEX(CPI!$A$3:$C$31,MATCH(Table2929[[#This Row],[start_year]],CPI!$A$3:$A$31,0),3)</f>
        <v>0</v>
      </c>
      <c r="AA32" s="55" t="e">
        <f>Table2929[[#This Row],[$/sqft]]/INDEX(CPI!$A$3:$C$31,MATCH(Table2929[[#This Row],[start_year]],CPI!$A$3:$A$31,0),3)</f>
        <v>#DIV/0!</v>
      </c>
      <c r="AB32" s="55" t="s">
        <v>72</v>
      </c>
    </row>
    <row r="33" spans="1:28" hidden="1" x14ac:dyDescent="0.2">
      <c r="A33" t="s">
        <v>5303</v>
      </c>
      <c r="B33">
        <v>1186</v>
      </c>
      <c r="C33">
        <v>14922</v>
      </c>
      <c r="D33" t="s">
        <v>4831</v>
      </c>
      <c r="E33" t="s">
        <v>4832</v>
      </c>
      <c r="F33" t="s">
        <v>5187</v>
      </c>
      <c r="G33" t="s">
        <v>1241</v>
      </c>
      <c r="L33">
        <v>9781</v>
      </c>
      <c r="M33" t="s">
        <v>5021</v>
      </c>
      <c r="N33" t="s">
        <v>4857</v>
      </c>
      <c r="U33" t="s">
        <v>4907</v>
      </c>
      <c r="V33">
        <v>2018</v>
      </c>
      <c r="X33" t="str">
        <f>IF(Table2929[[#This Row],[performance_2]]&lt;&gt;"", IF(Table2929[[#This Row],[performance_1]]&lt;&gt;"",(Table2929[[#This Row],[performance_1]]-Table2929[[#This Row],[performance_2]])/Table2929[[#This Row],[performance_1]],""), "")</f>
        <v/>
      </c>
      <c r="Y33" s="55" t="e">
        <f>Table2929[[#This Row],[total_cost]]/Table2929[[#This Row],[cfa_post]]</f>
        <v>#DIV/0!</v>
      </c>
      <c r="Z33" s="55">
        <f>Table2929[[#This Row],[total_cost]]/INDEX(CPI!$A$3:$C$31,MATCH(Table2929[[#This Row],[start_year]],CPI!$A$3:$A$31,0),3)</f>
        <v>11845.488251692554</v>
      </c>
      <c r="AA33" s="55" t="e">
        <f>Table2929[[#This Row],[$/sqft]]/INDEX(CPI!$A$3:$C$31,MATCH(Table2929[[#This Row],[start_year]],CPI!$A$3:$A$31,0),3)</f>
        <v>#DIV/0!</v>
      </c>
      <c r="AB33" s="55" t="s">
        <v>72</v>
      </c>
    </row>
    <row r="34" spans="1:28" hidden="1" x14ac:dyDescent="0.2">
      <c r="A34" t="s">
        <v>5303</v>
      </c>
      <c r="B34">
        <v>1186</v>
      </c>
      <c r="C34">
        <v>2637</v>
      </c>
      <c r="D34" t="s">
        <v>5186</v>
      </c>
      <c r="E34" t="s">
        <v>4832</v>
      </c>
      <c r="F34" t="s">
        <v>5187</v>
      </c>
      <c r="G34" t="s">
        <v>1241</v>
      </c>
      <c r="M34" t="s">
        <v>5021</v>
      </c>
      <c r="N34" t="s">
        <v>4857</v>
      </c>
      <c r="U34" t="s">
        <v>4907</v>
      </c>
      <c r="V34">
        <v>2018</v>
      </c>
      <c r="Y34" s="55" t="e">
        <f>Table2929[[#This Row],[total_cost]]/Table2929[[#This Row],[cfa_post]]</f>
        <v>#DIV/0!</v>
      </c>
      <c r="Z34" s="55">
        <f>Table2929[[#This Row],[total_cost]]/INDEX(CPI!$A$3:$C$31,MATCH(Table2929[[#This Row],[start_year]],CPI!$A$3:$A$31,0),3)</f>
        <v>0</v>
      </c>
      <c r="AA34" s="55" t="e">
        <f>Table2929[[#This Row],[$/sqft]]/INDEX(CPI!$A$3:$C$31,MATCH(Table2929[[#This Row],[start_year]],CPI!$A$3:$A$31,0),3)</f>
        <v>#DIV/0!</v>
      </c>
      <c r="AB34" s="55" t="s">
        <v>72</v>
      </c>
    </row>
    <row r="35" spans="1:28" hidden="1" x14ac:dyDescent="0.2">
      <c r="A35" t="s">
        <v>5303</v>
      </c>
      <c r="B35">
        <v>1188</v>
      </c>
      <c r="C35">
        <v>2655</v>
      </c>
      <c r="D35" t="s">
        <v>5186</v>
      </c>
      <c r="E35" t="s">
        <v>4832</v>
      </c>
      <c r="F35" t="s">
        <v>5187</v>
      </c>
      <c r="G35" t="s">
        <v>1241</v>
      </c>
      <c r="M35" t="s">
        <v>5021</v>
      </c>
      <c r="N35" t="s">
        <v>4857</v>
      </c>
      <c r="U35" t="s">
        <v>4840</v>
      </c>
      <c r="V35">
        <v>2018</v>
      </c>
      <c r="Y35" s="55" t="e">
        <f>Table2929[[#This Row],[total_cost]]/Table2929[[#This Row],[cfa_post]]</f>
        <v>#DIV/0!</v>
      </c>
      <c r="Z35" s="55">
        <f>Table2929[[#This Row],[total_cost]]/INDEX(CPI!$A$3:$C$31,MATCH(Table2929[[#This Row],[start_year]],CPI!$A$3:$A$31,0),3)</f>
        <v>0</v>
      </c>
      <c r="AA35" s="55" t="e">
        <f>Table2929[[#This Row],[$/sqft]]/INDEX(CPI!$A$3:$C$31,MATCH(Table2929[[#This Row],[start_year]],CPI!$A$3:$A$31,0),3)</f>
        <v>#DIV/0!</v>
      </c>
      <c r="AB35" s="55" t="s">
        <v>72</v>
      </c>
    </row>
    <row r="36" spans="1:28" hidden="1" x14ac:dyDescent="0.2">
      <c r="A36" t="s">
        <v>5303</v>
      </c>
      <c r="B36">
        <v>1189</v>
      </c>
      <c r="C36">
        <v>2675</v>
      </c>
      <c r="D36" t="s">
        <v>5186</v>
      </c>
      <c r="E36" t="s">
        <v>4832</v>
      </c>
      <c r="F36" t="s">
        <v>5187</v>
      </c>
      <c r="G36" t="s">
        <v>1241</v>
      </c>
      <c r="M36" t="s">
        <v>5021</v>
      </c>
      <c r="N36" t="s">
        <v>4857</v>
      </c>
      <c r="U36" t="s">
        <v>4840</v>
      </c>
      <c r="V36">
        <v>2018</v>
      </c>
      <c r="Y36" s="55" t="e">
        <f>Table2929[[#This Row],[total_cost]]/Table2929[[#This Row],[cfa_post]]</f>
        <v>#DIV/0!</v>
      </c>
      <c r="Z36" s="55">
        <f>Table2929[[#This Row],[total_cost]]/INDEX(CPI!$A$3:$C$31,MATCH(Table2929[[#This Row],[start_year]],CPI!$A$3:$A$31,0),3)</f>
        <v>0</v>
      </c>
      <c r="AA36" s="55" t="e">
        <f>Table2929[[#This Row],[$/sqft]]/INDEX(CPI!$A$3:$C$31,MATCH(Table2929[[#This Row],[start_year]],CPI!$A$3:$A$31,0),3)</f>
        <v>#DIV/0!</v>
      </c>
      <c r="AB36" s="55" t="s">
        <v>72</v>
      </c>
    </row>
    <row r="37" spans="1:28" hidden="1" x14ac:dyDescent="0.2">
      <c r="A37" t="s">
        <v>5303</v>
      </c>
      <c r="B37">
        <v>1193</v>
      </c>
      <c r="C37">
        <v>2719</v>
      </c>
      <c r="D37" t="s">
        <v>5186</v>
      </c>
      <c r="E37" t="s">
        <v>4832</v>
      </c>
      <c r="F37" t="s">
        <v>5187</v>
      </c>
      <c r="G37" t="s">
        <v>1241</v>
      </c>
      <c r="H37">
        <v>10</v>
      </c>
      <c r="I37" t="s">
        <v>5189</v>
      </c>
      <c r="M37" t="s">
        <v>5021</v>
      </c>
      <c r="N37" t="s">
        <v>4857</v>
      </c>
      <c r="U37" t="s">
        <v>4840</v>
      </c>
      <c r="V37">
        <v>2018</v>
      </c>
      <c r="Y37" s="55" t="e">
        <f>Table2929[[#This Row],[total_cost]]/Table2929[[#This Row],[cfa_post]]</f>
        <v>#DIV/0!</v>
      </c>
      <c r="Z37" s="55">
        <f>Table2929[[#This Row],[total_cost]]/INDEX(CPI!$A$3:$C$31,MATCH(Table2929[[#This Row],[start_year]],CPI!$A$3:$A$31,0),3)</f>
        <v>0</v>
      </c>
      <c r="AA37" s="55" t="e">
        <f>Table2929[[#This Row],[$/sqft]]/INDEX(CPI!$A$3:$C$31,MATCH(Table2929[[#This Row],[start_year]],CPI!$A$3:$A$31,0),3)</f>
        <v>#DIV/0!</v>
      </c>
      <c r="AB37" s="55" t="s">
        <v>72</v>
      </c>
    </row>
    <row r="38" spans="1:28" hidden="1" x14ac:dyDescent="0.2">
      <c r="A38" t="s">
        <v>5303</v>
      </c>
      <c r="B38">
        <v>1224</v>
      </c>
      <c r="C38">
        <v>2973</v>
      </c>
      <c r="D38" t="s">
        <v>5186</v>
      </c>
      <c r="E38" t="s">
        <v>4832</v>
      </c>
      <c r="F38" t="s">
        <v>5187</v>
      </c>
      <c r="G38" t="s">
        <v>1241</v>
      </c>
      <c r="M38" t="s">
        <v>5194</v>
      </c>
      <c r="N38" t="s">
        <v>4837</v>
      </c>
      <c r="O38" t="s">
        <v>4850</v>
      </c>
      <c r="P38" t="s">
        <v>4844</v>
      </c>
      <c r="R38">
        <v>2011</v>
      </c>
      <c r="S38">
        <v>1155</v>
      </c>
      <c r="U38" t="s">
        <v>4840</v>
      </c>
      <c r="V38">
        <v>2011</v>
      </c>
      <c r="Y38" s="55">
        <f>Table2929[[#This Row],[total_cost]]/Table2929[[#This Row],[cfa_post]]</f>
        <v>0</v>
      </c>
      <c r="Z38" s="55">
        <f>Table2929[[#This Row],[total_cost]]/INDEX(CPI!$A$3:$C$31,MATCH(Table2929[[#This Row],[start_year]],CPI!$A$3:$A$31,0),3)</f>
        <v>0</v>
      </c>
      <c r="AA38" s="55">
        <f>Table2929[[#This Row],[$/sqft]]/INDEX(CPI!$A$3:$C$31,MATCH(Table2929[[#This Row],[start_year]],CPI!$A$3:$A$31,0),3)</f>
        <v>0</v>
      </c>
      <c r="AB38" s="55" t="s">
        <v>72</v>
      </c>
    </row>
    <row r="39" spans="1:28" hidden="1" x14ac:dyDescent="0.2">
      <c r="A39" t="s">
        <v>5303</v>
      </c>
      <c r="B39">
        <v>1225</v>
      </c>
      <c r="C39">
        <v>2989</v>
      </c>
      <c r="D39" t="s">
        <v>5186</v>
      </c>
      <c r="E39" t="s">
        <v>4832</v>
      </c>
      <c r="F39" t="s">
        <v>5187</v>
      </c>
      <c r="G39" t="s">
        <v>1241</v>
      </c>
      <c r="M39" t="s">
        <v>4848</v>
      </c>
      <c r="N39" t="s">
        <v>4837</v>
      </c>
      <c r="O39" t="s">
        <v>4838</v>
      </c>
      <c r="P39" t="s">
        <v>56</v>
      </c>
      <c r="Q39" t="s">
        <v>4839</v>
      </c>
      <c r="R39">
        <v>2011</v>
      </c>
      <c r="S39">
        <v>1018</v>
      </c>
      <c r="T39">
        <v>1</v>
      </c>
      <c r="U39" t="s">
        <v>4840</v>
      </c>
      <c r="V39">
        <v>2011</v>
      </c>
      <c r="Y39" s="55">
        <f>Table2929[[#This Row],[total_cost]]/Table2929[[#This Row],[cfa_post]]</f>
        <v>0</v>
      </c>
      <c r="Z39" s="55">
        <f>Table2929[[#This Row],[total_cost]]/INDEX(CPI!$A$3:$C$31,MATCH(Table2929[[#This Row],[start_year]],CPI!$A$3:$A$31,0),3)</f>
        <v>0</v>
      </c>
      <c r="AA39" s="55">
        <f>Table2929[[#This Row],[$/sqft]]/INDEX(CPI!$A$3:$C$31,MATCH(Table2929[[#This Row],[start_year]],CPI!$A$3:$A$31,0),3)</f>
        <v>0</v>
      </c>
      <c r="AB39" s="55" t="s">
        <v>72</v>
      </c>
    </row>
    <row r="40" spans="1:28" hidden="1" x14ac:dyDescent="0.2">
      <c r="A40" t="s">
        <v>5303</v>
      </c>
      <c r="B40">
        <v>1227</v>
      </c>
      <c r="C40">
        <v>3012</v>
      </c>
      <c r="D40" t="s">
        <v>5186</v>
      </c>
      <c r="E40" t="s">
        <v>4832</v>
      </c>
      <c r="F40" t="s">
        <v>5187</v>
      </c>
      <c r="G40" t="s">
        <v>1241</v>
      </c>
      <c r="H40">
        <v>9</v>
      </c>
      <c r="I40" t="s">
        <v>5188</v>
      </c>
      <c r="J40">
        <v>6</v>
      </c>
      <c r="K40" t="s">
        <v>5189</v>
      </c>
      <c r="M40" t="s">
        <v>5195</v>
      </c>
      <c r="N40" t="s">
        <v>4837</v>
      </c>
      <c r="O40" t="s">
        <v>4838</v>
      </c>
      <c r="P40" t="s">
        <v>56</v>
      </c>
      <c r="Q40" t="s">
        <v>4839</v>
      </c>
      <c r="R40">
        <v>1987</v>
      </c>
      <c r="S40">
        <v>1000</v>
      </c>
      <c r="T40">
        <v>1</v>
      </c>
      <c r="U40" t="s">
        <v>4840</v>
      </c>
      <c r="V40">
        <v>2011</v>
      </c>
      <c r="W40">
        <v>33.333333330000002</v>
      </c>
      <c r="Y40" s="55">
        <f>Table2929[[#This Row],[total_cost]]/Table2929[[#This Row],[cfa_post]]</f>
        <v>0</v>
      </c>
      <c r="Z40" s="55">
        <f>Table2929[[#This Row],[total_cost]]/INDEX(CPI!$A$3:$C$31,MATCH(Table2929[[#This Row],[start_year]],CPI!$A$3:$A$31,0),3)</f>
        <v>0</v>
      </c>
      <c r="AA40" s="55">
        <f>Table2929[[#This Row],[$/sqft]]/INDEX(CPI!$A$3:$C$31,MATCH(Table2929[[#This Row],[start_year]],CPI!$A$3:$A$31,0),3)</f>
        <v>0</v>
      </c>
      <c r="AB40" s="55" t="s">
        <v>72</v>
      </c>
    </row>
    <row r="41" spans="1:28" hidden="1" x14ac:dyDescent="0.2">
      <c r="A41" t="s">
        <v>5303</v>
      </c>
      <c r="B41">
        <v>1229</v>
      </c>
      <c r="C41">
        <v>3029</v>
      </c>
      <c r="D41" t="s">
        <v>5186</v>
      </c>
      <c r="E41" t="s">
        <v>4832</v>
      </c>
      <c r="F41" t="s">
        <v>5187</v>
      </c>
      <c r="G41" t="s">
        <v>1241</v>
      </c>
      <c r="H41">
        <v>6</v>
      </c>
      <c r="I41" t="s">
        <v>5189</v>
      </c>
      <c r="J41">
        <v>35</v>
      </c>
      <c r="K41" t="s">
        <v>5188</v>
      </c>
      <c r="M41" t="s">
        <v>4836</v>
      </c>
      <c r="N41" t="s">
        <v>4837</v>
      </c>
      <c r="O41" t="s">
        <v>4838</v>
      </c>
      <c r="P41" t="s">
        <v>56</v>
      </c>
      <c r="Q41" t="s">
        <v>4839</v>
      </c>
      <c r="R41">
        <v>1976</v>
      </c>
      <c r="S41">
        <v>1034</v>
      </c>
      <c r="T41">
        <v>1</v>
      </c>
      <c r="U41" t="s">
        <v>4840</v>
      </c>
      <c r="V41">
        <v>2011</v>
      </c>
      <c r="W41">
        <v>82.857142859999996</v>
      </c>
      <c r="Y41" s="55">
        <f>Table2929[[#This Row],[total_cost]]/Table2929[[#This Row],[cfa_post]]</f>
        <v>0</v>
      </c>
      <c r="Z41" s="55">
        <f>Table2929[[#This Row],[total_cost]]/INDEX(CPI!$A$3:$C$31,MATCH(Table2929[[#This Row],[start_year]],CPI!$A$3:$A$31,0),3)</f>
        <v>0</v>
      </c>
      <c r="AA41" s="55">
        <f>Table2929[[#This Row],[$/sqft]]/INDEX(CPI!$A$3:$C$31,MATCH(Table2929[[#This Row],[start_year]],CPI!$A$3:$A$31,0),3)</f>
        <v>0</v>
      </c>
      <c r="AB41" s="55" t="s">
        <v>72</v>
      </c>
    </row>
    <row r="42" spans="1:28" hidden="1" x14ac:dyDescent="0.2">
      <c r="A42" t="s">
        <v>5303</v>
      </c>
      <c r="B42">
        <v>1231</v>
      </c>
      <c r="C42">
        <v>3048</v>
      </c>
      <c r="D42" t="s">
        <v>5186</v>
      </c>
      <c r="E42" t="s">
        <v>4832</v>
      </c>
      <c r="F42" t="s">
        <v>5187</v>
      </c>
      <c r="G42" t="s">
        <v>1241</v>
      </c>
      <c r="H42">
        <v>5.4</v>
      </c>
      <c r="I42" t="s">
        <v>5189</v>
      </c>
      <c r="J42">
        <v>13</v>
      </c>
      <c r="K42" t="s">
        <v>5188</v>
      </c>
      <c r="M42" t="s">
        <v>5196</v>
      </c>
      <c r="N42" t="s">
        <v>4837</v>
      </c>
      <c r="O42" t="s">
        <v>4838</v>
      </c>
      <c r="P42" t="s">
        <v>56</v>
      </c>
      <c r="Q42" t="s">
        <v>4839</v>
      </c>
      <c r="R42">
        <v>1997</v>
      </c>
      <c r="S42">
        <v>1334</v>
      </c>
      <c r="T42">
        <v>1</v>
      </c>
      <c r="U42" t="s">
        <v>4840</v>
      </c>
      <c r="V42">
        <v>2011</v>
      </c>
      <c r="W42">
        <v>58.46153846</v>
      </c>
      <c r="Y42" s="55">
        <f>Table2929[[#This Row],[total_cost]]/Table2929[[#This Row],[cfa_post]]</f>
        <v>0</v>
      </c>
      <c r="Z42" s="55">
        <f>Table2929[[#This Row],[total_cost]]/INDEX(CPI!$A$3:$C$31,MATCH(Table2929[[#This Row],[start_year]],CPI!$A$3:$A$31,0),3)</f>
        <v>0</v>
      </c>
      <c r="AA42" s="55">
        <f>Table2929[[#This Row],[$/sqft]]/INDEX(CPI!$A$3:$C$31,MATCH(Table2929[[#This Row],[start_year]],CPI!$A$3:$A$31,0),3)</f>
        <v>0</v>
      </c>
      <c r="AB42" s="55" t="s">
        <v>72</v>
      </c>
    </row>
    <row r="43" spans="1:28" hidden="1" x14ac:dyDescent="0.2">
      <c r="A43" t="s">
        <v>5303</v>
      </c>
      <c r="B43">
        <v>1232</v>
      </c>
      <c r="C43">
        <v>3060</v>
      </c>
      <c r="D43" t="s">
        <v>5186</v>
      </c>
      <c r="E43" t="s">
        <v>4832</v>
      </c>
      <c r="F43" t="s">
        <v>5187</v>
      </c>
      <c r="G43" t="s">
        <v>1241</v>
      </c>
      <c r="H43">
        <v>34</v>
      </c>
      <c r="I43" t="s">
        <v>5188</v>
      </c>
      <c r="J43">
        <v>7.9</v>
      </c>
      <c r="K43" t="s">
        <v>5189</v>
      </c>
      <c r="M43" t="s">
        <v>4841</v>
      </c>
      <c r="N43" t="s">
        <v>4837</v>
      </c>
      <c r="O43" t="s">
        <v>4838</v>
      </c>
      <c r="P43" t="s">
        <v>56</v>
      </c>
      <c r="Q43" t="s">
        <v>4839</v>
      </c>
      <c r="R43">
        <v>1973</v>
      </c>
      <c r="S43">
        <v>1166</v>
      </c>
      <c r="T43">
        <v>1</v>
      </c>
      <c r="U43" t="s">
        <v>4840</v>
      </c>
      <c r="V43">
        <v>2011</v>
      </c>
      <c r="W43">
        <v>76.764705879999994</v>
      </c>
      <c r="Y43" s="55">
        <f>Table2929[[#This Row],[total_cost]]/Table2929[[#This Row],[cfa_post]]</f>
        <v>0</v>
      </c>
      <c r="Z43" s="55">
        <f>Table2929[[#This Row],[total_cost]]/INDEX(CPI!$A$3:$C$31,MATCH(Table2929[[#This Row],[start_year]],CPI!$A$3:$A$31,0),3)</f>
        <v>0</v>
      </c>
      <c r="AA43" s="55">
        <f>Table2929[[#This Row],[$/sqft]]/INDEX(CPI!$A$3:$C$31,MATCH(Table2929[[#This Row],[start_year]],CPI!$A$3:$A$31,0),3)</f>
        <v>0</v>
      </c>
      <c r="AB43" s="55" t="s">
        <v>72</v>
      </c>
    </row>
    <row r="44" spans="1:28" hidden="1" x14ac:dyDescent="0.2">
      <c r="A44" t="s">
        <v>5303</v>
      </c>
      <c r="B44">
        <v>1233</v>
      </c>
      <c r="C44">
        <v>3072</v>
      </c>
      <c r="D44" t="s">
        <v>5186</v>
      </c>
      <c r="E44" t="s">
        <v>4832</v>
      </c>
      <c r="F44" t="s">
        <v>5187</v>
      </c>
      <c r="G44" t="s">
        <v>1241</v>
      </c>
      <c r="H44">
        <v>12</v>
      </c>
      <c r="I44" t="s">
        <v>5189</v>
      </c>
      <c r="J44">
        <v>6</v>
      </c>
      <c r="K44" t="s">
        <v>5189</v>
      </c>
      <c r="M44" t="s">
        <v>4842</v>
      </c>
      <c r="N44" t="s">
        <v>4837</v>
      </c>
      <c r="O44" t="s">
        <v>4843</v>
      </c>
      <c r="P44" t="s">
        <v>4844</v>
      </c>
      <c r="R44">
        <v>1989</v>
      </c>
      <c r="S44">
        <v>1156</v>
      </c>
      <c r="U44" t="s">
        <v>4840</v>
      </c>
      <c r="V44">
        <v>2011</v>
      </c>
      <c r="Y44" s="55">
        <f>Table2929[[#This Row],[total_cost]]/Table2929[[#This Row],[cfa_post]]</f>
        <v>0</v>
      </c>
      <c r="Z44" s="55">
        <f>Table2929[[#This Row],[total_cost]]/INDEX(CPI!$A$3:$C$31,MATCH(Table2929[[#This Row],[start_year]],CPI!$A$3:$A$31,0),3)</f>
        <v>0</v>
      </c>
      <c r="AA44" s="55">
        <f>Table2929[[#This Row],[$/sqft]]/INDEX(CPI!$A$3:$C$31,MATCH(Table2929[[#This Row],[start_year]],CPI!$A$3:$A$31,0),3)</f>
        <v>0</v>
      </c>
      <c r="AB44" s="55" t="s">
        <v>72</v>
      </c>
    </row>
    <row r="45" spans="1:28" hidden="1" x14ac:dyDescent="0.2">
      <c r="A45" t="s">
        <v>5303</v>
      </c>
      <c r="B45">
        <v>1234</v>
      </c>
      <c r="C45">
        <v>3087</v>
      </c>
      <c r="D45" t="s">
        <v>5186</v>
      </c>
      <c r="E45" t="s">
        <v>4832</v>
      </c>
      <c r="F45" t="s">
        <v>5187</v>
      </c>
      <c r="G45" t="s">
        <v>1241</v>
      </c>
      <c r="H45">
        <v>6.8</v>
      </c>
      <c r="I45" t="s">
        <v>5188</v>
      </c>
      <c r="J45">
        <v>4.3</v>
      </c>
      <c r="K45" t="s">
        <v>5189</v>
      </c>
      <c r="M45" t="s">
        <v>4842</v>
      </c>
      <c r="N45" t="s">
        <v>4837</v>
      </c>
      <c r="O45" t="s">
        <v>4838</v>
      </c>
      <c r="P45" t="s">
        <v>56</v>
      </c>
      <c r="Q45" t="s">
        <v>4839</v>
      </c>
      <c r="R45">
        <v>1977</v>
      </c>
      <c r="S45">
        <v>1387</v>
      </c>
      <c r="T45">
        <v>1</v>
      </c>
      <c r="U45" t="s">
        <v>4840</v>
      </c>
      <c r="V45">
        <v>2011</v>
      </c>
      <c r="W45">
        <v>36.764705880000001</v>
      </c>
      <c r="Y45" s="55">
        <f>Table2929[[#This Row],[total_cost]]/Table2929[[#This Row],[cfa_post]]</f>
        <v>0</v>
      </c>
      <c r="Z45" s="55">
        <f>Table2929[[#This Row],[total_cost]]/INDEX(CPI!$A$3:$C$31,MATCH(Table2929[[#This Row],[start_year]],CPI!$A$3:$A$31,0),3)</f>
        <v>0</v>
      </c>
      <c r="AA45" s="55">
        <f>Table2929[[#This Row],[$/sqft]]/INDEX(CPI!$A$3:$C$31,MATCH(Table2929[[#This Row],[start_year]],CPI!$A$3:$A$31,0),3)</f>
        <v>0</v>
      </c>
      <c r="AB45" s="55" t="s">
        <v>72</v>
      </c>
    </row>
    <row r="46" spans="1:28" hidden="1" x14ac:dyDescent="0.2">
      <c r="A46" t="s">
        <v>5303</v>
      </c>
      <c r="B46">
        <v>1235</v>
      </c>
      <c r="C46">
        <v>3096</v>
      </c>
      <c r="D46" t="s">
        <v>5186</v>
      </c>
      <c r="E46" t="s">
        <v>4832</v>
      </c>
      <c r="F46" t="s">
        <v>5187</v>
      </c>
      <c r="G46" t="s">
        <v>1241</v>
      </c>
      <c r="H46">
        <v>12</v>
      </c>
      <c r="I46" t="s">
        <v>5188</v>
      </c>
      <c r="J46">
        <v>2</v>
      </c>
      <c r="K46" t="s">
        <v>5189</v>
      </c>
      <c r="M46" t="s">
        <v>4848</v>
      </c>
      <c r="N46" t="s">
        <v>4837</v>
      </c>
      <c r="O46" t="s">
        <v>4838</v>
      </c>
      <c r="P46" t="s">
        <v>56</v>
      </c>
      <c r="Q46" t="s">
        <v>4839</v>
      </c>
      <c r="R46">
        <v>1983</v>
      </c>
      <c r="S46">
        <v>1300</v>
      </c>
      <c r="T46">
        <v>1</v>
      </c>
      <c r="U46" t="s">
        <v>4840</v>
      </c>
      <c r="V46">
        <v>2011</v>
      </c>
      <c r="W46">
        <v>83.333333330000002</v>
      </c>
      <c r="Y46" s="55">
        <f>Table2929[[#This Row],[total_cost]]/Table2929[[#This Row],[cfa_post]]</f>
        <v>0</v>
      </c>
      <c r="Z46" s="55">
        <f>Table2929[[#This Row],[total_cost]]/INDEX(CPI!$A$3:$C$31,MATCH(Table2929[[#This Row],[start_year]],CPI!$A$3:$A$31,0),3)</f>
        <v>0</v>
      </c>
      <c r="AA46" s="55">
        <f>Table2929[[#This Row],[$/sqft]]/INDEX(CPI!$A$3:$C$31,MATCH(Table2929[[#This Row],[start_year]],CPI!$A$3:$A$31,0),3)</f>
        <v>0</v>
      </c>
      <c r="AB46" s="55" t="s">
        <v>72</v>
      </c>
    </row>
    <row r="47" spans="1:28" hidden="1" x14ac:dyDescent="0.2">
      <c r="A47" t="s">
        <v>5303</v>
      </c>
      <c r="B47">
        <v>1236</v>
      </c>
      <c r="C47">
        <v>3104</v>
      </c>
      <c r="D47" t="s">
        <v>5186</v>
      </c>
      <c r="E47" t="s">
        <v>4832</v>
      </c>
      <c r="F47" t="s">
        <v>5187</v>
      </c>
      <c r="G47" t="s">
        <v>1241</v>
      </c>
      <c r="H47">
        <v>12</v>
      </c>
      <c r="I47" t="s">
        <v>5188</v>
      </c>
      <c r="J47">
        <v>4.5999999999999996</v>
      </c>
      <c r="K47" t="s">
        <v>5189</v>
      </c>
      <c r="M47" t="s">
        <v>4848</v>
      </c>
      <c r="N47" t="s">
        <v>4837</v>
      </c>
      <c r="O47" t="s">
        <v>4838</v>
      </c>
      <c r="P47" t="s">
        <v>56</v>
      </c>
      <c r="Q47" t="s">
        <v>4839</v>
      </c>
      <c r="R47">
        <v>1961</v>
      </c>
      <c r="S47">
        <v>1876</v>
      </c>
      <c r="T47">
        <v>1</v>
      </c>
      <c r="U47" t="s">
        <v>4840</v>
      </c>
      <c r="V47">
        <v>2011</v>
      </c>
      <c r="W47">
        <v>61.666666669999998</v>
      </c>
      <c r="Y47" s="55">
        <f>Table2929[[#This Row],[total_cost]]/Table2929[[#This Row],[cfa_post]]</f>
        <v>0</v>
      </c>
      <c r="Z47" s="55">
        <f>Table2929[[#This Row],[total_cost]]/INDEX(CPI!$A$3:$C$31,MATCH(Table2929[[#This Row],[start_year]],CPI!$A$3:$A$31,0),3)</f>
        <v>0</v>
      </c>
      <c r="AA47" s="55">
        <f>Table2929[[#This Row],[$/sqft]]/INDEX(CPI!$A$3:$C$31,MATCH(Table2929[[#This Row],[start_year]],CPI!$A$3:$A$31,0),3)</f>
        <v>0</v>
      </c>
      <c r="AB47" s="55" t="s">
        <v>72</v>
      </c>
    </row>
    <row r="48" spans="1:28" hidden="1" x14ac:dyDescent="0.2">
      <c r="A48" t="s">
        <v>5303</v>
      </c>
      <c r="B48">
        <v>5026</v>
      </c>
      <c r="C48">
        <v>12161</v>
      </c>
      <c r="D48" t="s">
        <v>5186</v>
      </c>
      <c r="E48" t="s">
        <v>4832</v>
      </c>
      <c r="F48" t="s">
        <v>5187</v>
      </c>
      <c r="G48" t="s">
        <v>1241</v>
      </c>
      <c r="H48">
        <v>85</v>
      </c>
      <c r="I48" t="s">
        <v>5191</v>
      </c>
      <c r="J48">
        <v>85</v>
      </c>
      <c r="K48" t="s">
        <v>5192</v>
      </c>
      <c r="L48">
        <v>159.30000000000001</v>
      </c>
      <c r="M48" t="s">
        <v>4981</v>
      </c>
      <c r="N48" t="s">
        <v>4979</v>
      </c>
      <c r="O48" t="s">
        <v>4838</v>
      </c>
      <c r="P48" t="s">
        <v>4844</v>
      </c>
      <c r="R48">
        <v>1973</v>
      </c>
      <c r="S48">
        <v>1248</v>
      </c>
      <c r="U48" t="s">
        <v>4840</v>
      </c>
      <c r="V48">
        <v>2018</v>
      </c>
      <c r="W48">
        <v>0</v>
      </c>
      <c r="X48" s="89">
        <f>ABS(IF(Table2929[[#This Row],[performance_2]]&lt;&gt;"", IF(Table2929[[#This Row],[performance_1]]&lt;&gt;"",(Table2929[[#This Row],[performance_1]]-Table2929[[#This Row],[performance_2]])/Table2929[[#This Row],[performance_1]],""), ""))</f>
        <v>0</v>
      </c>
      <c r="Y48" s="55">
        <f>Table2929[[#This Row],[total_cost]]/Table2929[[#This Row],[cfa_post]]</f>
        <v>0.12764423076923079</v>
      </c>
      <c r="Z48" s="55">
        <f>Table2929[[#This Row],[total_cost]]/INDEX(CPI!$A$3:$C$31,MATCH(Table2929[[#This Row],[start_year]],CPI!$A$3:$A$31,0),3)</f>
        <v>192.92365591397854</v>
      </c>
      <c r="AA48" s="55">
        <f>Table2929[[#This Row],[$/sqft]]/INDEX(CPI!$A$3:$C$31,MATCH(Table2929[[#This Row],[start_year]],CPI!$A$3:$A$31,0),3)</f>
        <v>0.15458626275158538</v>
      </c>
      <c r="AB48" s="55" t="s">
        <v>72</v>
      </c>
    </row>
    <row r="49" spans="1:28" hidden="1" x14ac:dyDescent="0.2">
      <c r="A49" t="s">
        <v>5303</v>
      </c>
      <c r="B49">
        <v>1238</v>
      </c>
      <c r="C49">
        <v>3123</v>
      </c>
      <c r="D49" t="s">
        <v>5186</v>
      </c>
      <c r="E49" t="s">
        <v>4832</v>
      </c>
      <c r="F49" t="s">
        <v>5187</v>
      </c>
      <c r="G49" t="s">
        <v>1241</v>
      </c>
      <c r="H49">
        <v>6.7</v>
      </c>
      <c r="I49" t="s">
        <v>5188</v>
      </c>
      <c r="J49">
        <v>3</v>
      </c>
      <c r="K49" t="s">
        <v>5189</v>
      </c>
      <c r="M49" t="s">
        <v>4848</v>
      </c>
      <c r="N49" t="s">
        <v>4837</v>
      </c>
      <c r="O49" t="s">
        <v>4838</v>
      </c>
      <c r="P49" t="s">
        <v>56</v>
      </c>
      <c r="Q49" t="s">
        <v>4839</v>
      </c>
      <c r="R49">
        <v>1963</v>
      </c>
      <c r="S49">
        <v>1470</v>
      </c>
      <c r="T49">
        <v>1</v>
      </c>
      <c r="U49" t="s">
        <v>4840</v>
      </c>
      <c r="V49">
        <v>2010</v>
      </c>
      <c r="W49">
        <v>55.223880600000001</v>
      </c>
      <c r="Y49" s="55">
        <f>Table2929[[#This Row],[total_cost]]/Table2929[[#This Row],[cfa_post]]</f>
        <v>0</v>
      </c>
      <c r="Z49" s="55">
        <f>Table2929[[#This Row],[total_cost]]/INDEX(CPI!$A$3:$C$31,MATCH(Table2929[[#This Row],[start_year]],CPI!$A$3:$A$31,0),3)</f>
        <v>0</v>
      </c>
      <c r="AA49" s="55">
        <f>Table2929[[#This Row],[$/sqft]]/INDEX(CPI!$A$3:$C$31,MATCH(Table2929[[#This Row],[start_year]],CPI!$A$3:$A$31,0),3)</f>
        <v>0</v>
      </c>
      <c r="AB49" s="55" t="s">
        <v>72</v>
      </c>
    </row>
    <row r="50" spans="1:28" hidden="1" x14ac:dyDescent="0.2">
      <c r="A50" t="s">
        <v>5303</v>
      </c>
      <c r="B50">
        <v>1239</v>
      </c>
      <c r="C50">
        <v>3138</v>
      </c>
      <c r="D50" t="s">
        <v>5186</v>
      </c>
      <c r="E50" t="s">
        <v>4832</v>
      </c>
      <c r="F50" t="s">
        <v>5187</v>
      </c>
      <c r="G50" t="s">
        <v>1241</v>
      </c>
      <c r="H50">
        <v>6.5</v>
      </c>
      <c r="I50" t="s">
        <v>5189</v>
      </c>
      <c r="M50" t="s">
        <v>4845</v>
      </c>
      <c r="N50" t="s">
        <v>4837</v>
      </c>
      <c r="O50" t="s">
        <v>4838</v>
      </c>
      <c r="P50" t="s">
        <v>4844</v>
      </c>
      <c r="Q50" t="s">
        <v>16</v>
      </c>
      <c r="R50">
        <v>1989</v>
      </c>
      <c r="S50">
        <v>1529</v>
      </c>
      <c r="T50">
        <v>1</v>
      </c>
      <c r="U50" t="s">
        <v>4840</v>
      </c>
      <c r="V50">
        <v>2011</v>
      </c>
      <c r="Y50" s="55">
        <f>Table2929[[#This Row],[total_cost]]/Table2929[[#This Row],[cfa_post]]</f>
        <v>0</v>
      </c>
      <c r="Z50" s="55">
        <f>Table2929[[#This Row],[total_cost]]/INDEX(CPI!$A$3:$C$31,MATCH(Table2929[[#This Row],[start_year]],CPI!$A$3:$A$31,0),3)</f>
        <v>0</v>
      </c>
      <c r="AA50" s="55">
        <f>Table2929[[#This Row],[$/sqft]]/INDEX(CPI!$A$3:$C$31,MATCH(Table2929[[#This Row],[start_year]],CPI!$A$3:$A$31,0),3)</f>
        <v>0</v>
      </c>
      <c r="AB50" s="55" t="s">
        <v>72</v>
      </c>
    </row>
    <row r="51" spans="1:28" hidden="1" x14ac:dyDescent="0.2">
      <c r="A51" t="s">
        <v>5303</v>
      </c>
      <c r="B51">
        <v>1240</v>
      </c>
      <c r="C51">
        <v>3150</v>
      </c>
      <c r="D51" t="s">
        <v>5186</v>
      </c>
      <c r="E51" t="s">
        <v>4832</v>
      </c>
      <c r="F51" t="s">
        <v>5187</v>
      </c>
      <c r="G51" t="s">
        <v>1241</v>
      </c>
      <c r="H51">
        <v>8.6</v>
      </c>
      <c r="I51" t="s">
        <v>5188</v>
      </c>
      <c r="J51">
        <v>5.5</v>
      </c>
      <c r="K51" t="s">
        <v>5189</v>
      </c>
      <c r="M51" t="s">
        <v>5197</v>
      </c>
      <c r="N51" t="s">
        <v>4837</v>
      </c>
      <c r="O51" t="s">
        <v>4838</v>
      </c>
      <c r="P51" t="s">
        <v>4844</v>
      </c>
      <c r="Q51" t="s">
        <v>4839</v>
      </c>
      <c r="R51">
        <v>1989</v>
      </c>
      <c r="S51">
        <v>1310</v>
      </c>
      <c r="T51">
        <v>1</v>
      </c>
      <c r="U51" t="s">
        <v>4840</v>
      </c>
      <c r="V51">
        <v>2011</v>
      </c>
      <c r="W51">
        <v>36.046511629999998</v>
      </c>
      <c r="Y51" s="55">
        <f>Table2929[[#This Row],[total_cost]]/Table2929[[#This Row],[cfa_post]]</f>
        <v>0</v>
      </c>
      <c r="Z51" s="55">
        <f>Table2929[[#This Row],[total_cost]]/INDEX(CPI!$A$3:$C$31,MATCH(Table2929[[#This Row],[start_year]],CPI!$A$3:$A$31,0),3)</f>
        <v>0</v>
      </c>
      <c r="AA51" s="55">
        <f>Table2929[[#This Row],[$/sqft]]/INDEX(CPI!$A$3:$C$31,MATCH(Table2929[[#This Row],[start_year]],CPI!$A$3:$A$31,0),3)</f>
        <v>0</v>
      </c>
      <c r="AB51" s="55" t="s">
        <v>72</v>
      </c>
    </row>
    <row r="52" spans="1:28" hidden="1" x14ac:dyDescent="0.2">
      <c r="A52" t="s">
        <v>5303</v>
      </c>
      <c r="B52">
        <v>1241</v>
      </c>
      <c r="C52">
        <v>3157</v>
      </c>
      <c r="D52" t="s">
        <v>5186</v>
      </c>
      <c r="E52" t="s">
        <v>4832</v>
      </c>
      <c r="F52" t="s">
        <v>5187</v>
      </c>
      <c r="G52" t="s">
        <v>1241</v>
      </c>
      <c r="H52">
        <v>36</v>
      </c>
      <c r="I52" t="s">
        <v>5188</v>
      </c>
      <c r="J52">
        <v>22</v>
      </c>
      <c r="K52" t="s">
        <v>5189</v>
      </c>
      <c r="M52" t="s">
        <v>5198</v>
      </c>
      <c r="N52" t="s">
        <v>4837</v>
      </c>
      <c r="O52" t="s">
        <v>4838</v>
      </c>
      <c r="P52" t="s">
        <v>56</v>
      </c>
      <c r="Q52" t="s">
        <v>4839</v>
      </c>
      <c r="R52">
        <v>1965</v>
      </c>
      <c r="S52">
        <v>1294</v>
      </c>
      <c r="T52">
        <v>1</v>
      </c>
      <c r="U52" t="s">
        <v>4840</v>
      </c>
      <c r="V52">
        <v>2010</v>
      </c>
      <c r="W52">
        <v>38.888888889999997</v>
      </c>
      <c r="Y52" s="55">
        <f>Table2929[[#This Row],[total_cost]]/Table2929[[#This Row],[cfa_post]]</f>
        <v>0</v>
      </c>
      <c r="Z52" s="55">
        <f>Table2929[[#This Row],[total_cost]]/INDEX(CPI!$A$3:$C$31,MATCH(Table2929[[#This Row],[start_year]],CPI!$A$3:$A$31,0),3)</f>
        <v>0</v>
      </c>
      <c r="AA52" s="55">
        <f>Table2929[[#This Row],[$/sqft]]/INDEX(CPI!$A$3:$C$31,MATCH(Table2929[[#This Row],[start_year]],CPI!$A$3:$A$31,0),3)</f>
        <v>0</v>
      </c>
      <c r="AB52" s="55" t="s">
        <v>72</v>
      </c>
    </row>
    <row r="53" spans="1:28" hidden="1" x14ac:dyDescent="0.2">
      <c r="A53" t="s">
        <v>5303</v>
      </c>
      <c r="B53">
        <v>1242</v>
      </c>
      <c r="C53">
        <v>3164</v>
      </c>
      <c r="D53" t="s">
        <v>5186</v>
      </c>
      <c r="E53" t="s">
        <v>4832</v>
      </c>
      <c r="F53" t="s">
        <v>5187</v>
      </c>
      <c r="G53" t="s">
        <v>1241</v>
      </c>
      <c r="H53">
        <v>21.2</v>
      </c>
      <c r="I53" t="s">
        <v>5188</v>
      </c>
      <c r="J53">
        <v>10</v>
      </c>
      <c r="K53" t="s">
        <v>5189</v>
      </c>
      <c r="M53" t="s">
        <v>5198</v>
      </c>
      <c r="N53" t="s">
        <v>4837</v>
      </c>
      <c r="O53" t="s">
        <v>4838</v>
      </c>
      <c r="P53" t="s">
        <v>56</v>
      </c>
      <c r="Q53" t="s">
        <v>4839</v>
      </c>
      <c r="R53">
        <v>1966</v>
      </c>
      <c r="S53">
        <v>1080</v>
      </c>
      <c r="T53">
        <v>1</v>
      </c>
      <c r="U53" t="s">
        <v>4840</v>
      </c>
      <c r="V53">
        <v>2010</v>
      </c>
      <c r="W53">
        <v>52.830188679999999</v>
      </c>
      <c r="Y53" s="55">
        <f>Table2929[[#This Row],[total_cost]]/Table2929[[#This Row],[cfa_post]]</f>
        <v>0</v>
      </c>
      <c r="Z53" s="55">
        <f>Table2929[[#This Row],[total_cost]]/INDEX(CPI!$A$3:$C$31,MATCH(Table2929[[#This Row],[start_year]],CPI!$A$3:$A$31,0),3)</f>
        <v>0</v>
      </c>
      <c r="AA53" s="55">
        <f>Table2929[[#This Row],[$/sqft]]/INDEX(CPI!$A$3:$C$31,MATCH(Table2929[[#This Row],[start_year]],CPI!$A$3:$A$31,0),3)</f>
        <v>0</v>
      </c>
      <c r="AB53" s="55" t="s">
        <v>72</v>
      </c>
    </row>
    <row r="54" spans="1:28" hidden="1" x14ac:dyDescent="0.2">
      <c r="A54" t="s">
        <v>5303</v>
      </c>
      <c r="B54">
        <v>1243</v>
      </c>
      <c r="C54">
        <v>3170</v>
      </c>
      <c r="D54" t="s">
        <v>5186</v>
      </c>
      <c r="E54" t="s">
        <v>4832</v>
      </c>
      <c r="F54" t="s">
        <v>5187</v>
      </c>
      <c r="G54" t="s">
        <v>1241</v>
      </c>
      <c r="H54">
        <v>16.399999999999999</v>
      </c>
      <c r="I54" t="s">
        <v>5188</v>
      </c>
      <c r="J54">
        <v>9</v>
      </c>
      <c r="K54" t="s">
        <v>5189</v>
      </c>
      <c r="M54" t="s">
        <v>5195</v>
      </c>
      <c r="N54" t="s">
        <v>4837</v>
      </c>
      <c r="O54" t="s">
        <v>4838</v>
      </c>
      <c r="P54" t="s">
        <v>56</v>
      </c>
      <c r="Q54" t="s">
        <v>4839</v>
      </c>
      <c r="R54">
        <v>2004</v>
      </c>
      <c r="S54">
        <v>1158</v>
      </c>
      <c r="T54">
        <v>1</v>
      </c>
      <c r="U54" t="s">
        <v>4840</v>
      </c>
      <c r="V54">
        <v>2011</v>
      </c>
      <c r="W54">
        <v>45.12195122</v>
      </c>
      <c r="Y54" s="55">
        <f>Table2929[[#This Row],[total_cost]]/Table2929[[#This Row],[cfa_post]]</f>
        <v>0</v>
      </c>
      <c r="Z54" s="55">
        <f>Table2929[[#This Row],[total_cost]]/INDEX(CPI!$A$3:$C$31,MATCH(Table2929[[#This Row],[start_year]],CPI!$A$3:$A$31,0),3)</f>
        <v>0</v>
      </c>
      <c r="AA54" s="55">
        <f>Table2929[[#This Row],[$/sqft]]/INDEX(CPI!$A$3:$C$31,MATCH(Table2929[[#This Row],[start_year]],CPI!$A$3:$A$31,0),3)</f>
        <v>0</v>
      </c>
      <c r="AB54" s="55" t="s">
        <v>72</v>
      </c>
    </row>
    <row r="55" spans="1:28" hidden="1" x14ac:dyDescent="0.2">
      <c r="A55" t="s">
        <v>5303</v>
      </c>
      <c r="B55">
        <v>1244</v>
      </c>
      <c r="C55">
        <v>3180</v>
      </c>
      <c r="D55" t="s">
        <v>5186</v>
      </c>
      <c r="E55" t="s">
        <v>4832</v>
      </c>
      <c r="F55" t="s">
        <v>5187</v>
      </c>
      <c r="G55" t="s">
        <v>1241</v>
      </c>
      <c r="H55">
        <v>19</v>
      </c>
      <c r="I55" t="s">
        <v>5188</v>
      </c>
      <c r="J55">
        <v>3.7</v>
      </c>
      <c r="K55" t="s">
        <v>5189</v>
      </c>
      <c r="M55" t="s">
        <v>5198</v>
      </c>
      <c r="N55" t="s">
        <v>4837</v>
      </c>
      <c r="O55" t="s">
        <v>4838</v>
      </c>
      <c r="P55" t="s">
        <v>56</v>
      </c>
      <c r="Q55" t="s">
        <v>4839</v>
      </c>
      <c r="R55">
        <v>1979</v>
      </c>
      <c r="S55">
        <v>1308</v>
      </c>
      <c r="T55">
        <v>1</v>
      </c>
      <c r="U55" t="s">
        <v>4840</v>
      </c>
      <c r="V55">
        <v>2010</v>
      </c>
      <c r="W55">
        <v>80.526315789999998</v>
      </c>
      <c r="Y55" s="55">
        <f>Table2929[[#This Row],[total_cost]]/Table2929[[#This Row],[cfa_post]]</f>
        <v>0</v>
      </c>
      <c r="Z55" s="55">
        <f>Table2929[[#This Row],[total_cost]]/INDEX(CPI!$A$3:$C$31,MATCH(Table2929[[#This Row],[start_year]],CPI!$A$3:$A$31,0),3)</f>
        <v>0</v>
      </c>
      <c r="AA55" s="55">
        <f>Table2929[[#This Row],[$/sqft]]/INDEX(CPI!$A$3:$C$31,MATCH(Table2929[[#This Row],[start_year]],CPI!$A$3:$A$31,0),3)</f>
        <v>0</v>
      </c>
      <c r="AB55" s="55" t="s">
        <v>72</v>
      </c>
    </row>
    <row r="56" spans="1:28" hidden="1" x14ac:dyDescent="0.2">
      <c r="A56" t="s">
        <v>5303</v>
      </c>
      <c r="B56">
        <v>1245</v>
      </c>
      <c r="C56">
        <v>3190</v>
      </c>
      <c r="D56" t="s">
        <v>5186</v>
      </c>
      <c r="E56" t="s">
        <v>4832</v>
      </c>
      <c r="F56" t="s">
        <v>5187</v>
      </c>
      <c r="G56" t="s">
        <v>1241</v>
      </c>
      <c r="H56">
        <v>12</v>
      </c>
      <c r="I56" t="s">
        <v>5188</v>
      </c>
      <c r="J56">
        <v>2.2999999999999998</v>
      </c>
      <c r="K56" t="s">
        <v>5189</v>
      </c>
      <c r="M56" t="s">
        <v>4846</v>
      </c>
      <c r="N56" t="s">
        <v>4837</v>
      </c>
      <c r="O56" t="s">
        <v>4838</v>
      </c>
      <c r="P56" t="s">
        <v>56</v>
      </c>
      <c r="Q56" t="s">
        <v>4839</v>
      </c>
      <c r="R56">
        <v>1964</v>
      </c>
      <c r="S56">
        <v>1135</v>
      </c>
      <c r="T56">
        <v>1</v>
      </c>
      <c r="U56" t="s">
        <v>4840</v>
      </c>
      <c r="V56">
        <v>2011</v>
      </c>
      <c r="W56">
        <v>80.833333330000002</v>
      </c>
      <c r="Y56" s="55">
        <f>Table2929[[#This Row],[total_cost]]/Table2929[[#This Row],[cfa_post]]</f>
        <v>0</v>
      </c>
      <c r="Z56" s="55">
        <f>Table2929[[#This Row],[total_cost]]/INDEX(CPI!$A$3:$C$31,MATCH(Table2929[[#This Row],[start_year]],CPI!$A$3:$A$31,0),3)</f>
        <v>0</v>
      </c>
      <c r="AA56" s="55">
        <f>Table2929[[#This Row],[$/sqft]]/INDEX(CPI!$A$3:$C$31,MATCH(Table2929[[#This Row],[start_year]],CPI!$A$3:$A$31,0),3)</f>
        <v>0</v>
      </c>
      <c r="AB56" s="55" t="s">
        <v>72</v>
      </c>
    </row>
    <row r="57" spans="1:28" hidden="1" x14ac:dyDescent="0.2">
      <c r="A57" t="s">
        <v>5303</v>
      </c>
      <c r="B57">
        <v>1246</v>
      </c>
      <c r="C57">
        <v>3203</v>
      </c>
      <c r="D57" t="s">
        <v>5186</v>
      </c>
      <c r="E57" t="s">
        <v>4832</v>
      </c>
      <c r="F57" t="s">
        <v>5187</v>
      </c>
      <c r="G57" t="s">
        <v>1241</v>
      </c>
      <c r="H57">
        <v>12.5</v>
      </c>
      <c r="I57" t="s">
        <v>5188</v>
      </c>
      <c r="J57">
        <v>11.8</v>
      </c>
      <c r="K57" t="s">
        <v>5189</v>
      </c>
      <c r="M57" t="s">
        <v>5199</v>
      </c>
      <c r="N57" t="s">
        <v>4837</v>
      </c>
      <c r="O57" t="s">
        <v>4838</v>
      </c>
      <c r="P57" t="s">
        <v>56</v>
      </c>
      <c r="Q57" t="s">
        <v>4839</v>
      </c>
      <c r="R57">
        <v>1962</v>
      </c>
      <c r="S57">
        <v>864</v>
      </c>
      <c r="T57">
        <v>1</v>
      </c>
      <c r="U57" t="s">
        <v>4840</v>
      </c>
      <c r="V57">
        <v>2011</v>
      </c>
      <c r="W57">
        <v>5.6</v>
      </c>
      <c r="Y57" s="55">
        <f>Table2929[[#This Row],[total_cost]]/Table2929[[#This Row],[cfa_post]]</f>
        <v>0</v>
      </c>
      <c r="Z57" s="55">
        <f>Table2929[[#This Row],[total_cost]]/INDEX(CPI!$A$3:$C$31,MATCH(Table2929[[#This Row],[start_year]],CPI!$A$3:$A$31,0),3)</f>
        <v>0</v>
      </c>
      <c r="AA57" s="55">
        <f>Table2929[[#This Row],[$/sqft]]/INDEX(CPI!$A$3:$C$31,MATCH(Table2929[[#This Row],[start_year]],CPI!$A$3:$A$31,0),3)</f>
        <v>0</v>
      </c>
      <c r="AB57" s="55" t="s">
        <v>72</v>
      </c>
    </row>
    <row r="58" spans="1:28" hidden="1" x14ac:dyDescent="0.2">
      <c r="A58" t="s">
        <v>5303</v>
      </c>
      <c r="B58">
        <v>5055</v>
      </c>
      <c r="C58">
        <v>12339</v>
      </c>
      <c r="D58" t="s">
        <v>5186</v>
      </c>
      <c r="E58" t="s">
        <v>4832</v>
      </c>
      <c r="F58" t="s">
        <v>5187</v>
      </c>
      <c r="G58" t="s">
        <v>1241</v>
      </c>
      <c r="H58">
        <v>180</v>
      </c>
      <c r="I58" t="s">
        <v>5191</v>
      </c>
      <c r="J58">
        <v>180</v>
      </c>
      <c r="K58" t="s">
        <v>5192</v>
      </c>
      <c r="L58">
        <v>1116</v>
      </c>
      <c r="M58" t="s">
        <v>4900</v>
      </c>
      <c r="N58" t="s">
        <v>4979</v>
      </c>
      <c r="O58" t="s">
        <v>4838</v>
      </c>
      <c r="P58" t="s">
        <v>4844</v>
      </c>
      <c r="R58">
        <v>1993</v>
      </c>
      <c r="S58">
        <v>4535</v>
      </c>
      <c r="U58" t="s">
        <v>4840</v>
      </c>
      <c r="V58">
        <v>2018</v>
      </c>
      <c r="W58">
        <v>0</v>
      </c>
      <c r="X58" s="89">
        <f>ABS(IF(Table2929[[#This Row],[performance_2]]&lt;&gt;"", IF(Table2929[[#This Row],[performance_1]]&lt;&gt;"",(Table2929[[#This Row],[performance_1]]-Table2929[[#This Row],[performance_2]])/Table2929[[#This Row],[performance_1]],""), ""))</f>
        <v>0</v>
      </c>
      <c r="Y58" s="55">
        <f>Table2929[[#This Row],[total_cost]]/Table2929[[#This Row],[cfa_post]]</f>
        <v>0.24608599779492835</v>
      </c>
      <c r="Z58" s="55">
        <f>Table2929[[#This Row],[total_cost]]/INDEX(CPI!$A$3:$C$31,MATCH(Table2929[[#This Row],[start_year]],CPI!$A$3:$A$31,0),3)</f>
        <v>1351.5555555555557</v>
      </c>
      <c r="AA58" s="55">
        <f>Table2929[[#This Row],[$/sqft]]/INDEX(CPI!$A$3:$C$31,MATCH(Table2929[[#This Row],[start_year]],CPI!$A$3:$A$31,0),3)</f>
        <v>0.29802768589979178</v>
      </c>
      <c r="AB58" s="55" t="s">
        <v>72</v>
      </c>
    </row>
    <row r="59" spans="1:28" hidden="1" x14ac:dyDescent="0.2">
      <c r="A59" t="s">
        <v>5303</v>
      </c>
      <c r="B59">
        <v>1248</v>
      </c>
      <c r="C59">
        <v>3223</v>
      </c>
      <c r="D59" t="s">
        <v>5186</v>
      </c>
      <c r="E59" t="s">
        <v>4832</v>
      </c>
      <c r="F59" t="s">
        <v>5187</v>
      </c>
      <c r="G59" t="s">
        <v>1241</v>
      </c>
      <c r="H59">
        <v>7</v>
      </c>
      <c r="I59" t="s">
        <v>5188</v>
      </c>
      <c r="J59">
        <v>4</v>
      </c>
      <c r="K59" t="s">
        <v>5189</v>
      </c>
      <c r="M59" t="s">
        <v>4842</v>
      </c>
      <c r="N59" t="s">
        <v>4837</v>
      </c>
      <c r="O59" t="s">
        <v>4838</v>
      </c>
      <c r="P59" t="s">
        <v>4844</v>
      </c>
      <c r="Q59" t="s">
        <v>4839</v>
      </c>
      <c r="R59">
        <v>1986</v>
      </c>
      <c r="S59">
        <v>1150</v>
      </c>
      <c r="T59">
        <v>1</v>
      </c>
      <c r="U59" t="s">
        <v>4840</v>
      </c>
      <c r="V59">
        <v>2011</v>
      </c>
      <c r="W59">
        <v>42.857142860000003</v>
      </c>
      <c r="Y59" s="55">
        <f>Table2929[[#This Row],[total_cost]]/Table2929[[#This Row],[cfa_post]]</f>
        <v>0</v>
      </c>
      <c r="Z59" s="55">
        <f>Table2929[[#This Row],[total_cost]]/INDEX(CPI!$A$3:$C$31,MATCH(Table2929[[#This Row],[start_year]],CPI!$A$3:$A$31,0),3)</f>
        <v>0</v>
      </c>
      <c r="AA59" s="55">
        <f>Table2929[[#This Row],[$/sqft]]/INDEX(CPI!$A$3:$C$31,MATCH(Table2929[[#This Row],[start_year]],CPI!$A$3:$A$31,0),3)</f>
        <v>0</v>
      </c>
      <c r="AB59" s="55" t="s">
        <v>72</v>
      </c>
    </row>
    <row r="60" spans="1:28" hidden="1" x14ac:dyDescent="0.2">
      <c r="A60" t="s">
        <v>5303</v>
      </c>
      <c r="B60">
        <v>1249</v>
      </c>
      <c r="C60">
        <v>3233</v>
      </c>
      <c r="D60" t="s">
        <v>5186</v>
      </c>
      <c r="E60" t="s">
        <v>4832</v>
      </c>
      <c r="F60" t="s">
        <v>5187</v>
      </c>
      <c r="G60" t="s">
        <v>1241</v>
      </c>
      <c r="H60">
        <v>12</v>
      </c>
      <c r="I60" t="s">
        <v>5188</v>
      </c>
      <c r="J60">
        <v>7.6</v>
      </c>
      <c r="K60" t="s">
        <v>5189</v>
      </c>
      <c r="M60" t="s">
        <v>5195</v>
      </c>
      <c r="N60" t="s">
        <v>4837</v>
      </c>
      <c r="O60" t="s">
        <v>4838</v>
      </c>
      <c r="P60" t="s">
        <v>56</v>
      </c>
      <c r="Q60" t="s">
        <v>4839</v>
      </c>
      <c r="R60">
        <v>1996</v>
      </c>
      <c r="S60">
        <v>1248</v>
      </c>
      <c r="T60">
        <v>1</v>
      </c>
      <c r="U60" t="s">
        <v>4840</v>
      </c>
      <c r="V60">
        <v>2011</v>
      </c>
      <c r="W60">
        <v>36.666666669999998</v>
      </c>
      <c r="Y60" s="55">
        <f>Table2929[[#This Row],[total_cost]]/Table2929[[#This Row],[cfa_post]]</f>
        <v>0</v>
      </c>
      <c r="Z60" s="55">
        <f>Table2929[[#This Row],[total_cost]]/INDEX(CPI!$A$3:$C$31,MATCH(Table2929[[#This Row],[start_year]],CPI!$A$3:$A$31,0),3)</f>
        <v>0</v>
      </c>
      <c r="AA60" s="55">
        <f>Table2929[[#This Row],[$/sqft]]/INDEX(CPI!$A$3:$C$31,MATCH(Table2929[[#This Row],[start_year]],CPI!$A$3:$A$31,0),3)</f>
        <v>0</v>
      </c>
      <c r="AB60" s="55" t="s">
        <v>72</v>
      </c>
    </row>
    <row r="61" spans="1:28" hidden="1" x14ac:dyDescent="0.2">
      <c r="A61" t="s">
        <v>5303</v>
      </c>
      <c r="B61">
        <v>1250</v>
      </c>
      <c r="C61">
        <v>3246</v>
      </c>
      <c r="D61" t="s">
        <v>5186</v>
      </c>
      <c r="E61" t="s">
        <v>4832</v>
      </c>
      <c r="F61" t="s">
        <v>5187</v>
      </c>
      <c r="G61" t="s">
        <v>1241</v>
      </c>
      <c r="H61">
        <v>10</v>
      </c>
      <c r="I61" t="s">
        <v>5188</v>
      </c>
      <c r="J61">
        <v>5</v>
      </c>
      <c r="K61" t="s">
        <v>5189</v>
      </c>
      <c r="M61" t="s">
        <v>4836</v>
      </c>
      <c r="N61" t="s">
        <v>4837</v>
      </c>
      <c r="O61" t="s">
        <v>4838</v>
      </c>
      <c r="P61" t="s">
        <v>56</v>
      </c>
      <c r="Q61" t="s">
        <v>4839</v>
      </c>
      <c r="R61">
        <v>1963</v>
      </c>
      <c r="S61">
        <v>1740</v>
      </c>
      <c r="T61">
        <v>1</v>
      </c>
      <c r="U61" t="s">
        <v>4840</v>
      </c>
      <c r="V61">
        <v>2011</v>
      </c>
      <c r="W61">
        <v>50</v>
      </c>
      <c r="Y61" s="55">
        <f>Table2929[[#This Row],[total_cost]]/Table2929[[#This Row],[cfa_post]]</f>
        <v>0</v>
      </c>
      <c r="Z61" s="55">
        <f>Table2929[[#This Row],[total_cost]]/INDEX(CPI!$A$3:$C$31,MATCH(Table2929[[#This Row],[start_year]],CPI!$A$3:$A$31,0),3)</f>
        <v>0</v>
      </c>
      <c r="AA61" s="55">
        <f>Table2929[[#This Row],[$/sqft]]/INDEX(CPI!$A$3:$C$31,MATCH(Table2929[[#This Row],[start_year]],CPI!$A$3:$A$31,0),3)</f>
        <v>0</v>
      </c>
      <c r="AB61" s="55" t="s">
        <v>72</v>
      </c>
    </row>
    <row r="62" spans="1:28" hidden="1" x14ac:dyDescent="0.2">
      <c r="A62" t="s">
        <v>5303</v>
      </c>
      <c r="B62">
        <v>1251</v>
      </c>
      <c r="C62">
        <v>3257</v>
      </c>
      <c r="D62" t="s">
        <v>5186</v>
      </c>
      <c r="E62" t="s">
        <v>4832</v>
      </c>
      <c r="F62" t="s">
        <v>5187</v>
      </c>
      <c r="G62" t="s">
        <v>1241</v>
      </c>
      <c r="H62">
        <v>12</v>
      </c>
      <c r="I62" t="s">
        <v>5188</v>
      </c>
      <c r="J62">
        <v>2.9</v>
      </c>
      <c r="K62" t="s">
        <v>5189</v>
      </c>
      <c r="M62" t="s">
        <v>4847</v>
      </c>
      <c r="N62" t="s">
        <v>4837</v>
      </c>
      <c r="O62" t="s">
        <v>4838</v>
      </c>
      <c r="P62" t="s">
        <v>4844</v>
      </c>
      <c r="Q62" t="s">
        <v>4839</v>
      </c>
      <c r="R62">
        <v>1984</v>
      </c>
      <c r="S62">
        <v>1532</v>
      </c>
      <c r="T62">
        <v>1</v>
      </c>
      <c r="U62" t="s">
        <v>4840</v>
      </c>
      <c r="V62">
        <v>2010</v>
      </c>
      <c r="W62">
        <v>75.833333330000002</v>
      </c>
      <c r="Y62" s="55">
        <f>Table2929[[#This Row],[total_cost]]/Table2929[[#This Row],[cfa_post]]</f>
        <v>0</v>
      </c>
      <c r="Z62" s="55">
        <f>Table2929[[#This Row],[total_cost]]/INDEX(CPI!$A$3:$C$31,MATCH(Table2929[[#This Row],[start_year]],CPI!$A$3:$A$31,0),3)</f>
        <v>0</v>
      </c>
      <c r="AA62" s="55">
        <f>Table2929[[#This Row],[$/sqft]]/INDEX(CPI!$A$3:$C$31,MATCH(Table2929[[#This Row],[start_year]],CPI!$A$3:$A$31,0),3)</f>
        <v>0</v>
      </c>
      <c r="AB62" s="55" t="s">
        <v>72</v>
      </c>
    </row>
    <row r="63" spans="1:28" hidden="1" x14ac:dyDescent="0.2">
      <c r="A63" t="s">
        <v>5303</v>
      </c>
      <c r="B63">
        <v>1252</v>
      </c>
      <c r="C63">
        <v>3271</v>
      </c>
      <c r="D63" t="s">
        <v>5186</v>
      </c>
      <c r="E63" t="s">
        <v>4832</v>
      </c>
      <c r="F63" t="s">
        <v>5187</v>
      </c>
      <c r="G63" t="s">
        <v>1241</v>
      </c>
      <c r="H63">
        <v>7</v>
      </c>
      <c r="I63" t="s">
        <v>5188</v>
      </c>
      <c r="J63">
        <v>2.9</v>
      </c>
      <c r="K63" t="s">
        <v>5189</v>
      </c>
      <c r="M63" t="s">
        <v>4836</v>
      </c>
      <c r="N63" t="s">
        <v>4837</v>
      </c>
      <c r="O63" t="s">
        <v>4838</v>
      </c>
      <c r="P63" t="s">
        <v>56</v>
      </c>
      <c r="Q63" t="s">
        <v>4839</v>
      </c>
      <c r="R63">
        <v>1967</v>
      </c>
      <c r="S63">
        <v>1196</v>
      </c>
      <c r="T63">
        <v>1</v>
      </c>
      <c r="U63" t="s">
        <v>4840</v>
      </c>
      <c r="V63">
        <v>2011</v>
      </c>
      <c r="W63">
        <v>58.571428570000002</v>
      </c>
      <c r="Y63" s="55">
        <f>Table2929[[#This Row],[total_cost]]/Table2929[[#This Row],[cfa_post]]</f>
        <v>0</v>
      </c>
      <c r="Z63" s="55">
        <f>Table2929[[#This Row],[total_cost]]/INDEX(CPI!$A$3:$C$31,MATCH(Table2929[[#This Row],[start_year]],CPI!$A$3:$A$31,0),3)</f>
        <v>0</v>
      </c>
      <c r="AA63" s="55">
        <f>Table2929[[#This Row],[$/sqft]]/INDEX(CPI!$A$3:$C$31,MATCH(Table2929[[#This Row],[start_year]],CPI!$A$3:$A$31,0),3)</f>
        <v>0</v>
      </c>
      <c r="AB63" s="55" t="s">
        <v>72</v>
      </c>
    </row>
    <row r="64" spans="1:28" hidden="1" x14ac:dyDescent="0.2">
      <c r="A64" t="s">
        <v>5303</v>
      </c>
      <c r="B64">
        <v>1253</v>
      </c>
      <c r="C64">
        <v>3282</v>
      </c>
      <c r="D64" t="s">
        <v>5186</v>
      </c>
      <c r="E64" t="s">
        <v>4832</v>
      </c>
      <c r="F64" t="s">
        <v>5187</v>
      </c>
      <c r="G64" t="s">
        <v>1241</v>
      </c>
      <c r="H64">
        <v>10</v>
      </c>
      <c r="I64" t="s">
        <v>5188</v>
      </c>
      <c r="J64">
        <v>6.5</v>
      </c>
      <c r="K64" t="s">
        <v>5189</v>
      </c>
      <c r="M64" t="s">
        <v>5196</v>
      </c>
      <c r="N64" t="s">
        <v>4837</v>
      </c>
      <c r="O64" t="s">
        <v>4838</v>
      </c>
      <c r="P64" t="s">
        <v>56</v>
      </c>
      <c r="Q64" t="s">
        <v>4839</v>
      </c>
      <c r="R64">
        <v>1996</v>
      </c>
      <c r="S64">
        <v>1573</v>
      </c>
      <c r="T64">
        <v>2</v>
      </c>
      <c r="U64" t="s">
        <v>4840</v>
      </c>
      <c r="V64">
        <v>2012</v>
      </c>
      <c r="W64">
        <v>35</v>
      </c>
      <c r="Y64" s="55">
        <f>Table2929[[#This Row],[total_cost]]/Table2929[[#This Row],[cfa_post]]</f>
        <v>0</v>
      </c>
      <c r="Z64" s="55">
        <f>Table2929[[#This Row],[total_cost]]/INDEX(CPI!$A$3:$C$31,MATCH(Table2929[[#This Row],[start_year]],CPI!$A$3:$A$31,0),3)</f>
        <v>0</v>
      </c>
      <c r="AA64" s="55">
        <f>Table2929[[#This Row],[$/sqft]]/INDEX(CPI!$A$3:$C$31,MATCH(Table2929[[#This Row],[start_year]],CPI!$A$3:$A$31,0),3)</f>
        <v>0</v>
      </c>
      <c r="AB64" s="55" t="s">
        <v>72</v>
      </c>
    </row>
    <row r="65" spans="1:28" hidden="1" x14ac:dyDescent="0.2">
      <c r="A65" t="s">
        <v>5303</v>
      </c>
      <c r="B65">
        <v>1254</v>
      </c>
      <c r="C65">
        <v>3291</v>
      </c>
      <c r="D65" t="s">
        <v>5186</v>
      </c>
      <c r="E65" t="s">
        <v>4832</v>
      </c>
      <c r="F65" t="s">
        <v>5187</v>
      </c>
      <c r="G65" t="s">
        <v>1241</v>
      </c>
      <c r="H65">
        <v>4.9000000000000004</v>
      </c>
      <c r="I65" t="s">
        <v>5188</v>
      </c>
      <c r="J65">
        <v>3.6</v>
      </c>
      <c r="K65" t="s">
        <v>5189</v>
      </c>
      <c r="M65" t="s">
        <v>5200</v>
      </c>
      <c r="N65" t="s">
        <v>4837</v>
      </c>
      <c r="O65" t="s">
        <v>4838</v>
      </c>
      <c r="P65" t="s">
        <v>56</v>
      </c>
      <c r="Q65" t="s">
        <v>4839</v>
      </c>
      <c r="R65">
        <v>1999</v>
      </c>
      <c r="S65">
        <v>1522</v>
      </c>
      <c r="T65">
        <v>1</v>
      </c>
      <c r="U65" t="s">
        <v>4840</v>
      </c>
      <c r="V65">
        <v>2010</v>
      </c>
      <c r="W65">
        <v>26.53061224</v>
      </c>
      <c r="Y65" s="55">
        <f>Table2929[[#This Row],[total_cost]]/Table2929[[#This Row],[cfa_post]]</f>
        <v>0</v>
      </c>
      <c r="Z65" s="55">
        <f>Table2929[[#This Row],[total_cost]]/INDEX(CPI!$A$3:$C$31,MATCH(Table2929[[#This Row],[start_year]],CPI!$A$3:$A$31,0),3)</f>
        <v>0</v>
      </c>
      <c r="AA65" s="55">
        <f>Table2929[[#This Row],[$/sqft]]/INDEX(CPI!$A$3:$C$31,MATCH(Table2929[[#This Row],[start_year]],CPI!$A$3:$A$31,0),3)</f>
        <v>0</v>
      </c>
      <c r="AB65" s="55" t="s">
        <v>72</v>
      </c>
    </row>
    <row r="66" spans="1:28" hidden="1" x14ac:dyDescent="0.2">
      <c r="A66" t="s">
        <v>5303</v>
      </c>
      <c r="B66">
        <v>1255</v>
      </c>
      <c r="C66">
        <v>3301</v>
      </c>
      <c r="D66" t="s">
        <v>5186</v>
      </c>
      <c r="E66" t="s">
        <v>4832</v>
      </c>
      <c r="F66" t="s">
        <v>5187</v>
      </c>
      <c r="G66" t="s">
        <v>1241</v>
      </c>
      <c r="H66">
        <v>12</v>
      </c>
      <c r="I66" t="s">
        <v>5188</v>
      </c>
      <c r="J66">
        <v>3.8</v>
      </c>
      <c r="K66" t="s">
        <v>5189</v>
      </c>
      <c r="M66" t="s">
        <v>4848</v>
      </c>
      <c r="N66" t="s">
        <v>4837</v>
      </c>
      <c r="O66" t="s">
        <v>4838</v>
      </c>
      <c r="P66" t="s">
        <v>4844</v>
      </c>
      <c r="Q66" t="s">
        <v>4839</v>
      </c>
      <c r="R66">
        <v>1987</v>
      </c>
      <c r="S66">
        <v>952</v>
      </c>
      <c r="T66">
        <v>1</v>
      </c>
      <c r="U66" t="s">
        <v>4840</v>
      </c>
      <c r="V66">
        <v>2010</v>
      </c>
      <c r="W66">
        <v>68.333333330000002</v>
      </c>
      <c r="Y66" s="55">
        <f>Table2929[[#This Row],[total_cost]]/Table2929[[#This Row],[cfa_post]]</f>
        <v>0</v>
      </c>
      <c r="Z66" s="55">
        <f>Table2929[[#This Row],[total_cost]]/INDEX(CPI!$A$3:$C$31,MATCH(Table2929[[#This Row],[start_year]],CPI!$A$3:$A$31,0),3)</f>
        <v>0</v>
      </c>
      <c r="AA66" s="55">
        <f>Table2929[[#This Row],[$/sqft]]/INDEX(CPI!$A$3:$C$31,MATCH(Table2929[[#This Row],[start_year]],CPI!$A$3:$A$31,0),3)</f>
        <v>0</v>
      </c>
      <c r="AB66" s="55" t="s">
        <v>72</v>
      </c>
    </row>
    <row r="67" spans="1:28" hidden="1" x14ac:dyDescent="0.2">
      <c r="A67" t="s">
        <v>5303</v>
      </c>
      <c r="B67">
        <v>1256</v>
      </c>
      <c r="C67">
        <v>3315</v>
      </c>
      <c r="D67" t="s">
        <v>5186</v>
      </c>
      <c r="E67" t="s">
        <v>4832</v>
      </c>
      <c r="F67" t="s">
        <v>5187</v>
      </c>
      <c r="G67" t="s">
        <v>1241</v>
      </c>
      <c r="H67">
        <v>12</v>
      </c>
      <c r="I67" t="s">
        <v>5188</v>
      </c>
      <c r="J67">
        <v>2.5</v>
      </c>
      <c r="K67" t="s">
        <v>5189</v>
      </c>
      <c r="M67" t="s">
        <v>4846</v>
      </c>
      <c r="N67" t="s">
        <v>4837</v>
      </c>
      <c r="O67" t="s">
        <v>4838</v>
      </c>
      <c r="P67" t="s">
        <v>56</v>
      </c>
      <c r="Q67" t="s">
        <v>4839</v>
      </c>
      <c r="R67">
        <v>1966</v>
      </c>
      <c r="S67">
        <v>1522</v>
      </c>
      <c r="T67">
        <v>1</v>
      </c>
      <c r="U67" t="s">
        <v>4840</v>
      </c>
      <c r="V67">
        <v>2011</v>
      </c>
      <c r="W67">
        <v>79.166666669999998</v>
      </c>
      <c r="Y67" s="55">
        <f>Table2929[[#This Row],[total_cost]]/Table2929[[#This Row],[cfa_post]]</f>
        <v>0</v>
      </c>
      <c r="Z67" s="55">
        <f>Table2929[[#This Row],[total_cost]]/INDEX(CPI!$A$3:$C$31,MATCH(Table2929[[#This Row],[start_year]],CPI!$A$3:$A$31,0),3)</f>
        <v>0</v>
      </c>
      <c r="AA67" s="55">
        <f>Table2929[[#This Row],[$/sqft]]/INDEX(CPI!$A$3:$C$31,MATCH(Table2929[[#This Row],[start_year]],CPI!$A$3:$A$31,0),3)</f>
        <v>0</v>
      </c>
      <c r="AB67" s="55" t="s">
        <v>72</v>
      </c>
    </row>
    <row r="68" spans="1:28" hidden="1" x14ac:dyDescent="0.2">
      <c r="A68" t="s">
        <v>5303</v>
      </c>
      <c r="B68">
        <v>5209</v>
      </c>
      <c r="C68">
        <v>13253</v>
      </c>
      <c r="D68" t="s">
        <v>5186</v>
      </c>
      <c r="E68" t="s">
        <v>4832</v>
      </c>
      <c r="F68" t="s">
        <v>5187</v>
      </c>
      <c r="G68" t="s">
        <v>1241</v>
      </c>
      <c r="H68">
        <v>167</v>
      </c>
      <c r="I68" t="s">
        <v>5191</v>
      </c>
      <c r="J68">
        <v>167</v>
      </c>
      <c r="K68" t="s">
        <v>5192</v>
      </c>
      <c r="L68">
        <v>512.95000000000005</v>
      </c>
      <c r="M68" t="s">
        <v>4982</v>
      </c>
      <c r="N68" t="s">
        <v>4979</v>
      </c>
      <c r="O68" t="s">
        <v>4838</v>
      </c>
      <c r="P68" t="s">
        <v>1241</v>
      </c>
      <c r="R68">
        <v>2007</v>
      </c>
      <c r="S68">
        <v>2950</v>
      </c>
      <c r="U68" t="s">
        <v>4840</v>
      </c>
      <c r="V68">
        <v>2017</v>
      </c>
      <c r="W68">
        <v>0</v>
      </c>
      <c r="X68" s="89">
        <f>ABS(IF(Table2929[[#This Row],[performance_2]]&lt;&gt;"", IF(Table2929[[#This Row],[performance_1]]&lt;&gt;"",(Table2929[[#This Row],[performance_1]]-Table2929[[#This Row],[performance_2]])/Table2929[[#This Row],[performance_1]],""), ""))</f>
        <v>0</v>
      </c>
      <c r="Y68" s="55">
        <f>Table2929[[#This Row],[total_cost]]/Table2929[[#This Row],[cfa_post]]</f>
        <v>0.17388135593220341</v>
      </c>
      <c r="Z68" s="55">
        <f>Table2929[[#This Row],[total_cost]]/INDEX(CPI!$A$3:$C$31,MATCH(Table2929[[#This Row],[start_year]],CPI!$A$3:$A$31,0),3)</f>
        <v>636.42633618931063</v>
      </c>
      <c r="AA68" s="55">
        <f>Table2929[[#This Row],[$/sqft]]/INDEX(CPI!$A$3:$C$31,MATCH(Table2929[[#This Row],[start_year]],CPI!$A$3:$A$31,0),3)</f>
        <v>0.21573774108112226</v>
      </c>
      <c r="AB68" s="55" t="s">
        <v>72</v>
      </c>
    </row>
    <row r="69" spans="1:28" hidden="1" x14ac:dyDescent="0.2">
      <c r="A69" t="s">
        <v>5303</v>
      </c>
      <c r="B69">
        <v>5216</v>
      </c>
      <c r="C69">
        <v>13289</v>
      </c>
      <c r="D69" t="s">
        <v>5186</v>
      </c>
      <c r="E69" t="s">
        <v>4832</v>
      </c>
      <c r="F69" t="s">
        <v>5187</v>
      </c>
      <c r="G69" t="s">
        <v>1241</v>
      </c>
      <c r="H69">
        <v>61</v>
      </c>
      <c r="I69" t="s">
        <v>5191</v>
      </c>
      <c r="J69">
        <v>61</v>
      </c>
      <c r="K69" t="s">
        <v>5192</v>
      </c>
      <c r="L69">
        <v>200</v>
      </c>
      <c r="M69" t="s">
        <v>4993</v>
      </c>
      <c r="N69" t="s">
        <v>4979</v>
      </c>
      <c r="O69" t="s">
        <v>4838</v>
      </c>
      <c r="P69" t="s">
        <v>4844</v>
      </c>
      <c r="R69">
        <v>1998</v>
      </c>
      <c r="S69">
        <v>2236</v>
      </c>
      <c r="U69" t="s">
        <v>4840</v>
      </c>
      <c r="V69">
        <v>2018</v>
      </c>
      <c r="W69">
        <v>0</v>
      </c>
      <c r="X69" s="89">
        <f>ABS(IF(Table2929[[#This Row],[performance_2]]&lt;&gt;"", IF(Table2929[[#This Row],[performance_1]]&lt;&gt;"",(Table2929[[#This Row],[performance_1]]-Table2929[[#This Row],[performance_2]])/Table2929[[#This Row],[performance_1]],""), ""))</f>
        <v>0</v>
      </c>
      <c r="Y69" s="55">
        <f>Table2929[[#This Row],[total_cost]]/Table2929[[#This Row],[cfa_post]]</f>
        <v>8.9445438282647588E-2</v>
      </c>
      <c r="Z69" s="55">
        <f>Table2929[[#This Row],[total_cost]]/INDEX(CPI!$A$3:$C$31,MATCH(Table2929[[#This Row],[start_year]],CPI!$A$3:$A$31,0),3)</f>
        <v>242.21425726802073</v>
      </c>
      <c r="AA69" s="55">
        <f>Table2929[[#This Row],[$/sqft]]/INDEX(CPI!$A$3:$C$31,MATCH(Table2929[[#This Row],[start_year]],CPI!$A$3:$A$31,0),3)</f>
        <v>0.10832480199822037</v>
      </c>
      <c r="AB69" s="55" t="s">
        <v>72</v>
      </c>
    </row>
    <row r="70" spans="1:28" hidden="1" x14ac:dyDescent="0.2">
      <c r="A70" t="s">
        <v>5303</v>
      </c>
      <c r="B70">
        <v>1259</v>
      </c>
      <c r="C70">
        <v>3345</v>
      </c>
      <c r="D70" t="s">
        <v>5186</v>
      </c>
      <c r="E70" t="s">
        <v>4832</v>
      </c>
      <c r="F70" t="s">
        <v>5187</v>
      </c>
      <c r="G70" t="s">
        <v>1241</v>
      </c>
      <c r="H70">
        <v>13</v>
      </c>
      <c r="I70" t="s">
        <v>5188</v>
      </c>
      <c r="J70">
        <v>5.2</v>
      </c>
      <c r="K70" t="s">
        <v>5192</v>
      </c>
      <c r="M70" t="s">
        <v>5201</v>
      </c>
      <c r="N70" t="s">
        <v>4837</v>
      </c>
      <c r="O70" t="s">
        <v>4838</v>
      </c>
      <c r="P70" t="s">
        <v>56</v>
      </c>
      <c r="Q70" t="s">
        <v>4839</v>
      </c>
      <c r="R70">
        <v>2000</v>
      </c>
      <c r="S70">
        <v>1176</v>
      </c>
      <c r="T70">
        <v>1</v>
      </c>
      <c r="U70" t="s">
        <v>4840</v>
      </c>
      <c r="V70">
        <v>2012</v>
      </c>
      <c r="Y70" s="55">
        <f>Table2929[[#This Row],[total_cost]]/Table2929[[#This Row],[cfa_post]]</f>
        <v>0</v>
      </c>
      <c r="Z70" s="55">
        <f>Table2929[[#This Row],[total_cost]]/INDEX(CPI!$A$3:$C$31,MATCH(Table2929[[#This Row],[start_year]],CPI!$A$3:$A$31,0),3)</f>
        <v>0</v>
      </c>
      <c r="AA70" s="55">
        <f>Table2929[[#This Row],[$/sqft]]/INDEX(CPI!$A$3:$C$31,MATCH(Table2929[[#This Row],[start_year]],CPI!$A$3:$A$31,0),3)</f>
        <v>0</v>
      </c>
      <c r="AB70" s="55" t="s">
        <v>72</v>
      </c>
    </row>
    <row r="71" spans="1:28" hidden="1" x14ac:dyDescent="0.2">
      <c r="A71" t="s">
        <v>5303</v>
      </c>
      <c r="B71">
        <v>1261</v>
      </c>
      <c r="C71">
        <v>3365</v>
      </c>
      <c r="D71" t="s">
        <v>5186</v>
      </c>
      <c r="E71" t="s">
        <v>4832</v>
      </c>
      <c r="F71" t="s">
        <v>5187</v>
      </c>
      <c r="G71" t="s">
        <v>1241</v>
      </c>
      <c r="H71">
        <v>7.3</v>
      </c>
      <c r="I71" t="s">
        <v>5188</v>
      </c>
      <c r="J71">
        <v>3.9</v>
      </c>
      <c r="K71" t="s">
        <v>5189</v>
      </c>
      <c r="M71" t="s">
        <v>4849</v>
      </c>
      <c r="N71" t="s">
        <v>4837</v>
      </c>
      <c r="O71" t="s">
        <v>4838</v>
      </c>
      <c r="P71" t="s">
        <v>56</v>
      </c>
      <c r="Q71" t="s">
        <v>4839</v>
      </c>
      <c r="R71">
        <v>1989</v>
      </c>
      <c r="S71">
        <v>1621</v>
      </c>
      <c r="T71">
        <v>1</v>
      </c>
      <c r="U71" t="s">
        <v>4840</v>
      </c>
      <c r="V71">
        <v>2012</v>
      </c>
      <c r="W71">
        <v>46.575342470000002</v>
      </c>
      <c r="Y71" s="55">
        <f>Table2929[[#This Row],[total_cost]]/Table2929[[#This Row],[cfa_post]]</f>
        <v>0</v>
      </c>
      <c r="Z71" s="55">
        <f>Table2929[[#This Row],[total_cost]]/INDEX(CPI!$A$3:$C$31,MATCH(Table2929[[#This Row],[start_year]],CPI!$A$3:$A$31,0),3)</f>
        <v>0</v>
      </c>
      <c r="AA71" s="55">
        <f>Table2929[[#This Row],[$/sqft]]/INDEX(CPI!$A$3:$C$31,MATCH(Table2929[[#This Row],[start_year]],CPI!$A$3:$A$31,0),3)</f>
        <v>0</v>
      </c>
      <c r="AB71" s="55" t="s">
        <v>72</v>
      </c>
    </row>
    <row r="72" spans="1:28" hidden="1" x14ac:dyDescent="0.2">
      <c r="A72" t="s">
        <v>5303</v>
      </c>
      <c r="B72">
        <v>1262</v>
      </c>
      <c r="C72">
        <v>3373</v>
      </c>
      <c r="D72" t="s">
        <v>5186</v>
      </c>
      <c r="E72" t="s">
        <v>4832</v>
      </c>
      <c r="F72" t="s">
        <v>5187</v>
      </c>
      <c r="G72" t="s">
        <v>1241</v>
      </c>
      <c r="H72">
        <v>14.5</v>
      </c>
      <c r="I72" t="s">
        <v>5188</v>
      </c>
      <c r="J72">
        <v>3.7</v>
      </c>
      <c r="K72" t="s">
        <v>5189</v>
      </c>
      <c r="M72" t="s">
        <v>4849</v>
      </c>
      <c r="N72" t="s">
        <v>4837</v>
      </c>
      <c r="O72" t="s">
        <v>4838</v>
      </c>
      <c r="P72" t="s">
        <v>56</v>
      </c>
      <c r="Q72" t="s">
        <v>4839</v>
      </c>
      <c r="R72">
        <v>1989</v>
      </c>
      <c r="S72">
        <v>1104</v>
      </c>
      <c r="T72">
        <v>1</v>
      </c>
      <c r="U72" t="s">
        <v>4840</v>
      </c>
      <c r="V72">
        <v>2012</v>
      </c>
      <c r="W72">
        <v>74.482758619999998</v>
      </c>
      <c r="Y72" s="55">
        <f>Table2929[[#This Row],[total_cost]]/Table2929[[#This Row],[cfa_post]]</f>
        <v>0</v>
      </c>
      <c r="Z72" s="55">
        <f>Table2929[[#This Row],[total_cost]]/INDEX(CPI!$A$3:$C$31,MATCH(Table2929[[#This Row],[start_year]],CPI!$A$3:$A$31,0),3)</f>
        <v>0</v>
      </c>
      <c r="AA72" s="55">
        <f>Table2929[[#This Row],[$/sqft]]/INDEX(CPI!$A$3:$C$31,MATCH(Table2929[[#This Row],[start_year]],CPI!$A$3:$A$31,0),3)</f>
        <v>0</v>
      </c>
      <c r="AB72" s="55" t="s">
        <v>72</v>
      </c>
    </row>
    <row r="73" spans="1:28" x14ac:dyDescent="0.2">
      <c r="A73" t="s">
        <v>5303</v>
      </c>
      <c r="B73">
        <v>5162</v>
      </c>
      <c r="C73">
        <v>12990</v>
      </c>
      <c r="D73" t="s">
        <v>5186</v>
      </c>
      <c r="E73" t="s">
        <v>4832</v>
      </c>
      <c r="F73" t="s">
        <v>5187</v>
      </c>
      <c r="G73" t="s">
        <v>1241</v>
      </c>
      <c r="H73">
        <v>600</v>
      </c>
      <c r="I73" t="s">
        <v>5191</v>
      </c>
      <c r="J73">
        <v>599</v>
      </c>
      <c r="K73" t="s">
        <v>5192</v>
      </c>
      <c r="L73">
        <v>1236.95</v>
      </c>
      <c r="M73" t="s">
        <v>4997</v>
      </c>
      <c r="N73" t="s">
        <v>4979</v>
      </c>
      <c r="O73" t="s">
        <v>4972</v>
      </c>
      <c r="P73" t="s">
        <v>4844</v>
      </c>
      <c r="R73">
        <v>2004</v>
      </c>
      <c r="S73">
        <v>1971</v>
      </c>
      <c r="U73" t="s">
        <v>4840</v>
      </c>
      <c r="V73">
        <v>2019</v>
      </c>
      <c r="W73">
        <v>0.16666666699999999</v>
      </c>
      <c r="X73" s="89">
        <f>ABS(IF(Table2929[[#This Row],[performance_2]]&lt;&gt;"", IF(Table2929[[#This Row],[performance_1]]&lt;&gt;"",(Table2929[[#This Row],[performance_1]]-Table2929[[#This Row],[performance_2]])/Table2929[[#This Row],[performance_1]],""), ""))</f>
        <v>1.6666666666666668E-3</v>
      </c>
      <c r="Y73" s="55">
        <f>Table2929[[#This Row],[total_cost]]/Table2929[[#This Row],[cfa_post]]</f>
        <v>0.62757483510908174</v>
      </c>
      <c r="Z73" s="55">
        <f>Table2929[[#This Row],[total_cost]]/INDEX(CPI!$A$3:$C$31,MATCH(Table2929[[#This Row],[start_year]],CPI!$A$3:$A$31,0),3)</f>
        <v>1471.0852366053971</v>
      </c>
      <c r="AA73" s="55">
        <f>Table2929[[#This Row],[$/sqft]]/INDEX(CPI!$A$3:$C$31,MATCH(Table2929[[#This Row],[start_year]],CPI!$A$3:$A$31,0),3)</f>
        <v>0.74636490949030809</v>
      </c>
      <c r="AB73" s="55" t="s">
        <v>71</v>
      </c>
    </row>
    <row r="74" spans="1:28" hidden="1" x14ac:dyDescent="0.2">
      <c r="A74" t="s">
        <v>5303</v>
      </c>
      <c r="B74">
        <v>1264</v>
      </c>
      <c r="C74">
        <v>3396</v>
      </c>
      <c r="D74" t="s">
        <v>5186</v>
      </c>
      <c r="E74" t="s">
        <v>4832</v>
      </c>
      <c r="F74" t="s">
        <v>5187</v>
      </c>
      <c r="G74" t="s">
        <v>1241</v>
      </c>
      <c r="H74">
        <v>4</v>
      </c>
      <c r="I74" t="s">
        <v>5188</v>
      </c>
      <c r="J74">
        <v>7</v>
      </c>
      <c r="K74" t="s">
        <v>5189</v>
      </c>
      <c r="M74" t="s">
        <v>4846</v>
      </c>
      <c r="N74" t="s">
        <v>4837</v>
      </c>
      <c r="O74" t="s">
        <v>4838</v>
      </c>
      <c r="P74" t="s">
        <v>56</v>
      </c>
      <c r="Q74" t="s">
        <v>4839</v>
      </c>
      <c r="R74">
        <v>1958</v>
      </c>
      <c r="S74">
        <v>950</v>
      </c>
      <c r="T74">
        <v>1</v>
      </c>
      <c r="U74" t="s">
        <v>4840</v>
      </c>
      <c r="V74">
        <v>2010</v>
      </c>
      <c r="W74">
        <v>-75</v>
      </c>
      <c r="Y74" s="55">
        <f>Table2929[[#This Row],[total_cost]]/Table2929[[#This Row],[cfa_post]]</f>
        <v>0</v>
      </c>
      <c r="Z74" s="55">
        <f>Table2929[[#This Row],[total_cost]]/INDEX(CPI!$A$3:$C$31,MATCH(Table2929[[#This Row],[start_year]],CPI!$A$3:$A$31,0),3)</f>
        <v>0</v>
      </c>
      <c r="AA74" s="55">
        <f>Table2929[[#This Row],[$/sqft]]/INDEX(CPI!$A$3:$C$31,MATCH(Table2929[[#This Row],[start_year]],CPI!$A$3:$A$31,0),3)</f>
        <v>0</v>
      </c>
      <c r="AB74" s="55" t="s">
        <v>72</v>
      </c>
    </row>
    <row r="75" spans="1:28" hidden="1" x14ac:dyDescent="0.2">
      <c r="A75" t="s">
        <v>5303</v>
      </c>
      <c r="B75">
        <v>1265</v>
      </c>
      <c r="C75">
        <v>3405</v>
      </c>
      <c r="D75" t="s">
        <v>5186</v>
      </c>
      <c r="E75" t="s">
        <v>4832</v>
      </c>
      <c r="F75" t="s">
        <v>5187</v>
      </c>
      <c r="G75" t="s">
        <v>1241</v>
      </c>
      <c r="H75">
        <v>5</v>
      </c>
      <c r="I75" t="s">
        <v>5188</v>
      </c>
      <c r="J75">
        <v>1.8</v>
      </c>
      <c r="K75" t="s">
        <v>5189</v>
      </c>
      <c r="M75" t="s">
        <v>4848</v>
      </c>
      <c r="N75" t="s">
        <v>4837</v>
      </c>
      <c r="O75" t="s">
        <v>4838</v>
      </c>
      <c r="P75" t="s">
        <v>56</v>
      </c>
      <c r="Q75" t="s">
        <v>4839</v>
      </c>
      <c r="R75">
        <v>1967</v>
      </c>
      <c r="S75">
        <v>1190</v>
      </c>
      <c r="T75">
        <v>1</v>
      </c>
      <c r="U75" t="s">
        <v>4840</v>
      </c>
      <c r="V75">
        <v>2010</v>
      </c>
      <c r="W75">
        <v>64</v>
      </c>
      <c r="Y75" s="55">
        <f>Table2929[[#This Row],[total_cost]]/Table2929[[#This Row],[cfa_post]]</f>
        <v>0</v>
      </c>
      <c r="Z75" s="55">
        <f>Table2929[[#This Row],[total_cost]]/INDEX(CPI!$A$3:$C$31,MATCH(Table2929[[#This Row],[start_year]],CPI!$A$3:$A$31,0),3)</f>
        <v>0</v>
      </c>
      <c r="AA75" s="55">
        <f>Table2929[[#This Row],[$/sqft]]/INDEX(CPI!$A$3:$C$31,MATCH(Table2929[[#This Row],[start_year]],CPI!$A$3:$A$31,0),3)</f>
        <v>0</v>
      </c>
      <c r="AB75" s="55" t="s">
        <v>72</v>
      </c>
    </row>
    <row r="76" spans="1:28" hidden="1" x14ac:dyDescent="0.2">
      <c r="A76" t="s">
        <v>5303</v>
      </c>
      <c r="B76">
        <v>1266</v>
      </c>
      <c r="C76">
        <v>3415</v>
      </c>
      <c r="D76" t="s">
        <v>5186</v>
      </c>
      <c r="E76" t="s">
        <v>4832</v>
      </c>
      <c r="F76" t="s">
        <v>5187</v>
      </c>
      <c r="G76" t="s">
        <v>1241</v>
      </c>
      <c r="H76">
        <v>13</v>
      </c>
      <c r="I76" t="s">
        <v>5188</v>
      </c>
      <c r="J76">
        <v>6</v>
      </c>
      <c r="K76" t="s">
        <v>5189</v>
      </c>
      <c r="M76" t="s">
        <v>4836</v>
      </c>
      <c r="N76" t="s">
        <v>4837</v>
      </c>
      <c r="O76" t="s">
        <v>4850</v>
      </c>
      <c r="P76" t="s">
        <v>56</v>
      </c>
      <c r="Q76" t="s">
        <v>4839</v>
      </c>
      <c r="R76">
        <v>1989</v>
      </c>
      <c r="S76">
        <v>2650</v>
      </c>
      <c r="T76">
        <v>2</v>
      </c>
      <c r="U76" t="s">
        <v>4840</v>
      </c>
      <c r="V76">
        <v>2013</v>
      </c>
      <c r="W76">
        <v>53.84615385</v>
      </c>
      <c r="Y76" s="55">
        <f>Table2929[[#This Row],[total_cost]]/Table2929[[#This Row],[cfa_post]]</f>
        <v>0</v>
      </c>
      <c r="Z76" s="55">
        <f>Table2929[[#This Row],[total_cost]]/INDEX(CPI!$A$3:$C$31,MATCH(Table2929[[#This Row],[start_year]],CPI!$A$3:$A$31,0),3)</f>
        <v>0</v>
      </c>
      <c r="AA76" s="55">
        <f>Table2929[[#This Row],[$/sqft]]/INDEX(CPI!$A$3:$C$31,MATCH(Table2929[[#This Row],[start_year]],CPI!$A$3:$A$31,0),3)</f>
        <v>0</v>
      </c>
      <c r="AB76" s="55" t="s">
        <v>72</v>
      </c>
    </row>
    <row r="77" spans="1:28" hidden="1" x14ac:dyDescent="0.2">
      <c r="A77" t="s">
        <v>5303</v>
      </c>
      <c r="B77">
        <v>1268</v>
      </c>
      <c r="C77">
        <v>3431</v>
      </c>
      <c r="D77" t="s">
        <v>5186</v>
      </c>
      <c r="E77" t="s">
        <v>4832</v>
      </c>
      <c r="F77" t="s">
        <v>5187</v>
      </c>
      <c r="G77" t="s">
        <v>1241</v>
      </c>
      <c r="H77">
        <v>5</v>
      </c>
      <c r="I77" t="s">
        <v>5188</v>
      </c>
      <c r="J77">
        <v>4</v>
      </c>
      <c r="K77" t="s">
        <v>5189</v>
      </c>
      <c r="M77" t="s">
        <v>5202</v>
      </c>
      <c r="N77" t="s">
        <v>4837</v>
      </c>
      <c r="O77" t="s">
        <v>4838</v>
      </c>
      <c r="P77" t="s">
        <v>56</v>
      </c>
      <c r="Q77" t="s">
        <v>4839</v>
      </c>
      <c r="R77">
        <v>2003</v>
      </c>
      <c r="S77">
        <v>1627</v>
      </c>
      <c r="T77">
        <v>1</v>
      </c>
      <c r="U77" t="s">
        <v>4840</v>
      </c>
      <c r="V77">
        <v>2013</v>
      </c>
      <c r="W77">
        <v>20</v>
      </c>
      <c r="Y77" s="55">
        <f>Table2929[[#This Row],[total_cost]]/Table2929[[#This Row],[cfa_post]]</f>
        <v>0</v>
      </c>
      <c r="Z77" s="55">
        <f>Table2929[[#This Row],[total_cost]]/INDEX(CPI!$A$3:$C$31,MATCH(Table2929[[#This Row],[start_year]],CPI!$A$3:$A$31,0),3)</f>
        <v>0</v>
      </c>
      <c r="AA77" s="55">
        <f>Table2929[[#This Row],[$/sqft]]/INDEX(CPI!$A$3:$C$31,MATCH(Table2929[[#This Row],[start_year]],CPI!$A$3:$A$31,0),3)</f>
        <v>0</v>
      </c>
      <c r="AB77" s="55" t="s">
        <v>72</v>
      </c>
    </row>
    <row r="78" spans="1:28" hidden="1" x14ac:dyDescent="0.2">
      <c r="A78" t="s">
        <v>5303</v>
      </c>
      <c r="B78">
        <v>1269</v>
      </c>
      <c r="C78">
        <v>3441</v>
      </c>
      <c r="D78" t="s">
        <v>5186</v>
      </c>
      <c r="E78" t="s">
        <v>4832</v>
      </c>
      <c r="F78" t="s">
        <v>5187</v>
      </c>
      <c r="G78" t="s">
        <v>1241</v>
      </c>
      <c r="H78">
        <v>9</v>
      </c>
      <c r="I78" t="s">
        <v>5188</v>
      </c>
      <c r="J78">
        <v>5</v>
      </c>
      <c r="K78" t="s">
        <v>5189</v>
      </c>
      <c r="M78" t="s">
        <v>4849</v>
      </c>
      <c r="N78" t="s">
        <v>4837</v>
      </c>
      <c r="O78" t="s">
        <v>4838</v>
      </c>
      <c r="P78" t="s">
        <v>56</v>
      </c>
      <c r="Q78" t="s">
        <v>4839</v>
      </c>
      <c r="R78">
        <v>1988</v>
      </c>
      <c r="S78">
        <v>2554</v>
      </c>
      <c r="T78">
        <v>1</v>
      </c>
      <c r="U78" t="s">
        <v>4840</v>
      </c>
      <c r="V78">
        <v>2013</v>
      </c>
      <c r="W78">
        <v>44.444444439999998</v>
      </c>
      <c r="Y78" s="55">
        <f>Table2929[[#This Row],[total_cost]]/Table2929[[#This Row],[cfa_post]]</f>
        <v>0</v>
      </c>
      <c r="Z78" s="55">
        <f>Table2929[[#This Row],[total_cost]]/INDEX(CPI!$A$3:$C$31,MATCH(Table2929[[#This Row],[start_year]],CPI!$A$3:$A$31,0),3)</f>
        <v>0</v>
      </c>
      <c r="AA78" s="55">
        <f>Table2929[[#This Row],[$/sqft]]/INDEX(CPI!$A$3:$C$31,MATCH(Table2929[[#This Row],[start_year]],CPI!$A$3:$A$31,0),3)</f>
        <v>0</v>
      </c>
      <c r="AB78" s="55" t="s">
        <v>72</v>
      </c>
    </row>
    <row r="79" spans="1:28" hidden="1" x14ac:dyDescent="0.2">
      <c r="A79" t="s">
        <v>5303</v>
      </c>
      <c r="B79">
        <v>1270</v>
      </c>
      <c r="C79">
        <v>3450</v>
      </c>
      <c r="D79" t="s">
        <v>5186</v>
      </c>
      <c r="E79" t="s">
        <v>4832</v>
      </c>
      <c r="F79" t="s">
        <v>5187</v>
      </c>
      <c r="G79" t="s">
        <v>1241</v>
      </c>
      <c r="H79">
        <v>7</v>
      </c>
      <c r="I79" t="s">
        <v>5188</v>
      </c>
      <c r="J79">
        <v>4</v>
      </c>
      <c r="K79" t="s">
        <v>5189</v>
      </c>
      <c r="M79" t="s">
        <v>4841</v>
      </c>
      <c r="N79" t="s">
        <v>4837</v>
      </c>
      <c r="O79" t="s">
        <v>4838</v>
      </c>
      <c r="P79" t="s">
        <v>56</v>
      </c>
      <c r="Q79" t="s">
        <v>4839</v>
      </c>
      <c r="R79">
        <v>1999</v>
      </c>
      <c r="S79">
        <v>1502</v>
      </c>
      <c r="T79">
        <v>1</v>
      </c>
      <c r="V79">
        <v>2013</v>
      </c>
      <c r="W79">
        <v>42.857142860000003</v>
      </c>
      <c r="Y79" s="55">
        <f>Table2929[[#This Row],[total_cost]]/Table2929[[#This Row],[cfa_post]]</f>
        <v>0</v>
      </c>
      <c r="Z79" s="55">
        <f>Table2929[[#This Row],[total_cost]]/INDEX(CPI!$A$3:$C$31,MATCH(Table2929[[#This Row],[start_year]],CPI!$A$3:$A$31,0),3)</f>
        <v>0</v>
      </c>
      <c r="AA79" s="55">
        <f>Table2929[[#This Row],[$/sqft]]/INDEX(CPI!$A$3:$C$31,MATCH(Table2929[[#This Row],[start_year]],CPI!$A$3:$A$31,0),3)</f>
        <v>0</v>
      </c>
      <c r="AB79" s="55" t="s">
        <v>72</v>
      </c>
    </row>
    <row r="80" spans="1:28" hidden="1" x14ac:dyDescent="0.2">
      <c r="A80" t="s">
        <v>5303</v>
      </c>
      <c r="B80">
        <v>1272</v>
      </c>
      <c r="C80">
        <v>3468</v>
      </c>
      <c r="D80" t="s">
        <v>5186</v>
      </c>
      <c r="E80" t="s">
        <v>4832</v>
      </c>
      <c r="F80" t="s">
        <v>5187</v>
      </c>
      <c r="G80" t="s">
        <v>1241</v>
      </c>
      <c r="H80">
        <v>9</v>
      </c>
      <c r="I80" t="s">
        <v>5188</v>
      </c>
      <c r="J80">
        <v>6</v>
      </c>
      <c r="K80" t="s">
        <v>5189</v>
      </c>
      <c r="M80" t="s">
        <v>4841</v>
      </c>
      <c r="N80" t="s">
        <v>4837</v>
      </c>
      <c r="O80" t="s">
        <v>4838</v>
      </c>
      <c r="P80" t="s">
        <v>56</v>
      </c>
      <c r="Q80" t="s">
        <v>4839</v>
      </c>
      <c r="R80">
        <v>1981</v>
      </c>
      <c r="S80">
        <v>1559</v>
      </c>
      <c r="T80">
        <v>1</v>
      </c>
      <c r="U80" t="s">
        <v>4840</v>
      </c>
      <c r="V80">
        <v>2013</v>
      </c>
      <c r="W80">
        <v>33.333333330000002</v>
      </c>
      <c r="Y80" s="55">
        <f>Table2929[[#This Row],[total_cost]]/Table2929[[#This Row],[cfa_post]]</f>
        <v>0</v>
      </c>
      <c r="Z80" s="55">
        <f>Table2929[[#This Row],[total_cost]]/INDEX(CPI!$A$3:$C$31,MATCH(Table2929[[#This Row],[start_year]],CPI!$A$3:$A$31,0),3)</f>
        <v>0</v>
      </c>
      <c r="AA80" s="55">
        <f>Table2929[[#This Row],[$/sqft]]/INDEX(CPI!$A$3:$C$31,MATCH(Table2929[[#This Row],[start_year]],CPI!$A$3:$A$31,0),3)</f>
        <v>0</v>
      </c>
      <c r="AB80" s="55" t="s">
        <v>72</v>
      </c>
    </row>
    <row r="81" spans="1:28" hidden="1" x14ac:dyDescent="0.2">
      <c r="A81" t="s">
        <v>5303</v>
      </c>
      <c r="B81">
        <v>1273</v>
      </c>
      <c r="C81">
        <v>3478</v>
      </c>
      <c r="D81" t="s">
        <v>5186</v>
      </c>
      <c r="E81" t="s">
        <v>4832</v>
      </c>
      <c r="F81" t="s">
        <v>5187</v>
      </c>
      <c r="G81" t="s">
        <v>1241</v>
      </c>
      <c r="H81">
        <v>4</v>
      </c>
      <c r="I81" t="s">
        <v>5188</v>
      </c>
      <c r="J81">
        <v>4</v>
      </c>
      <c r="K81" t="s">
        <v>5189</v>
      </c>
      <c r="M81" t="s">
        <v>5199</v>
      </c>
      <c r="N81" t="s">
        <v>4837</v>
      </c>
      <c r="O81" t="s">
        <v>4838</v>
      </c>
      <c r="P81" t="s">
        <v>4844</v>
      </c>
      <c r="Q81" t="s">
        <v>4839</v>
      </c>
      <c r="R81">
        <v>1993</v>
      </c>
      <c r="S81">
        <v>1983</v>
      </c>
      <c r="T81">
        <v>1</v>
      </c>
      <c r="U81" t="s">
        <v>4840</v>
      </c>
      <c r="V81">
        <v>2013</v>
      </c>
      <c r="W81">
        <v>0</v>
      </c>
      <c r="Y81" s="55">
        <f>Table2929[[#This Row],[total_cost]]/Table2929[[#This Row],[cfa_post]]</f>
        <v>0</v>
      </c>
      <c r="Z81" s="55">
        <f>Table2929[[#This Row],[total_cost]]/INDEX(CPI!$A$3:$C$31,MATCH(Table2929[[#This Row],[start_year]],CPI!$A$3:$A$31,0),3)</f>
        <v>0</v>
      </c>
      <c r="AA81" s="55">
        <f>Table2929[[#This Row],[$/sqft]]/INDEX(CPI!$A$3:$C$31,MATCH(Table2929[[#This Row],[start_year]],CPI!$A$3:$A$31,0),3)</f>
        <v>0</v>
      </c>
      <c r="AB81" s="55" t="s">
        <v>72</v>
      </c>
    </row>
    <row r="82" spans="1:28" hidden="1" x14ac:dyDescent="0.2">
      <c r="A82" t="s">
        <v>5303</v>
      </c>
      <c r="B82">
        <v>1274</v>
      </c>
      <c r="C82">
        <v>3487</v>
      </c>
      <c r="D82" t="s">
        <v>5186</v>
      </c>
      <c r="E82" t="s">
        <v>4832</v>
      </c>
      <c r="F82" t="s">
        <v>5187</v>
      </c>
      <c r="G82" t="s">
        <v>1241</v>
      </c>
      <c r="H82">
        <v>8</v>
      </c>
      <c r="I82" t="s">
        <v>5188</v>
      </c>
      <c r="J82">
        <v>6</v>
      </c>
      <c r="K82" t="s">
        <v>5189</v>
      </c>
      <c r="M82" t="s">
        <v>4842</v>
      </c>
      <c r="N82" t="s">
        <v>4837</v>
      </c>
      <c r="O82" t="s">
        <v>4838</v>
      </c>
      <c r="P82" t="s">
        <v>4844</v>
      </c>
      <c r="Q82" t="s">
        <v>4839</v>
      </c>
      <c r="R82">
        <v>1994</v>
      </c>
      <c r="S82">
        <v>2233</v>
      </c>
      <c r="T82">
        <v>2</v>
      </c>
      <c r="U82" t="s">
        <v>4840</v>
      </c>
      <c r="V82">
        <v>2013</v>
      </c>
      <c r="W82">
        <v>25</v>
      </c>
      <c r="Y82" s="55">
        <f>Table2929[[#This Row],[total_cost]]/Table2929[[#This Row],[cfa_post]]</f>
        <v>0</v>
      </c>
      <c r="Z82" s="55">
        <f>Table2929[[#This Row],[total_cost]]/INDEX(CPI!$A$3:$C$31,MATCH(Table2929[[#This Row],[start_year]],CPI!$A$3:$A$31,0),3)</f>
        <v>0</v>
      </c>
      <c r="AA82" s="55">
        <f>Table2929[[#This Row],[$/sqft]]/INDEX(CPI!$A$3:$C$31,MATCH(Table2929[[#This Row],[start_year]],CPI!$A$3:$A$31,0),3)</f>
        <v>0</v>
      </c>
      <c r="AB82" s="55" t="s">
        <v>72</v>
      </c>
    </row>
    <row r="83" spans="1:28" hidden="1" x14ac:dyDescent="0.2">
      <c r="A83" t="s">
        <v>5303</v>
      </c>
      <c r="B83">
        <v>1284</v>
      </c>
      <c r="C83">
        <v>3642</v>
      </c>
      <c r="D83" t="s">
        <v>5186</v>
      </c>
      <c r="E83" t="s">
        <v>4832</v>
      </c>
      <c r="F83" t="s">
        <v>5187</v>
      </c>
      <c r="G83" t="s">
        <v>1241</v>
      </c>
      <c r="H83">
        <v>36</v>
      </c>
      <c r="I83" t="s">
        <v>5188</v>
      </c>
      <c r="J83">
        <v>12</v>
      </c>
      <c r="K83" t="s">
        <v>5189</v>
      </c>
      <c r="M83" t="s">
        <v>4856</v>
      </c>
      <c r="N83" t="s">
        <v>4857</v>
      </c>
      <c r="O83" t="s">
        <v>4838</v>
      </c>
      <c r="P83" t="s">
        <v>4844</v>
      </c>
      <c r="R83">
        <v>1939</v>
      </c>
      <c r="U83" t="s">
        <v>4840</v>
      </c>
      <c r="V83">
        <v>2010</v>
      </c>
      <c r="W83">
        <v>66.666666669999998</v>
      </c>
      <c r="Y83" s="55" t="e">
        <f>Table2929[[#This Row],[total_cost]]/Table2929[[#This Row],[cfa_post]]</f>
        <v>#DIV/0!</v>
      </c>
      <c r="Z83" s="55">
        <f>Table2929[[#This Row],[total_cost]]/INDEX(CPI!$A$3:$C$31,MATCH(Table2929[[#This Row],[start_year]],CPI!$A$3:$A$31,0),3)</f>
        <v>0</v>
      </c>
      <c r="AA83" s="55" t="e">
        <f>Table2929[[#This Row],[$/sqft]]/INDEX(CPI!$A$3:$C$31,MATCH(Table2929[[#This Row],[start_year]],CPI!$A$3:$A$31,0),3)</f>
        <v>#DIV/0!</v>
      </c>
      <c r="AB83" s="55" t="s">
        <v>72</v>
      </c>
    </row>
    <row r="84" spans="1:28" hidden="1" x14ac:dyDescent="0.2">
      <c r="A84" t="s">
        <v>5303</v>
      </c>
      <c r="B84">
        <v>1321</v>
      </c>
      <c r="C84">
        <v>4019</v>
      </c>
      <c r="D84" t="s">
        <v>5186</v>
      </c>
      <c r="E84" t="s">
        <v>4832</v>
      </c>
      <c r="F84" t="s">
        <v>5187</v>
      </c>
      <c r="G84" t="s">
        <v>5193</v>
      </c>
      <c r="L84">
        <v>149</v>
      </c>
      <c r="M84" t="s">
        <v>5203</v>
      </c>
      <c r="N84" t="s">
        <v>4855</v>
      </c>
      <c r="O84" t="s">
        <v>4838</v>
      </c>
      <c r="P84" t="s">
        <v>4844</v>
      </c>
      <c r="R84">
        <v>1950</v>
      </c>
      <c r="S84">
        <v>1884</v>
      </c>
      <c r="U84" t="s">
        <v>4840</v>
      </c>
      <c r="V84">
        <v>2019</v>
      </c>
      <c r="X84" t="str">
        <f>IF(Table2929[[#This Row],[performance_2]]&lt;&gt;"", IF(Table2929[[#This Row],[performance_1]]&lt;&gt;"",(Table2929[[#This Row],[performance_1]]-Table2929[[#This Row],[performance_2]])/Table2929[[#This Row],[performance_1]],""), "")</f>
        <v/>
      </c>
      <c r="Y84" s="55">
        <f>Table2929[[#This Row],[total_cost]]/Table2929[[#This Row],[cfa_post]]</f>
        <v>7.9087048832271759E-2</v>
      </c>
      <c r="Z84" s="55">
        <f>Table2929[[#This Row],[total_cost]]/INDEX(CPI!$A$3:$C$31,MATCH(Table2929[[#This Row],[start_year]],CPI!$A$3:$A$31,0),3)</f>
        <v>177.2033633163864</v>
      </c>
      <c r="AA84" s="55">
        <f>Table2929[[#This Row],[$/sqft]]/INDEX(CPI!$A$3:$C$31,MATCH(Table2929[[#This Row],[start_year]],CPI!$A$3:$A$31,0),3)</f>
        <v>9.4056986898294268E-2</v>
      </c>
      <c r="AB84" s="55" t="s">
        <v>72</v>
      </c>
    </row>
    <row r="85" spans="1:28" hidden="1" x14ac:dyDescent="0.2">
      <c r="A85" t="s">
        <v>5303</v>
      </c>
      <c r="B85">
        <v>2001</v>
      </c>
      <c r="C85">
        <v>5317</v>
      </c>
      <c r="D85" t="s">
        <v>5186</v>
      </c>
      <c r="E85" t="s">
        <v>4832</v>
      </c>
      <c r="F85" t="s">
        <v>5187</v>
      </c>
      <c r="G85" t="s">
        <v>1241</v>
      </c>
      <c r="L85">
        <v>4264</v>
      </c>
      <c r="M85" t="s">
        <v>5204</v>
      </c>
      <c r="N85" t="s">
        <v>4857</v>
      </c>
      <c r="R85">
        <v>1985</v>
      </c>
      <c r="S85">
        <v>1840</v>
      </c>
      <c r="U85" t="s">
        <v>4840</v>
      </c>
      <c r="V85">
        <v>2020</v>
      </c>
      <c r="X85" t="str">
        <f>IF(Table2929[[#This Row],[performance_2]]&lt;&gt;"", IF(Table2929[[#This Row],[performance_1]]&lt;&gt;"",(Table2929[[#This Row],[performance_1]]-Table2929[[#This Row],[performance_2]])/Table2929[[#This Row],[performance_1]],""), "")</f>
        <v/>
      </c>
      <c r="Y85" s="55">
        <f>Table2929[[#This Row],[total_cost]]/Table2929[[#This Row],[cfa_post]]</f>
        <v>2.3173913043478263</v>
      </c>
      <c r="Z85" s="55">
        <f>Table2929[[#This Row],[total_cost]]/INDEX(CPI!$A$3:$C$31,MATCH(Table2929[[#This Row],[start_year]],CPI!$A$3:$A$31,0),3)</f>
        <v>5010.3647604327671</v>
      </c>
      <c r="AA85" s="55">
        <f>Table2929[[#This Row],[$/sqft]]/INDEX(CPI!$A$3:$C$31,MATCH(Table2929[[#This Row],[start_year]],CPI!$A$3:$A$31,0),3)</f>
        <v>2.7230243263221561</v>
      </c>
      <c r="AB85" s="55" t="s">
        <v>72</v>
      </c>
    </row>
    <row r="86" spans="1:28" hidden="1" x14ac:dyDescent="0.2">
      <c r="A86" t="s">
        <v>5303</v>
      </c>
      <c r="B86">
        <v>2008</v>
      </c>
      <c r="C86">
        <v>5639</v>
      </c>
      <c r="D86" t="s">
        <v>5186</v>
      </c>
      <c r="E86" t="s">
        <v>4832</v>
      </c>
      <c r="F86" t="s">
        <v>5187</v>
      </c>
      <c r="G86" t="s">
        <v>1241</v>
      </c>
      <c r="L86">
        <v>485</v>
      </c>
      <c r="M86" t="s">
        <v>5205</v>
      </c>
      <c r="N86" t="s">
        <v>4857</v>
      </c>
      <c r="R86">
        <v>1985</v>
      </c>
      <c r="S86">
        <v>1636</v>
      </c>
      <c r="U86" t="s">
        <v>4840</v>
      </c>
      <c r="V86">
        <v>2020</v>
      </c>
      <c r="X86" t="str">
        <f>IF(Table2929[[#This Row],[performance_2]]&lt;&gt;"", IF(Table2929[[#This Row],[performance_1]]&lt;&gt;"",(Table2929[[#This Row],[performance_1]]-Table2929[[#This Row],[performance_2]])/Table2929[[#This Row],[performance_1]],""), "")</f>
        <v/>
      </c>
      <c r="Y86" s="55">
        <f>Table2929[[#This Row],[total_cost]]/Table2929[[#This Row],[cfa_post]]</f>
        <v>0.29645476772616136</v>
      </c>
      <c r="Z86" s="55">
        <f>Table2929[[#This Row],[total_cost]]/INDEX(CPI!$A$3:$C$31,MATCH(Table2929[[#This Row],[start_year]],CPI!$A$3:$A$31,0),3)</f>
        <v>569.89374034003094</v>
      </c>
      <c r="AA86" s="55">
        <f>Table2929[[#This Row],[$/sqft]]/INDEX(CPI!$A$3:$C$31,MATCH(Table2929[[#This Row],[start_year]],CPI!$A$3:$A$31,0),3)</f>
        <v>0.34834580705380863</v>
      </c>
      <c r="AB86" s="55" t="s">
        <v>72</v>
      </c>
    </row>
    <row r="87" spans="1:28" hidden="1" x14ac:dyDescent="0.2">
      <c r="A87" t="s">
        <v>5303</v>
      </c>
      <c r="B87">
        <v>2009</v>
      </c>
      <c r="C87">
        <v>5703</v>
      </c>
      <c r="D87" t="s">
        <v>5186</v>
      </c>
      <c r="E87" t="s">
        <v>4832</v>
      </c>
      <c r="F87" t="s">
        <v>5187</v>
      </c>
      <c r="G87" t="s">
        <v>1241</v>
      </c>
      <c r="L87">
        <v>485</v>
      </c>
      <c r="M87" t="s">
        <v>5206</v>
      </c>
      <c r="N87" t="s">
        <v>4857</v>
      </c>
      <c r="R87">
        <v>1985</v>
      </c>
      <c r="S87">
        <v>1477</v>
      </c>
      <c r="U87" t="s">
        <v>4840</v>
      </c>
      <c r="V87">
        <v>2020</v>
      </c>
      <c r="X87" t="str">
        <f>IF(Table2929[[#This Row],[performance_2]]&lt;&gt;"", IF(Table2929[[#This Row],[performance_1]]&lt;&gt;"",(Table2929[[#This Row],[performance_1]]-Table2929[[#This Row],[performance_2]])/Table2929[[#This Row],[performance_1]],""), "")</f>
        <v/>
      </c>
      <c r="Y87" s="55">
        <f>Table2929[[#This Row],[total_cost]]/Table2929[[#This Row],[cfa_post]]</f>
        <v>0.32836831415030465</v>
      </c>
      <c r="Z87" s="55">
        <f>Table2929[[#This Row],[total_cost]]/INDEX(CPI!$A$3:$C$31,MATCH(Table2929[[#This Row],[start_year]],CPI!$A$3:$A$31,0),3)</f>
        <v>569.89374034003094</v>
      </c>
      <c r="AA87" s="55">
        <f>Table2929[[#This Row],[$/sqft]]/INDEX(CPI!$A$3:$C$31,MATCH(Table2929[[#This Row],[start_year]],CPI!$A$3:$A$31,0),3)</f>
        <v>0.38584545723766478</v>
      </c>
      <c r="AB87" s="55" t="s">
        <v>72</v>
      </c>
    </row>
    <row r="88" spans="1:28" hidden="1" x14ac:dyDescent="0.2">
      <c r="A88" t="s">
        <v>5303</v>
      </c>
      <c r="B88">
        <v>2012</v>
      </c>
      <c r="C88">
        <v>6045</v>
      </c>
      <c r="D88" t="s">
        <v>5186</v>
      </c>
      <c r="E88" t="s">
        <v>4832</v>
      </c>
      <c r="F88" t="s">
        <v>5187</v>
      </c>
      <c r="G88" t="s">
        <v>1241</v>
      </c>
      <c r="L88">
        <v>5799</v>
      </c>
      <c r="M88" t="s">
        <v>4892</v>
      </c>
      <c r="N88" t="s">
        <v>4857</v>
      </c>
      <c r="R88">
        <v>1975</v>
      </c>
      <c r="S88">
        <v>2260</v>
      </c>
      <c r="U88" t="s">
        <v>4840</v>
      </c>
      <c r="V88">
        <v>2020</v>
      </c>
      <c r="X88" t="str">
        <f>IF(Table2929[[#This Row],[performance_2]]&lt;&gt;"", IF(Table2929[[#This Row],[performance_1]]&lt;&gt;"",(Table2929[[#This Row],[performance_1]]-Table2929[[#This Row],[performance_2]])/Table2929[[#This Row],[performance_1]],""), "")</f>
        <v/>
      </c>
      <c r="Y88" s="55">
        <f>Table2929[[#This Row],[total_cost]]/Table2929[[#This Row],[cfa_post]]</f>
        <v>2.5659292035398229</v>
      </c>
      <c r="Z88" s="55">
        <f>Table2929[[#This Row],[total_cost]]/INDEX(CPI!$A$3:$C$31,MATCH(Table2929[[#This Row],[start_year]],CPI!$A$3:$A$31,0),3)</f>
        <v>6814.049072642968</v>
      </c>
      <c r="AA88" s="55">
        <f>Table2929[[#This Row],[$/sqft]]/INDEX(CPI!$A$3:$C$31,MATCH(Table2929[[#This Row],[start_year]],CPI!$A$3:$A$31,0),3)</f>
        <v>3.0150659613464459</v>
      </c>
      <c r="AB88" s="55" t="s">
        <v>72</v>
      </c>
    </row>
    <row r="89" spans="1:28" hidden="1" x14ac:dyDescent="0.2">
      <c r="A89" t="s">
        <v>5303</v>
      </c>
      <c r="B89">
        <v>2022</v>
      </c>
      <c r="C89">
        <v>5815</v>
      </c>
      <c r="D89" t="s">
        <v>5186</v>
      </c>
      <c r="E89" t="s">
        <v>4832</v>
      </c>
      <c r="F89" t="s">
        <v>5187</v>
      </c>
      <c r="G89" t="s">
        <v>1241</v>
      </c>
      <c r="L89">
        <v>595</v>
      </c>
      <c r="M89" t="s">
        <v>5207</v>
      </c>
      <c r="N89" t="s">
        <v>4857</v>
      </c>
      <c r="R89">
        <v>1975</v>
      </c>
      <c r="S89">
        <v>1409</v>
      </c>
      <c r="U89" t="s">
        <v>4840</v>
      </c>
      <c r="V89">
        <v>2020</v>
      </c>
      <c r="X89" t="str">
        <f>IF(Table2929[[#This Row],[performance_2]]&lt;&gt;"", IF(Table2929[[#This Row],[performance_1]]&lt;&gt;"",(Table2929[[#This Row],[performance_1]]-Table2929[[#This Row],[performance_2]])/Table2929[[#This Row],[performance_1]],""), "")</f>
        <v/>
      </c>
      <c r="Y89" s="55">
        <f>Table2929[[#This Row],[total_cost]]/Table2929[[#This Row],[cfa_post]]</f>
        <v>0.42228530872959547</v>
      </c>
      <c r="Z89" s="55">
        <f>Table2929[[#This Row],[total_cost]]/INDEX(CPI!$A$3:$C$31,MATCH(Table2929[[#This Row],[start_year]],CPI!$A$3:$A$31,0),3)</f>
        <v>699.14799072642973</v>
      </c>
      <c r="AA89" s="55">
        <f>Table2929[[#This Row],[$/sqft]]/INDEX(CPI!$A$3:$C$31,MATCH(Table2929[[#This Row],[start_year]],CPI!$A$3:$A$31,0),3)</f>
        <v>0.49620155480938943</v>
      </c>
      <c r="AB89" s="55" t="s">
        <v>72</v>
      </c>
    </row>
    <row r="90" spans="1:28" hidden="1" x14ac:dyDescent="0.2">
      <c r="A90" t="s">
        <v>5303</v>
      </c>
      <c r="B90">
        <v>2023</v>
      </c>
      <c r="C90">
        <v>5176</v>
      </c>
      <c r="D90" t="s">
        <v>5186</v>
      </c>
      <c r="E90" t="s">
        <v>4832</v>
      </c>
      <c r="F90" t="s">
        <v>5187</v>
      </c>
      <c r="G90" t="s">
        <v>1241</v>
      </c>
      <c r="L90">
        <v>4000</v>
      </c>
      <c r="M90" t="s">
        <v>4892</v>
      </c>
      <c r="N90" t="s">
        <v>4857</v>
      </c>
      <c r="R90">
        <v>1975</v>
      </c>
      <c r="S90">
        <v>1365</v>
      </c>
      <c r="T90">
        <v>1</v>
      </c>
      <c r="U90" t="s">
        <v>4840</v>
      </c>
      <c r="V90">
        <v>2020</v>
      </c>
      <c r="X90" t="str">
        <f>IF(Table2929[[#This Row],[performance_2]]&lt;&gt;"", IF(Table2929[[#This Row],[performance_1]]&lt;&gt;"",(Table2929[[#This Row],[performance_1]]-Table2929[[#This Row],[performance_2]])/Table2929[[#This Row],[performance_1]],""), "")</f>
        <v/>
      </c>
      <c r="Y90" s="55">
        <f>Table2929[[#This Row],[total_cost]]/Table2929[[#This Row],[cfa_post]]</f>
        <v>2.9304029304029302</v>
      </c>
      <c r="Z90" s="55">
        <f>Table2929[[#This Row],[total_cost]]/INDEX(CPI!$A$3:$C$31,MATCH(Table2929[[#This Row],[start_year]],CPI!$A$3:$A$31,0),3)</f>
        <v>4700.1545595054095</v>
      </c>
      <c r="AA90" s="55">
        <f>Table2929[[#This Row],[$/sqft]]/INDEX(CPI!$A$3:$C$31,MATCH(Table2929[[#This Row],[start_year]],CPI!$A$3:$A$31,0),3)</f>
        <v>3.4433366736303364</v>
      </c>
      <c r="AB90" s="55" t="s">
        <v>72</v>
      </c>
    </row>
    <row r="91" spans="1:28" hidden="1" x14ac:dyDescent="0.2">
      <c r="A91" t="s">
        <v>5303</v>
      </c>
      <c r="B91">
        <v>2026</v>
      </c>
      <c r="C91">
        <v>5677</v>
      </c>
      <c r="D91" t="s">
        <v>5186</v>
      </c>
      <c r="E91" t="s">
        <v>4832</v>
      </c>
      <c r="F91" t="s">
        <v>5187</v>
      </c>
      <c r="G91" t="s">
        <v>1241</v>
      </c>
      <c r="L91">
        <v>476</v>
      </c>
      <c r="M91" t="s">
        <v>5204</v>
      </c>
      <c r="N91" t="s">
        <v>4857</v>
      </c>
      <c r="R91">
        <v>1985</v>
      </c>
      <c r="S91">
        <v>1948</v>
      </c>
      <c r="U91" t="s">
        <v>4840</v>
      </c>
      <c r="V91">
        <v>2020</v>
      </c>
      <c r="X91" t="str">
        <f>IF(Table2929[[#This Row],[performance_2]]&lt;&gt;"", IF(Table2929[[#This Row],[performance_1]]&lt;&gt;"",(Table2929[[#This Row],[performance_1]]-Table2929[[#This Row],[performance_2]])/Table2929[[#This Row],[performance_1]],""), "")</f>
        <v/>
      </c>
      <c r="Y91" s="55">
        <f>Table2929[[#This Row],[total_cost]]/Table2929[[#This Row],[cfa_post]]</f>
        <v>0.24435318275154005</v>
      </c>
      <c r="Z91" s="55">
        <f>Table2929[[#This Row],[total_cost]]/INDEX(CPI!$A$3:$C$31,MATCH(Table2929[[#This Row],[start_year]],CPI!$A$3:$A$31,0),3)</f>
        <v>559.31839258114371</v>
      </c>
      <c r="AA91" s="55">
        <f>Table2929[[#This Row],[$/sqft]]/INDEX(CPI!$A$3:$C$31,MATCH(Table2929[[#This Row],[start_year]],CPI!$A$3:$A$31,0),3)</f>
        <v>0.28712443150982742</v>
      </c>
      <c r="AB91" s="55" t="s">
        <v>72</v>
      </c>
    </row>
    <row r="92" spans="1:28" hidden="1" x14ac:dyDescent="0.2">
      <c r="A92" t="s">
        <v>5303</v>
      </c>
      <c r="B92">
        <v>2027</v>
      </c>
      <c r="C92">
        <v>5682</v>
      </c>
      <c r="D92" t="s">
        <v>5186</v>
      </c>
      <c r="E92" t="s">
        <v>4832</v>
      </c>
      <c r="F92" t="s">
        <v>5187</v>
      </c>
      <c r="G92" t="s">
        <v>1241</v>
      </c>
      <c r="L92">
        <v>750</v>
      </c>
      <c r="M92" t="s">
        <v>5208</v>
      </c>
      <c r="N92" t="s">
        <v>4857</v>
      </c>
      <c r="R92">
        <v>1985</v>
      </c>
      <c r="S92">
        <v>2268</v>
      </c>
      <c r="U92" t="s">
        <v>4840</v>
      </c>
      <c r="V92">
        <v>2020</v>
      </c>
      <c r="X92" t="str">
        <f>IF(Table2929[[#This Row],[performance_2]]&lt;&gt;"", IF(Table2929[[#This Row],[performance_1]]&lt;&gt;"",(Table2929[[#This Row],[performance_1]]-Table2929[[#This Row],[performance_2]])/Table2929[[#This Row],[performance_1]],""), "")</f>
        <v/>
      </c>
      <c r="Y92" s="55">
        <f>Table2929[[#This Row],[total_cost]]/Table2929[[#This Row],[cfa_post]]</f>
        <v>0.3306878306878307</v>
      </c>
      <c r="Z92" s="55">
        <f>Table2929[[#This Row],[total_cost]]/INDEX(CPI!$A$3:$C$31,MATCH(Table2929[[#This Row],[start_year]],CPI!$A$3:$A$31,0),3)</f>
        <v>881.27897990726433</v>
      </c>
      <c r="AA92" s="55">
        <f>Table2929[[#This Row],[$/sqft]]/INDEX(CPI!$A$3:$C$31,MATCH(Table2929[[#This Row],[start_year]],CPI!$A$3:$A$31,0),3)</f>
        <v>0.38857097879509012</v>
      </c>
      <c r="AB92" s="55" t="s">
        <v>72</v>
      </c>
    </row>
    <row r="93" spans="1:28" hidden="1" x14ac:dyDescent="0.2">
      <c r="A93" t="s">
        <v>5303</v>
      </c>
      <c r="B93">
        <v>2049</v>
      </c>
      <c r="C93">
        <v>5321</v>
      </c>
      <c r="D93" t="s">
        <v>5186</v>
      </c>
      <c r="E93" t="s">
        <v>4832</v>
      </c>
      <c r="F93" t="s">
        <v>5187</v>
      </c>
      <c r="G93" t="s">
        <v>1241</v>
      </c>
      <c r="L93">
        <v>800</v>
      </c>
      <c r="M93" t="s">
        <v>5204</v>
      </c>
      <c r="N93" t="s">
        <v>4857</v>
      </c>
      <c r="R93">
        <v>1985</v>
      </c>
      <c r="S93">
        <v>1989</v>
      </c>
      <c r="U93" t="s">
        <v>5024</v>
      </c>
      <c r="V93">
        <v>2020</v>
      </c>
      <c r="X93" t="str">
        <f>IF(Table2929[[#This Row],[performance_2]]&lt;&gt;"", IF(Table2929[[#This Row],[performance_1]]&lt;&gt;"",(Table2929[[#This Row],[performance_1]]-Table2929[[#This Row],[performance_2]])/Table2929[[#This Row],[performance_1]],""), "")</f>
        <v/>
      </c>
      <c r="Y93" s="55">
        <f>Table2929[[#This Row],[total_cost]]/Table2929[[#This Row],[cfa_post]]</f>
        <v>0.40221216691804929</v>
      </c>
      <c r="Z93" s="55">
        <f>Table2929[[#This Row],[total_cost]]/INDEX(CPI!$A$3:$C$31,MATCH(Table2929[[#This Row],[start_year]],CPI!$A$3:$A$31,0),3)</f>
        <v>940.03091190108194</v>
      </c>
      <c r="AA93" s="55">
        <f>Table2929[[#This Row],[$/sqft]]/INDEX(CPI!$A$3:$C$31,MATCH(Table2929[[#This Row],[start_year]],CPI!$A$3:$A$31,0),3)</f>
        <v>0.47261483755710504</v>
      </c>
      <c r="AB93" s="55" t="s">
        <v>72</v>
      </c>
    </row>
    <row r="94" spans="1:28" hidden="1" x14ac:dyDescent="0.2">
      <c r="A94" t="s">
        <v>5303</v>
      </c>
      <c r="B94">
        <v>2050</v>
      </c>
      <c r="C94">
        <v>5253</v>
      </c>
      <c r="D94" t="s">
        <v>5186</v>
      </c>
      <c r="E94" t="s">
        <v>4832</v>
      </c>
      <c r="F94" t="s">
        <v>5187</v>
      </c>
      <c r="G94" t="s">
        <v>1241</v>
      </c>
      <c r="L94">
        <v>5630</v>
      </c>
      <c r="M94" t="s">
        <v>5209</v>
      </c>
      <c r="N94" t="s">
        <v>4857</v>
      </c>
      <c r="R94">
        <v>1975</v>
      </c>
      <c r="S94">
        <v>2788</v>
      </c>
      <c r="U94" t="s">
        <v>4840</v>
      </c>
      <c r="V94">
        <v>2020</v>
      </c>
      <c r="X94" t="str">
        <f>IF(Table2929[[#This Row],[performance_2]]&lt;&gt;"", IF(Table2929[[#This Row],[performance_1]]&lt;&gt;"",(Table2929[[#This Row],[performance_1]]-Table2929[[#This Row],[performance_2]])/Table2929[[#This Row],[performance_1]],""), "")</f>
        <v/>
      </c>
      <c r="Y94" s="55">
        <f>Table2929[[#This Row],[total_cost]]/Table2929[[#This Row],[cfa_post]]</f>
        <v>2.0193687230989958</v>
      </c>
      <c r="Z94" s="55">
        <f>Table2929[[#This Row],[total_cost]]/INDEX(CPI!$A$3:$C$31,MATCH(Table2929[[#This Row],[start_year]],CPI!$A$3:$A$31,0),3)</f>
        <v>6615.467542503864</v>
      </c>
      <c r="AA94" s="55">
        <f>Table2929[[#This Row],[$/sqft]]/INDEX(CPI!$A$3:$C$31,MATCH(Table2929[[#This Row],[start_year]],CPI!$A$3:$A$31,0),3)</f>
        <v>2.3728362777990908</v>
      </c>
      <c r="AB94" s="55" t="s">
        <v>72</v>
      </c>
    </row>
    <row r="95" spans="1:28" hidden="1" x14ac:dyDescent="0.2">
      <c r="A95" t="s">
        <v>5303</v>
      </c>
      <c r="B95">
        <v>2059</v>
      </c>
      <c r="C95">
        <v>5262</v>
      </c>
      <c r="D95" t="s">
        <v>5186</v>
      </c>
      <c r="E95" t="s">
        <v>4832</v>
      </c>
      <c r="F95" t="s">
        <v>5187</v>
      </c>
      <c r="G95" t="s">
        <v>1241</v>
      </c>
      <c r="L95">
        <v>1978</v>
      </c>
      <c r="M95" t="s">
        <v>5210</v>
      </c>
      <c r="N95" t="s">
        <v>4857</v>
      </c>
      <c r="R95">
        <v>1975</v>
      </c>
      <c r="S95">
        <v>4131</v>
      </c>
      <c r="U95" t="s">
        <v>4840</v>
      </c>
      <c r="V95">
        <v>2020</v>
      </c>
      <c r="X95" t="str">
        <f>IF(Table2929[[#This Row],[performance_2]]&lt;&gt;"", IF(Table2929[[#This Row],[performance_1]]&lt;&gt;"",(Table2929[[#This Row],[performance_1]]-Table2929[[#This Row],[performance_2]])/Table2929[[#This Row],[performance_1]],""), "")</f>
        <v/>
      </c>
      <c r="Y95" s="55">
        <f>Table2929[[#This Row],[total_cost]]/Table2929[[#This Row],[cfa_post]]</f>
        <v>0.47881868796901478</v>
      </c>
      <c r="Z95" s="55">
        <f>Table2929[[#This Row],[total_cost]]/INDEX(CPI!$A$3:$C$31,MATCH(Table2929[[#This Row],[start_year]],CPI!$A$3:$A$31,0),3)</f>
        <v>2324.2264296754252</v>
      </c>
      <c r="AA95" s="55">
        <f>Table2929[[#This Row],[$/sqft]]/INDEX(CPI!$A$3:$C$31,MATCH(Table2929[[#This Row],[start_year]],CPI!$A$3:$A$31,0),3)</f>
        <v>0.56263045985849069</v>
      </c>
      <c r="AB95" s="55" t="s">
        <v>72</v>
      </c>
    </row>
    <row r="96" spans="1:28" hidden="1" x14ac:dyDescent="0.2">
      <c r="A96" t="s">
        <v>5303</v>
      </c>
      <c r="B96">
        <v>2060</v>
      </c>
      <c r="C96">
        <v>5268</v>
      </c>
      <c r="D96" t="s">
        <v>5186</v>
      </c>
      <c r="E96" t="s">
        <v>4832</v>
      </c>
      <c r="F96" t="s">
        <v>5187</v>
      </c>
      <c r="G96" t="s">
        <v>1241</v>
      </c>
      <c r="L96">
        <v>2566</v>
      </c>
      <c r="M96" t="s">
        <v>4892</v>
      </c>
      <c r="N96" t="s">
        <v>4857</v>
      </c>
      <c r="R96">
        <v>1975</v>
      </c>
      <c r="S96">
        <v>2256</v>
      </c>
      <c r="U96" t="s">
        <v>4840</v>
      </c>
      <c r="V96">
        <v>2020</v>
      </c>
      <c r="X96" t="str">
        <f>IF(Table2929[[#This Row],[performance_2]]&lt;&gt;"", IF(Table2929[[#This Row],[performance_1]]&lt;&gt;"",(Table2929[[#This Row],[performance_1]]-Table2929[[#This Row],[performance_2]])/Table2929[[#This Row],[performance_1]],""), "")</f>
        <v/>
      </c>
      <c r="Y96" s="55">
        <f>Table2929[[#This Row],[total_cost]]/Table2929[[#This Row],[cfa_post]]</f>
        <v>1.1374113475177305</v>
      </c>
      <c r="Z96" s="55">
        <f>Table2929[[#This Row],[total_cost]]/INDEX(CPI!$A$3:$C$31,MATCH(Table2929[[#This Row],[start_year]],CPI!$A$3:$A$31,0),3)</f>
        <v>3015.1491499227204</v>
      </c>
      <c r="AA96" s="55">
        <f>Table2929[[#This Row],[$/sqft]]/INDEX(CPI!$A$3:$C$31,MATCH(Table2929[[#This Row],[start_year]],CPI!$A$3:$A$31,0),3)</f>
        <v>1.3365022827671633</v>
      </c>
      <c r="AB96" s="55" t="s">
        <v>72</v>
      </c>
    </row>
    <row r="97" spans="1:28" hidden="1" x14ac:dyDescent="0.2">
      <c r="A97" t="s">
        <v>5303</v>
      </c>
      <c r="B97">
        <v>2061</v>
      </c>
      <c r="C97">
        <v>5347</v>
      </c>
      <c r="D97" t="s">
        <v>5186</v>
      </c>
      <c r="E97" t="s">
        <v>4832</v>
      </c>
      <c r="F97" t="s">
        <v>5187</v>
      </c>
      <c r="G97" t="s">
        <v>1241</v>
      </c>
      <c r="L97">
        <v>7691</v>
      </c>
      <c r="M97" t="s">
        <v>5211</v>
      </c>
      <c r="N97" t="s">
        <v>4857</v>
      </c>
      <c r="R97">
        <v>1975</v>
      </c>
      <c r="S97">
        <v>1716</v>
      </c>
      <c r="U97" t="s">
        <v>4840</v>
      </c>
      <c r="V97">
        <v>2020</v>
      </c>
      <c r="X97" t="str">
        <f>IF(Table2929[[#This Row],[performance_2]]&lt;&gt;"", IF(Table2929[[#This Row],[performance_1]]&lt;&gt;"",(Table2929[[#This Row],[performance_1]]-Table2929[[#This Row],[performance_2]])/Table2929[[#This Row],[performance_1]],""), "")</f>
        <v/>
      </c>
      <c r="Y97" s="55">
        <f>Table2929[[#This Row],[total_cost]]/Table2929[[#This Row],[cfa_post]]</f>
        <v>4.4819347319347322</v>
      </c>
      <c r="Z97" s="55">
        <f>Table2929[[#This Row],[total_cost]]/INDEX(CPI!$A$3:$C$31,MATCH(Table2929[[#This Row],[start_year]],CPI!$A$3:$A$31,0),3)</f>
        <v>9037.2221792890268</v>
      </c>
      <c r="AA97" s="55">
        <f>Table2929[[#This Row],[$/sqft]]/INDEX(CPI!$A$3:$C$31,MATCH(Table2929[[#This Row],[start_year]],CPI!$A$3:$A$31,0),3)</f>
        <v>5.266446491427172</v>
      </c>
      <c r="AB97" s="55" t="s">
        <v>72</v>
      </c>
    </row>
    <row r="98" spans="1:28" hidden="1" x14ac:dyDescent="0.2">
      <c r="A98" t="s">
        <v>5303</v>
      </c>
      <c r="B98">
        <v>2064</v>
      </c>
      <c r="C98">
        <v>5421</v>
      </c>
      <c r="D98" t="s">
        <v>5186</v>
      </c>
      <c r="E98" t="s">
        <v>4832</v>
      </c>
      <c r="F98" t="s">
        <v>5187</v>
      </c>
      <c r="G98" t="s">
        <v>1241</v>
      </c>
      <c r="L98">
        <v>8998</v>
      </c>
      <c r="M98" t="s">
        <v>5022</v>
      </c>
      <c r="N98" t="s">
        <v>4857</v>
      </c>
      <c r="R98">
        <v>1975</v>
      </c>
      <c r="S98">
        <v>1660</v>
      </c>
      <c r="U98" t="s">
        <v>4840</v>
      </c>
      <c r="V98">
        <v>2020</v>
      </c>
      <c r="X98" t="str">
        <f>IF(Table2929[[#This Row],[performance_2]]&lt;&gt;"", IF(Table2929[[#This Row],[performance_1]]&lt;&gt;"",(Table2929[[#This Row],[performance_1]]-Table2929[[#This Row],[performance_2]])/Table2929[[#This Row],[performance_1]],""), "")</f>
        <v/>
      </c>
      <c r="Y98" s="55">
        <f>Table2929[[#This Row],[total_cost]]/Table2929[[#This Row],[cfa_post]]</f>
        <v>5.4204819277108438</v>
      </c>
      <c r="Z98" s="55">
        <f>Table2929[[#This Row],[total_cost]]/INDEX(CPI!$A$3:$C$31,MATCH(Table2929[[#This Row],[start_year]],CPI!$A$3:$A$31,0),3)</f>
        <v>10572.99768160742</v>
      </c>
      <c r="AA98" s="55">
        <f>Table2929[[#This Row],[$/sqft]]/INDEX(CPI!$A$3:$C$31,MATCH(Table2929[[#This Row],[start_year]],CPI!$A$3:$A$31,0),3)</f>
        <v>6.3692757118116985</v>
      </c>
      <c r="AB98" s="55" t="s">
        <v>72</v>
      </c>
    </row>
    <row r="99" spans="1:28" hidden="1" x14ac:dyDescent="0.2">
      <c r="A99" t="s">
        <v>5303</v>
      </c>
      <c r="B99">
        <v>2069</v>
      </c>
      <c r="C99">
        <v>5464</v>
      </c>
      <c r="D99" t="s">
        <v>5186</v>
      </c>
      <c r="E99" t="s">
        <v>4832</v>
      </c>
      <c r="F99" t="s">
        <v>5187</v>
      </c>
      <c r="G99" t="s">
        <v>1241</v>
      </c>
      <c r="L99">
        <v>4899</v>
      </c>
      <c r="M99" t="s">
        <v>5212</v>
      </c>
      <c r="N99" t="s">
        <v>4857</v>
      </c>
      <c r="R99">
        <v>1975</v>
      </c>
      <c r="S99">
        <v>1256</v>
      </c>
      <c r="U99" t="s">
        <v>4840</v>
      </c>
      <c r="V99">
        <v>2020</v>
      </c>
      <c r="X99" t="str">
        <f>IF(Table2929[[#This Row],[performance_2]]&lt;&gt;"", IF(Table2929[[#This Row],[performance_1]]&lt;&gt;"",(Table2929[[#This Row],[performance_1]]-Table2929[[#This Row],[performance_2]])/Table2929[[#This Row],[performance_1]],""), "")</f>
        <v/>
      </c>
      <c r="Y99" s="55">
        <f>Table2929[[#This Row],[total_cost]]/Table2929[[#This Row],[cfa_post]]</f>
        <v>3.9004777070063694</v>
      </c>
      <c r="Z99" s="55">
        <f>Table2929[[#This Row],[total_cost]]/INDEX(CPI!$A$3:$C$31,MATCH(Table2929[[#This Row],[start_year]],CPI!$A$3:$A$31,0),3)</f>
        <v>5756.5142967542506</v>
      </c>
      <c r="AA99" s="55">
        <f>Table2929[[#This Row],[$/sqft]]/INDEX(CPI!$A$3:$C$31,MATCH(Table2929[[#This Row],[start_year]],CPI!$A$3:$A$31,0),3)</f>
        <v>4.5832120197087978</v>
      </c>
      <c r="AB99" s="55" t="s">
        <v>72</v>
      </c>
    </row>
    <row r="100" spans="1:28" hidden="1" x14ac:dyDescent="0.2">
      <c r="A100" t="s">
        <v>5303</v>
      </c>
      <c r="B100">
        <v>2070</v>
      </c>
      <c r="C100">
        <v>5622</v>
      </c>
      <c r="D100" t="s">
        <v>5186</v>
      </c>
      <c r="E100" t="s">
        <v>4832</v>
      </c>
      <c r="F100" t="s">
        <v>5187</v>
      </c>
      <c r="G100" t="s">
        <v>1241</v>
      </c>
      <c r="L100">
        <v>1378</v>
      </c>
      <c r="M100" t="s">
        <v>4892</v>
      </c>
      <c r="N100" t="s">
        <v>4857</v>
      </c>
      <c r="R100">
        <v>1975</v>
      </c>
      <c r="S100">
        <v>2133</v>
      </c>
      <c r="U100" t="s">
        <v>4840</v>
      </c>
      <c r="V100">
        <v>2020</v>
      </c>
      <c r="X100" t="str">
        <f>IF(Table2929[[#This Row],[performance_2]]&lt;&gt;"", IF(Table2929[[#This Row],[performance_1]]&lt;&gt;"",(Table2929[[#This Row],[performance_1]]-Table2929[[#This Row],[performance_2]])/Table2929[[#This Row],[performance_1]],""), "")</f>
        <v/>
      </c>
      <c r="Y100" s="55">
        <f>Table2929[[#This Row],[total_cost]]/Table2929[[#This Row],[cfa_post]]</f>
        <v>0.64603844350679795</v>
      </c>
      <c r="Z100" s="55">
        <f>Table2929[[#This Row],[total_cost]]/INDEX(CPI!$A$3:$C$31,MATCH(Table2929[[#This Row],[start_year]],CPI!$A$3:$A$31,0),3)</f>
        <v>1619.2032457496136</v>
      </c>
      <c r="AA100" s="55">
        <f>Table2929[[#This Row],[$/sqft]]/INDEX(CPI!$A$3:$C$31,MATCH(Table2929[[#This Row],[start_year]],CPI!$A$3:$A$31,0),3)</f>
        <v>0.75912013396606359</v>
      </c>
      <c r="AB100" s="55" t="s">
        <v>72</v>
      </c>
    </row>
    <row r="101" spans="1:28" hidden="1" x14ac:dyDescent="0.2">
      <c r="A101" t="s">
        <v>5303</v>
      </c>
      <c r="B101">
        <v>2076</v>
      </c>
      <c r="C101">
        <v>5842</v>
      </c>
      <c r="D101" t="s">
        <v>5186</v>
      </c>
      <c r="E101" t="s">
        <v>4832</v>
      </c>
      <c r="F101" t="s">
        <v>5187</v>
      </c>
      <c r="G101" t="s">
        <v>1241</v>
      </c>
      <c r="L101">
        <v>6303</v>
      </c>
      <c r="M101" t="s">
        <v>5212</v>
      </c>
      <c r="N101" t="s">
        <v>4857</v>
      </c>
      <c r="R101">
        <v>1975</v>
      </c>
      <c r="S101">
        <v>1276</v>
      </c>
      <c r="U101" t="s">
        <v>4840</v>
      </c>
      <c r="V101">
        <v>2020</v>
      </c>
      <c r="X101" t="str">
        <f>IF(Table2929[[#This Row],[performance_2]]&lt;&gt;"", IF(Table2929[[#This Row],[performance_1]]&lt;&gt;"",(Table2929[[#This Row],[performance_1]]-Table2929[[#This Row],[performance_2]])/Table2929[[#This Row],[performance_1]],""), "")</f>
        <v/>
      </c>
      <c r="Y101" s="55">
        <f>Table2929[[#This Row],[total_cost]]/Table2929[[#This Row],[cfa_post]]</f>
        <v>4.9396551724137927</v>
      </c>
      <c r="Z101" s="55">
        <f>Table2929[[#This Row],[total_cost]]/INDEX(CPI!$A$3:$C$31,MATCH(Table2929[[#This Row],[start_year]],CPI!$A$3:$A$31,0),3)</f>
        <v>7406.2685471406494</v>
      </c>
      <c r="AA101" s="55">
        <f>Table2929[[#This Row],[$/sqft]]/INDEX(CPI!$A$3:$C$31,MATCH(Table2929[[#This Row],[start_year]],CPI!$A$3:$A$31,0),3)</f>
        <v>5.8042856952512922</v>
      </c>
      <c r="AB101" s="55" t="s">
        <v>72</v>
      </c>
    </row>
    <row r="102" spans="1:28" hidden="1" x14ac:dyDescent="0.2">
      <c r="A102" t="s">
        <v>5303</v>
      </c>
      <c r="B102">
        <v>2081</v>
      </c>
      <c r="C102">
        <v>5929</v>
      </c>
      <c r="D102" t="s">
        <v>5186</v>
      </c>
      <c r="E102" t="s">
        <v>4832</v>
      </c>
      <c r="F102" t="s">
        <v>5187</v>
      </c>
      <c r="G102" t="s">
        <v>1241</v>
      </c>
      <c r="L102">
        <v>8492</v>
      </c>
      <c r="M102" t="s">
        <v>4892</v>
      </c>
      <c r="N102" t="s">
        <v>4857</v>
      </c>
      <c r="R102">
        <v>1975</v>
      </c>
      <c r="S102">
        <v>2463</v>
      </c>
      <c r="U102" t="s">
        <v>4840</v>
      </c>
      <c r="V102">
        <v>2020</v>
      </c>
      <c r="X102" t="str">
        <f>IF(Table2929[[#This Row],[performance_2]]&lt;&gt;"", IF(Table2929[[#This Row],[performance_1]]&lt;&gt;"",(Table2929[[#This Row],[performance_1]]-Table2929[[#This Row],[performance_2]])/Table2929[[#This Row],[performance_1]],""), "")</f>
        <v/>
      </c>
      <c r="Y102" s="55">
        <f>Table2929[[#This Row],[total_cost]]/Table2929[[#This Row],[cfa_post]]</f>
        <v>3.4478278522127486</v>
      </c>
      <c r="Z102" s="55">
        <f>Table2929[[#This Row],[total_cost]]/INDEX(CPI!$A$3:$C$31,MATCH(Table2929[[#This Row],[start_year]],CPI!$A$3:$A$31,0),3)</f>
        <v>9978.4281298299848</v>
      </c>
      <c r="AA102" s="55">
        <f>Table2929[[#This Row],[$/sqft]]/INDEX(CPI!$A$3:$C$31,MATCH(Table2929[[#This Row],[start_year]],CPI!$A$3:$A$31,0),3)</f>
        <v>4.0513309499918737</v>
      </c>
      <c r="AB102" s="55" t="s">
        <v>72</v>
      </c>
    </row>
    <row r="103" spans="1:28" hidden="1" x14ac:dyDescent="0.2">
      <c r="A103" t="s">
        <v>5303</v>
      </c>
      <c r="B103">
        <v>2084</v>
      </c>
      <c r="C103">
        <v>5997</v>
      </c>
      <c r="D103" t="s">
        <v>5186</v>
      </c>
      <c r="E103" t="s">
        <v>4832</v>
      </c>
      <c r="F103" t="s">
        <v>5187</v>
      </c>
      <c r="G103" t="s">
        <v>1241</v>
      </c>
      <c r="L103">
        <v>8436</v>
      </c>
      <c r="M103" t="s">
        <v>5213</v>
      </c>
      <c r="N103" t="s">
        <v>4857</v>
      </c>
      <c r="R103">
        <v>1975</v>
      </c>
      <c r="S103">
        <v>2753</v>
      </c>
      <c r="U103" t="s">
        <v>4840</v>
      </c>
      <c r="V103">
        <v>2020</v>
      </c>
      <c r="X103" t="str">
        <f>IF(Table2929[[#This Row],[performance_2]]&lt;&gt;"", IF(Table2929[[#This Row],[performance_1]]&lt;&gt;"",(Table2929[[#This Row],[performance_1]]-Table2929[[#This Row],[performance_2]])/Table2929[[#This Row],[performance_1]],""), "")</f>
        <v/>
      </c>
      <c r="Y103" s="55">
        <f>Table2929[[#This Row],[total_cost]]/Table2929[[#This Row],[cfa_post]]</f>
        <v>3.0642934980021796</v>
      </c>
      <c r="Z103" s="55">
        <f>Table2929[[#This Row],[total_cost]]/INDEX(CPI!$A$3:$C$31,MATCH(Table2929[[#This Row],[start_year]],CPI!$A$3:$A$31,0),3)</f>
        <v>9912.6259659969091</v>
      </c>
      <c r="AA103" s="55">
        <f>Table2929[[#This Row],[$/sqft]]/INDEX(CPI!$A$3:$C$31,MATCH(Table2929[[#This Row],[start_year]],CPI!$A$3:$A$31,0),3)</f>
        <v>3.6006632640744316</v>
      </c>
      <c r="AB103" s="55" t="s">
        <v>72</v>
      </c>
    </row>
    <row r="104" spans="1:28" hidden="1" x14ac:dyDescent="0.2">
      <c r="A104" t="s">
        <v>5303</v>
      </c>
      <c r="B104">
        <v>2095</v>
      </c>
      <c r="C104">
        <v>5060</v>
      </c>
      <c r="D104" t="s">
        <v>5186</v>
      </c>
      <c r="E104" t="s">
        <v>4832</v>
      </c>
      <c r="F104" t="s">
        <v>5187</v>
      </c>
      <c r="G104" t="s">
        <v>1241</v>
      </c>
      <c r="L104">
        <v>200</v>
      </c>
      <c r="M104" t="s">
        <v>5214</v>
      </c>
      <c r="N104" t="s">
        <v>4857</v>
      </c>
      <c r="R104">
        <v>1975</v>
      </c>
      <c r="S104">
        <v>1597</v>
      </c>
      <c r="U104" t="s">
        <v>4840</v>
      </c>
      <c r="V104">
        <v>2020</v>
      </c>
      <c r="X104" t="str">
        <f>IF(Table2929[[#This Row],[performance_2]]&lt;&gt;"", IF(Table2929[[#This Row],[performance_1]]&lt;&gt;"",(Table2929[[#This Row],[performance_1]]-Table2929[[#This Row],[performance_2]])/Table2929[[#This Row],[performance_1]],""), "")</f>
        <v/>
      </c>
      <c r="Y104" s="55">
        <f>Table2929[[#This Row],[total_cost]]/Table2929[[#This Row],[cfa_post]]</f>
        <v>0.12523481527864747</v>
      </c>
      <c r="Z104" s="55">
        <f>Table2929[[#This Row],[total_cost]]/INDEX(CPI!$A$3:$C$31,MATCH(Table2929[[#This Row],[start_year]],CPI!$A$3:$A$31,0),3)</f>
        <v>235.00772797527048</v>
      </c>
      <c r="AA104" s="55">
        <f>Table2929[[#This Row],[$/sqft]]/INDEX(CPI!$A$3:$C$31,MATCH(Table2929[[#This Row],[start_year]],CPI!$A$3:$A$31,0),3)</f>
        <v>0.14715574701018816</v>
      </c>
      <c r="AB104" s="55" t="s">
        <v>72</v>
      </c>
    </row>
    <row r="105" spans="1:28" hidden="1" x14ac:dyDescent="0.2">
      <c r="A105" t="s">
        <v>5303</v>
      </c>
      <c r="B105">
        <v>2107</v>
      </c>
      <c r="C105">
        <v>5795</v>
      </c>
      <c r="D105" t="s">
        <v>5186</v>
      </c>
      <c r="E105" t="s">
        <v>4832</v>
      </c>
      <c r="F105" t="s">
        <v>5187</v>
      </c>
      <c r="G105" t="s">
        <v>1241</v>
      </c>
      <c r="L105">
        <v>500</v>
      </c>
      <c r="M105" t="s">
        <v>4893</v>
      </c>
      <c r="N105" t="s">
        <v>4857</v>
      </c>
      <c r="R105">
        <v>1975</v>
      </c>
      <c r="S105">
        <v>1436</v>
      </c>
      <c r="U105" t="s">
        <v>4840</v>
      </c>
      <c r="V105">
        <v>2020</v>
      </c>
      <c r="X105" t="str">
        <f>IF(Table2929[[#This Row],[performance_2]]&lt;&gt;"", IF(Table2929[[#This Row],[performance_1]]&lt;&gt;"",(Table2929[[#This Row],[performance_1]]-Table2929[[#This Row],[performance_2]])/Table2929[[#This Row],[performance_1]],""), "")</f>
        <v/>
      </c>
      <c r="Y105" s="55">
        <f>Table2929[[#This Row],[total_cost]]/Table2929[[#This Row],[cfa_post]]</f>
        <v>0.34818941504178275</v>
      </c>
      <c r="Z105" s="55">
        <f>Table2929[[#This Row],[total_cost]]/INDEX(CPI!$A$3:$C$31,MATCH(Table2929[[#This Row],[start_year]],CPI!$A$3:$A$31,0),3)</f>
        <v>587.51931993817618</v>
      </c>
      <c r="AA105" s="55">
        <f>Table2929[[#This Row],[$/sqft]]/INDEX(CPI!$A$3:$C$31,MATCH(Table2929[[#This Row],[start_year]],CPI!$A$3:$A$31,0),3)</f>
        <v>0.40913601667003918</v>
      </c>
      <c r="AB105" s="55" t="s">
        <v>72</v>
      </c>
    </row>
    <row r="106" spans="1:28" hidden="1" x14ac:dyDescent="0.2">
      <c r="A106" t="s">
        <v>5303</v>
      </c>
      <c r="B106">
        <v>2119</v>
      </c>
      <c r="C106">
        <v>6112</v>
      </c>
      <c r="D106" t="s">
        <v>5186</v>
      </c>
      <c r="E106" t="s">
        <v>4832</v>
      </c>
      <c r="F106" t="s">
        <v>5187</v>
      </c>
      <c r="G106" t="s">
        <v>1241</v>
      </c>
      <c r="L106">
        <v>807</v>
      </c>
      <c r="M106" t="s">
        <v>5215</v>
      </c>
      <c r="N106" t="s">
        <v>4857</v>
      </c>
      <c r="R106">
        <v>1985</v>
      </c>
      <c r="S106">
        <v>3133</v>
      </c>
      <c r="U106" t="s">
        <v>4840</v>
      </c>
      <c r="V106">
        <v>2020</v>
      </c>
      <c r="X106" t="str">
        <f>IF(Table2929[[#This Row],[performance_2]]&lt;&gt;"", IF(Table2929[[#This Row],[performance_1]]&lt;&gt;"",(Table2929[[#This Row],[performance_1]]-Table2929[[#This Row],[performance_2]])/Table2929[[#This Row],[performance_1]],""), "")</f>
        <v/>
      </c>
      <c r="Y106" s="55">
        <f>Table2929[[#This Row],[total_cost]]/Table2929[[#This Row],[cfa_post]]</f>
        <v>0.25758059368017872</v>
      </c>
      <c r="Z106" s="55">
        <f>Table2929[[#This Row],[total_cost]]/INDEX(CPI!$A$3:$C$31,MATCH(Table2929[[#This Row],[start_year]],CPI!$A$3:$A$31,0),3)</f>
        <v>948.25618238021639</v>
      </c>
      <c r="AA106" s="55">
        <f>Table2929[[#This Row],[$/sqft]]/INDEX(CPI!$A$3:$C$31,MATCH(Table2929[[#This Row],[start_year]],CPI!$A$3:$A$31,0),3)</f>
        <v>0.30266715045650056</v>
      </c>
      <c r="AB106" s="55" t="s">
        <v>72</v>
      </c>
    </row>
    <row r="107" spans="1:28" hidden="1" x14ac:dyDescent="0.2">
      <c r="A107" t="s">
        <v>5303</v>
      </c>
      <c r="B107">
        <v>2131</v>
      </c>
      <c r="C107">
        <v>6839</v>
      </c>
      <c r="D107" t="s">
        <v>5186</v>
      </c>
      <c r="E107" t="s">
        <v>4832</v>
      </c>
      <c r="F107" t="s">
        <v>5187</v>
      </c>
      <c r="G107" t="s">
        <v>1241</v>
      </c>
      <c r="L107">
        <v>1000</v>
      </c>
      <c r="M107" t="s">
        <v>5216</v>
      </c>
      <c r="N107" t="s">
        <v>4857</v>
      </c>
      <c r="R107">
        <v>1996</v>
      </c>
      <c r="S107">
        <v>2572</v>
      </c>
      <c r="U107" t="s">
        <v>4840</v>
      </c>
      <c r="V107">
        <v>2020</v>
      </c>
      <c r="X107" t="str">
        <f>IF(Table2929[[#This Row],[performance_2]]&lt;&gt;"", IF(Table2929[[#This Row],[performance_1]]&lt;&gt;"",(Table2929[[#This Row],[performance_1]]-Table2929[[#This Row],[performance_2]])/Table2929[[#This Row],[performance_1]],""), "")</f>
        <v/>
      </c>
      <c r="Y107" s="55">
        <f>Table2929[[#This Row],[total_cost]]/Table2929[[#This Row],[cfa_post]]</f>
        <v>0.38880248833592534</v>
      </c>
      <c r="Z107" s="55">
        <f>Table2929[[#This Row],[total_cost]]/INDEX(CPI!$A$3:$C$31,MATCH(Table2929[[#This Row],[start_year]],CPI!$A$3:$A$31,0),3)</f>
        <v>1175.0386398763524</v>
      </c>
      <c r="AA107" s="55">
        <f>Table2929[[#This Row],[$/sqft]]/INDEX(CPI!$A$3:$C$31,MATCH(Table2929[[#This Row],[start_year]],CPI!$A$3:$A$31,0),3)</f>
        <v>0.45685794707478711</v>
      </c>
      <c r="AB107" s="55" t="s">
        <v>72</v>
      </c>
    </row>
    <row r="108" spans="1:28" hidden="1" x14ac:dyDescent="0.2">
      <c r="A108" t="s">
        <v>5303</v>
      </c>
      <c r="B108">
        <v>2148</v>
      </c>
      <c r="C108">
        <v>6378</v>
      </c>
      <c r="D108" t="s">
        <v>5186</v>
      </c>
      <c r="E108" t="s">
        <v>4832</v>
      </c>
      <c r="F108" t="s">
        <v>5187</v>
      </c>
      <c r="G108" t="s">
        <v>1241</v>
      </c>
      <c r="L108">
        <v>1000</v>
      </c>
      <c r="M108" t="s">
        <v>5217</v>
      </c>
      <c r="N108" t="s">
        <v>4857</v>
      </c>
      <c r="R108">
        <v>1975</v>
      </c>
      <c r="S108">
        <v>1430</v>
      </c>
      <c r="U108" t="s">
        <v>4840</v>
      </c>
      <c r="V108">
        <v>2020</v>
      </c>
      <c r="X108" t="str">
        <f>IF(Table2929[[#This Row],[performance_2]]&lt;&gt;"", IF(Table2929[[#This Row],[performance_1]]&lt;&gt;"",(Table2929[[#This Row],[performance_1]]-Table2929[[#This Row],[performance_2]])/Table2929[[#This Row],[performance_1]],""), "")</f>
        <v/>
      </c>
      <c r="Y108" s="55">
        <f>Table2929[[#This Row],[total_cost]]/Table2929[[#This Row],[cfa_post]]</f>
        <v>0.69930069930069927</v>
      </c>
      <c r="Z108" s="55">
        <f>Table2929[[#This Row],[total_cost]]/INDEX(CPI!$A$3:$C$31,MATCH(Table2929[[#This Row],[start_year]],CPI!$A$3:$A$31,0),3)</f>
        <v>1175.0386398763524</v>
      </c>
      <c r="AA108" s="55">
        <f>Table2929[[#This Row],[$/sqft]]/INDEX(CPI!$A$3:$C$31,MATCH(Table2929[[#This Row],[start_year]],CPI!$A$3:$A$31,0),3)</f>
        <v>0.8217053425708758</v>
      </c>
      <c r="AB108" s="55" t="s">
        <v>72</v>
      </c>
    </row>
    <row r="109" spans="1:28" hidden="1" x14ac:dyDescent="0.2">
      <c r="A109" t="s">
        <v>5303</v>
      </c>
      <c r="B109">
        <v>2172</v>
      </c>
      <c r="C109">
        <v>6595</v>
      </c>
      <c r="D109" t="s">
        <v>5186</v>
      </c>
      <c r="E109" t="s">
        <v>4832</v>
      </c>
      <c r="F109" t="s">
        <v>5187</v>
      </c>
      <c r="G109" t="s">
        <v>1241</v>
      </c>
      <c r="L109">
        <v>500</v>
      </c>
      <c r="M109" t="s">
        <v>5216</v>
      </c>
      <c r="N109" t="s">
        <v>4857</v>
      </c>
      <c r="R109">
        <v>1975</v>
      </c>
      <c r="S109">
        <v>1402</v>
      </c>
      <c r="U109" t="s">
        <v>4840</v>
      </c>
      <c r="V109">
        <v>2020</v>
      </c>
      <c r="X109" t="str">
        <f>IF(Table2929[[#This Row],[performance_2]]&lt;&gt;"", IF(Table2929[[#This Row],[performance_1]]&lt;&gt;"",(Table2929[[#This Row],[performance_1]]-Table2929[[#This Row],[performance_2]])/Table2929[[#This Row],[performance_1]],""), "")</f>
        <v/>
      </c>
      <c r="Y109" s="55">
        <f>Table2929[[#This Row],[total_cost]]/Table2929[[#This Row],[cfa_post]]</f>
        <v>0.35663338088445079</v>
      </c>
      <c r="Z109" s="55">
        <f>Table2929[[#This Row],[total_cost]]/INDEX(CPI!$A$3:$C$31,MATCH(Table2929[[#This Row],[start_year]],CPI!$A$3:$A$31,0),3)</f>
        <v>587.51931993817618</v>
      </c>
      <c r="AA109" s="55">
        <f>Table2929[[#This Row],[$/sqft]]/INDEX(CPI!$A$3:$C$31,MATCH(Table2929[[#This Row],[start_year]],CPI!$A$3:$A$31,0),3)</f>
        <v>0.41905800280897021</v>
      </c>
      <c r="AB109" s="55" t="s">
        <v>72</v>
      </c>
    </row>
    <row r="110" spans="1:28" hidden="1" x14ac:dyDescent="0.2">
      <c r="A110" t="s">
        <v>5303</v>
      </c>
      <c r="B110">
        <v>2180</v>
      </c>
      <c r="C110">
        <v>7849</v>
      </c>
      <c r="D110" t="s">
        <v>5186</v>
      </c>
      <c r="E110" t="s">
        <v>4832</v>
      </c>
      <c r="F110" t="s">
        <v>5187</v>
      </c>
      <c r="G110" t="s">
        <v>1241</v>
      </c>
      <c r="L110">
        <v>940</v>
      </c>
      <c r="M110" t="s">
        <v>4893</v>
      </c>
      <c r="N110" t="s">
        <v>4857</v>
      </c>
      <c r="R110">
        <v>1985</v>
      </c>
      <c r="S110">
        <v>1532</v>
      </c>
      <c r="T110">
        <v>1</v>
      </c>
      <c r="U110" t="s">
        <v>4840</v>
      </c>
      <c r="V110">
        <v>2020</v>
      </c>
      <c r="X110" t="str">
        <f>IF(Table2929[[#This Row],[performance_2]]&lt;&gt;"", IF(Table2929[[#This Row],[performance_1]]&lt;&gt;"",(Table2929[[#This Row],[performance_1]]-Table2929[[#This Row],[performance_2]])/Table2929[[#This Row],[performance_1]],""), "")</f>
        <v/>
      </c>
      <c r="Y110" s="55">
        <f>Table2929[[#This Row],[total_cost]]/Table2929[[#This Row],[cfa_post]]</f>
        <v>0.61357702349869447</v>
      </c>
      <c r="Z110" s="55">
        <f>Table2929[[#This Row],[total_cost]]/INDEX(CPI!$A$3:$C$31,MATCH(Table2929[[#This Row],[start_year]],CPI!$A$3:$A$31,0),3)</f>
        <v>1104.5363214837712</v>
      </c>
      <c r="AA110" s="55">
        <f>Table2929[[#This Row],[$/sqft]]/INDEX(CPI!$A$3:$C$31,MATCH(Table2929[[#This Row],[start_year]],CPI!$A$3:$A$31,0),3)</f>
        <v>0.7209767111512867</v>
      </c>
      <c r="AB110" s="55" t="s">
        <v>72</v>
      </c>
    </row>
    <row r="111" spans="1:28" hidden="1" x14ac:dyDescent="0.2">
      <c r="A111" t="s">
        <v>5303</v>
      </c>
      <c r="B111">
        <v>2208</v>
      </c>
      <c r="C111">
        <v>6055</v>
      </c>
      <c r="D111" t="s">
        <v>5186</v>
      </c>
      <c r="E111" t="s">
        <v>4832</v>
      </c>
      <c r="F111" t="s">
        <v>5187</v>
      </c>
      <c r="G111" t="s">
        <v>1241</v>
      </c>
      <c r="L111">
        <v>800</v>
      </c>
      <c r="M111" t="s">
        <v>4897</v>
      </c>
      <c r="N111" t="s">
        <v>4857</v>
      </c>
      <c r="R111">
        <v>1975</v>
      </c>
      <c r="S111">
        <v>1167</v>
      </c>
      <c r="U111" t="s">
        <v>4840</v>
      </c>
      <c r="V111">
        <v>2020</v>
      </c>
      <c r="X111" t="str">
        <f>IF(Table2929[[#This Row],[performance_2]]&lt;&gt;"", IF(Table2929[[#This Row],[performance_1]]&lt;&gt;"",(Table2929[[#This Row],[performance_1]]-Table2929[[#This Row],[performance_2]])/Table2929[[#This Row],[performance_1]],""), "")</f>
        <v/>
      </c>
      <c r="Y111" s="55">
        <f>Table2929[[#This Row],[total_cost]]/Table2929[[#This Row],[cfa_post]]</f>
        <v>0.68551842330762636</v>
      </c>
      <c r="Z111" s="55">
        <f>Table2929[[#This Row],[total_cost]]/INDEX(CPI!$A$3:$C$31,MATCH(Table2929[[#This Row],[start_year]],CPI!$A$3:$A$31,0),3)</f>
        <v>940.03091190108194</v>
      </c>
      <c r="AA111" s="55">
        <f>Table2929[[#This Row],[$/sqft]]/INDEX(CPI!$A$3:$C$31,MATCH(Table2929[[#This Row],[start_year]],CPI!$A$3:$A$31,0),3)</f>
        <v>0.80551063573357484</v>
      </c>
      <c r="AB111" s="55" t="s">
        <v>72</v>
      </c>
    </row>
    <row r="112" spans="1:28" hidden="1" x14ac:dyDescent="0.2">
      <c r="A112" t="s">
        <v>5303</v>
      </c>
      <c r="B112">
        <v>2215</v>
      </c>
      <c r="C112">
        <v>6963</v>
      </c>
      <c r="D112" t="s">
        <v>5186</v>
      </c>
      <c r="E112" t="s">
        <v>4832</v>
      </c>
      <c r="F112" t="s">
        <v>5187</v>
      </c>
      <c r="G112" t="s">
        <v>1241</v>
      </c>
      <c r="L112">
        <v>6500</v>
      </c>
      <c r="M112" t="s">
        <v>5218</v>
      </c>
      <c r="N112" t="s">
        <v>4857</v>
      </c>
      <c r="R112">
        <v>1975</v>
      </c>
      <c r="S112">
        <v>1532</v>
      </c>
      <c r="U112" t="s">
        <v>4840</v>
      </c>
      <c r="V112">
        <v>2020</v>
      </c>
      <c r="X112" t="str">
        <f>IF(Table2929[[#This Row],[performance_2]]&lt;&gt;"", IF(Table2929[[#This Row],[performance_1]]&lt;&gt;"",(Table2929[[#This Row],[performance_1]]-Table2929[[#This Row],[performance_2]])/Table2929[[#This Row],[performance_1]],""), "")</f>
        <v/>
      </c>
      <c r="Y112" s="55">
        <f>Table2929[[#This Row],[total_cost]]/Table2929[[#This Row],[cfa_post]]</f>
        <v>4.242819843342037</v>
      </c>
      <c r="Z112" s="55">
        <f>Table2929[[#This Row],[total_cost]]/INDEX(CPI!$A$3:$C$31,MATCH(Table2929[[#This Row],[start_year]],CPI!$A$3:$A$31,0),3)</f>
        <v>7637.7511591962912</v>
      </c>
      <c r="AA112" s="55">
        <f>Table2929[[#This Row],[$/sqft]]/INDEX(CPI!$A$3:$C$31,MATCH(Table2929[[#This Row],[start_year]],CPI!$A$3:$A$31,0),3)</f>
        <v>4.9854772579610254</v>
      </c>
      <c r="AB112" s="55" t="s">
        <v>72</v>
      </c>
    </row>
    <row r="113" spans="1:28" hidden="1" x14ac:dyDescent="0.2">
      <c r="A113" t="s">
        <v>5303</v>
      </c>
      <c r="B113">
        <v>2266</v>
      </c>
      <c r="C113">
        <v>6340</v>
      </c>
      <c r="D113" t="s">
        <v>5186</v>
      </c>
      <c r="E113" t="s">
        <v>4832</v>
      </c>
      <c r="F113" t="s">
        <v>5187</v>
      </c>
      <c r="G113" t="s">
        <v>1241</v>
      </c>
      <c r="L113">
        <v>2500</v>
      </c>
      <c r="M113" t="s">
        <v>5204</v>
      </c>
      <c r="N113" t="s">
        <v>4857</v>
      </c>
      <c r="R113">
        <v>1985</v>
      </c>
      <c r="S113">
        <v>1471</v>
      </c>
      <c r="U113" t="s">
        <v>5024</v>
      </c>
      <c r="V113">
        <v>2020</v>
      </c>
      <c r="X113" t="str">
        <f>IF(Table2929[[#This Row],[performance_2]]&lt;&gt;"", IF(Table2929[[#This Row],[performance_1]]&lt;&gt;"",(Table2929[[#This Row],[performance_1]]-Table2929[[#This Row],[performance_2]])/Table2929[[#This Row],[performance_1]],""), "")</f>
        <v/>
      </c>
      <c r="Y113" s="55">
        <f>Table2929[[#This Row],[total_cost]]/Table2929[[#This Row],[cfa_post]]</f>
        <v>1.699524133242692</v>
      </c>
      <c r="Z113" s="55">
        <f>Table2929[[#This Row],[total_cost]]/INDEX(CPI!$A$3:$C$31,MATCH(Table2929[[#This Row],[start_year]],CPI!$A$3:$A$31,0),3)</f>
        <v>2937.5965996908812</v>
      </c>
      <c r="AA113" s="55">
        <f>Table2929[[#This Row],[$/sqft]]/INDEX(CPI!$A$3:$C$31,MATCH(Table2929[[#This Row],[start_year]],CPI!$A$3:$A$31,0),3)</f>
        <v>1.9970065259625296</v>
      </c>
      <c r="AB113" s="55" t="s">
        <v>72</v>
      </c>
    </row>
    <row r="114" spans="1:28" hidden="1" x14ac:dyDescent="0.2">
      <c r="A114" t="s">
        <v>5303</v>
      </c>
      <c r="B114">
        <v>2276</v>
      </c>
      <c r="C114">
        <v>6120</v>
      </c>
      <c r="D114" t="s">
        <v>5186</v>
      </c>
      <c r="E114" t="s">
        <v>4832</v>
      </c>
      <c r="F114" t="s">
        <v>5187</v>
      </c>
      <c r="G114" t="s">
        <v>1241</v>
      </c>
      <c r="L114">
        <v>1218</v>
      </c>
      <c r="M114" t="s">
        <v>4892</v>
      </c>
      <c r="N114" t="s">
        <v>4857</v>
      </c>
      <c r="R114">
        <v>1975</v>
      </c>
      <c r="S114">
        <v>3135</v>
      </c>
      <c r="U114" t="s">
        <v>4840</v>
      </c>
      <c r="V114">
        <v>2020</v>
      </c>
      <c r="X114" t="str">
        <f>IF(Table2929[[#This Row],[performance_2]]&lt;&gt;"", IF(Table2929[[#This Row],[performance_1]]&lt;&gt;"",(Table2929[[#This Row],[performance_1]]-Table2929[[#This Row],[performance_2]])/Table2929[[#This Row],[performance_1]],""), "")</f>
        <v/>
      </c>
      <c r="Y114" s="55">
        <f>Table2929[[#This Row],[total_cost]]/Table2929[[#This Row],[cfa_post]]</f>
        <v>0.38851674641148326</v>
      </c>
      <c r="Z114" s="55">
        <f>Table2929[[#This Row],[total_cost]]/INDEX(CPI!$A$3:$C$31,MATCH(Table2929[[#This Row],[start_year]],CPI!$A$3:$A$31,0),3)</f>
        <v>1431.1970633693973</v>
      </c>
      <c r="AA114" s="55">
        <f>Table2929[[#This Row],[$/sqft]]/INDEX(CPI!$A$3:$C$31,MATCH(Table2929[[#This Row],[start_year]],CPI!$A$3:$A$31,0),3)</f>
        <v>0.45652218927253502</v>
      </c>
      <c r="AB114" s="55" t="s">
        <v>72</v>
      </c>
    </row>
    <row r="115" spans="1:28" hidden="1" x14ac:dyDescent="0.2">
      <c r="A115" t="s">
        <v>5303</v>
      </c>
      <c r="B115">
        <v>2281</v>
      </c>
      <c r="C115">
        <v>6562</v>
      </c>
      <c r="D115" t="s">
        <v>5186</v>
      </c>
      <c r="E115" t="s">
        <v>4832</v>
      </c>
      <c r="F115" t="s">
        <v>5187</v>
      </c>
      <c r="G115" t="s">
        <v>1241</v>
      </c>
      <c r="L115">
        <v>7699</v>
      </c>
      <c r="M115" t="s">
        <v>4892</v>
      </c>
      <c r="N115" t="s">
        <v>4857</v>
      </c>
      <c r="R115">
        <v>1975</v>
      </c>
      <c r="S115">
        <v>1599</v>
      </c>
      <c r="U115" t="s">
        <v>4840</v>
      </c>
      <c r="V115">
        <v>2020</v>
      </c>
      <c r="X115" t="str">
        <f>IF(Table2929[[#This Row],[performance_2]]&lt;&gt;"", IF(Table2929[[#This Row],[performance_1]]&lt;&gt;"",(Table2929[[#This Row],[performance_1]]-Table2929[[#This Row],[performance_2]])/Table2929[[#This Row],[performance_1]],""), "")</f>
        <v/>
      </c>
      <c r="Y115" s="55">
        <f>Table2929[[#This Row],[total_cost]]/Table2929[[#This Row],[cfa_post]]</f>
        <v>4.8148843026891806</v>
      </c>
      <c r="Z115" s="55">
        <f>Table2929[[#This Row],[total_cost]]/INDEX(CPI!$A$3:$C$31,MATCH(Table2929[[#This Row],[start_year]],CPI!$A$3:$A$31,0),3)</f>
        <v>9046.6224884080366</v>
      </c>
      <c r="AA115" s="55">
        <f>Table2929[[#This Row],[$/sqft]]/INDEX(CPI!$A$3:$C$31,MATCH(Table2929[[#This Row],[start_year]],CPI!$A$3:$A$31,0),3)</f>
        <v>5.6576751021938945</v>
      </c>
      <c r="AB115" s="55" t="s">
        <v>72</v>
      </c>
    </row>
    <row r="116" spans="1:28" hidden="1" x14ac:dyDescent="0.2">
      <c r="A116" t="s">
        <v>5303</v>
      </c>
      <c r="B116">
        <v>2291</v>
      </c>
      <c r="C116">
        <v>6746</v>
      </c>
      <c r="D116" t="s">
        <v>5186</v>
      </c>
      <c r="E116" t="s">
        <v>4832</v>
      </c>
      <c r="F116" t="s">
        <v>5187</v>
      </c>
      <c r="G116" t="s">
        <v>1241</v>
      </c>
      <c r="L116">
        <v>8327</v>
      </c>
      <c r="M116" t="s">
        <v>5212</v>
      </c>
      <c r="N116" t="s">
        <v>4857</v>
      </c>
      <c r="R116">
        <v>1975</v>
      </c>
      <c r="S116">
        <v>1269</v>
      </c>
      <c r="U116" t="s">
        <v>4840</v>
      </c>
      <c r="V116">
        <v>2020</v>
      </c>
      <c r="X116" t="str">
        <f>IF(Table2929[[#This Row],[performance_2]]&lt;&gt;"", IF(Table2929[[#This Row],[performance_1]]&lt;&gt;"",(Table2929[[#This Row],[performance_1]]-Table2929[[#This Row],[performance_2]])/Table2929[[#This Row],[performance_1]],""), "")</f>
        <v/>
      </c>
      <c r="Y116" s="55">
        <f>Table2929[[#This Row],[total_cost]]/Table2929[[#This Row],[cfa_post]]</f>
        <v>6.5618597320724978</v>
      </c>
      <c r="Z116" s="55">
        <f>Table2929[[#This Row],[total_cost]]/INDEX(CPI!$A$3:$C$31,MATCH(Table2929[[#This Row],[start_year]],CPI!$A$3:$A$31,0),3)</f>
        <v>9784.5467542503866</v>
      </c>
      <c r="AA116" s="55">
        <f>Table2929[[#This Row],[$/sqft]]/INDEX(CPI!$A$3:$C$31,MATCH(Table2929[[#This Row],[start_year]],CPI!$A$3:$A$31,0),3)</f>
        <v>7.7104387346338745</v>
      </c>
      <c r="AB116" s="55" t="s">
        <v>72</v>
      </c>
    </row>
    <row r="117" spans="1:28" hidden="1" x14ac:dyDescent="0.2">
      <c r="A117" t="s">
        <v>5303</v>
      </c>
      <c r="B117">
        <v>2307</v>
      </c>
      <c r="C117">
        <v>7954</v>
      </c>
      <c r="D117" t="s">
        <v>5186</v>
      </c>
      <c r="E117" t="s">
        <v>4832</v>
      </c>
      <c r="F117" t="s">
        <v>5187</v>
      </c>
      <c r="G117" t="s">
        <v>1241</v>
      </c>
      <c r="L117">
        <v>630</v>
      </c>
      <c r="M117" t="s">
        <v>5219</v>
      </c>
      <c r="N117" t="s">
        <v>4857</v>
      </c>
      <c r="R117">
        <v>1975</v>
      </c>
      <c r="S117">
        <v>1435</v>
      </c>
      <c r="U117" t="s">
        <v>4840</v>
      </c>
      <c r="V117">
        <v>2020</v>
      </c>
      <c r="X117" t="str">
        <f>IF(Table2929[[#This Row],[performance_2]]&lt;&gt;"", IF(Table2929[[#This Row],[performance_1]]&lt;&gt;"",(Table2929[[#This Row],[performance_1]]-Table2929[[#This Row],[performance_2]])/Table2929[[#This Row],[performance_1]],""), "")</f>
        <v/>
      </c>
      <c r="Y117" s="55">
        <f>Table2929[[#This Row],[total_cost]]/Table2929[[#This Row],[cfa_post]]</f>
        <v>0.43902439024390244</v>
      </c>
      <c r="Z117" s="55">
        <f>Table2929[[#This Row],[total_cost]]/INDEX(CPI!$A$3:$C$31,MATCH(Table2929[[#This Row],[start_year]],CPI!$A$3:$A$31,0),3)</f>
        <v>740.27434312210198</v>
      </c>
      <c r="AA117" s="55">
        <f>Table2929[[#This Row],[$/sqft]]/INDEX(CPI!$A$3:$C$31,MATCH(Table2929[[#This Row],[start_year]],CPI!$A$3:$A$31,0),3)</f>
        <v>0.51587062238474013</v>
      </c>
      <c r="AB117" s="55" t="s">
        <v>72</v>
      </c>
    </row>
    <row r="118" spans="1:28" hidden="1" x14ac:dyDescent="0.2">
      <c r="A118" t="s">
        <v>5303</v>
      </c>
      <c r="B118">
        <v>2310</v>
      </c>
      <c r="C118">
        <v>6027</v>
      </c>
      <c r="D118" t="s">
        <v>5186</v>
      </c>
      <c r="E118" t="s">
        <v>4832</v>
      </c>
      <c r="F118" t="s">
        <v>5187</v>
      </c>
      <c r="G118" t="s">
        <v>1241</v>
      </c>
      <c r="L118">
        <v>636</v>
      </c>
      <c r="M118" t="s">
        <v>4892</v>
      </c>
      <c r="N118" t="s">
        <v>4857</v>
      </c>
      <c r="R118">
        <v>1975</v>
      </c>
      <c r="S118">
        <v>1471</v>
      </c>
      <c r="U118" t="s">
        <v>4840</v>
      </c>
      <c r="V118">
        <v>2020</v>
      </c>
      <c r="X118" t="str">
        <f>IF(Table2929[[#This Row],[performance_2]]&lt;&gt;"", IF(Table2929[[#This Row],[performance_1]]&lt;&gt;"",(Table2929[[#This Row],[performance_1]]-Table2929[[#This Row],[performance_2]])/Table2929[[#This Row],[performance_1]],""), "")</f>
        <v/>
      </c>
      <c r="Y118" s="55">
        <f>Table2929[[#This Row],[total_cost]]/Table2929[[#This Row],[cfa_post]]</f>
        <v>0.43235893949694088</v>
      </c>
      <c r="Z118" s="55">
        <f>Table2929[[#This Row],[total_cost]]/INDEX(CPI!$A$3:$C$31,MATCH(Table2929[[#This Row],[start_year]],CPI!$A$3:$A$31,0),3)</f>
        <v>747.3245749613601</v>
      </c>
      <c r="AA118" s="55">
        <f>Table2929[[#This Row],[$/sqft]]/INDEX(CPI!$A$3:$C$31,MATCH(Table2929[[#This Row],[start_year]],CPI!$A$3:$A$31,0),3)</f>
        <v>0.50803846020486754</v>
      </c>
      <c r="AB118" s="55" t="s">
        <v>72</v>
      </c>
    </row>
    <row r="119" spans="1:28" hidden="1" x14ac:dyDescent="0.2">
      <c r="A119" t="s">
        <v>5303</v>
      </c>
      <c r="B119">
        <v>2326</v>
      </c>
      <c r="C119">
        <v>7805</v>
      </c>
      <c r="D119" t="s">
        <v>5186</v>
      </c>
      <c r="E119" t="s">
        <v>4832</v>
      </c>
      <c r="F119" t="s">
        <v>5187</v>
      </c>
      <c r="G119" t="s">
        <v>1241</v>
      </c>
      <c r="L119">
        <v>500</v>
      </c>
      <c r="M119" t="s">
        <v>4900</v>
      </c>
      <c r="N119" t="s">
        <v>4857</v>
      </c>
      <c r="R119">
        <v>1985</v>
      </c>
      <c r="S119">
        <v>1158</v>
      </c>
      <c r="U119" t="s">
        <v>4840</v>
      </c>
      <c r="V119">
        <v>2020</v>
      </c>
      <c r="X119" t="str">
        <f>IF(Table2929[[#This Row],[performance_2]]&lt;&gt;"", IF(Table2929[[#This Row],[performance_1]]&lt;&gt;"",(Table2929[[#This Row],[performance_1]]-Table2929[[#This Row],[performance_2]])/Table2929[[#This Row],[performance_1]],""), "")</f>
        <v/>
      </c>
      <c r="Y119" s="55">
        <f>Table2929[[#This Row],[total_cost]]/Table2929[[#This Row],[cfa_post]]</f>
        <v>0.43177892918825561</v>
      </c>
      <c r="Z119" s="55">
        <f>Table2929[[#This Row],[total_cost]]/INDEX(CPI!$A$3:$C$31,MATCH(Table2929[[#This Row],[start_year]],CPI!$A$3:$A$31,0),3)</f>
        <v>587.51931993817618</v>
      </c>
      <c r="AA119" s="55">
        <f>Table2929[[#This Row],[$/sqft]]/INDEX(CPI!$A$3:$C$31,MATCH(Table2929[[#This Row],[start_year]],CPI!$A$3:$A$31,0),3)</f>
        <v>0.50735692568063573</v>
      </c>
      <c r="AB119" s="55" t="s">
        <v>72</v>
      </c>
    </row>
    <row r="120" spans="1:28" hidden="1" x14ac:dyDescent="0.2">
      <c r="A120" t="s">
        <v>5303</v>
      </c>
      <c r="B120">
        <v>2333</v>
      </c>
      <c r="C120">
        <v>5521</v>
      </c>
      <c r="D120" t="s">
        <v>5186</v>
      </c>
      <c r="E120" t="s">
        <v>4832</v>
      </c>
      <c r="F120" t="s">
        <v>5187</v>
      </c>
      <c r="G120" t="s">
        <v>1241</v>
      </c>
      <c r="L120">
        <v>1000</v>
      </c>
      <c r="M120" t="s">
        <v>5220</v>
      </c>
      <c r="N120" t="s">
        <v>4857</v>
      </c>
      <c r="R120">
        <v>1985</v>
      </c>
      <c r="S120">
        <v>1957</v>
      </c>
      <c r="U120" t="s">
        <v>4840</v>
      </c>
      <c r="V120">
        <v>2020</v>
      </c>
      <c r="X120" t="str">
        <f>IF(Table2929[[#This Row],[performance_2]]&lt;&gt;"", IF(Table2929[[#This Row],[performance_1]]&lt;&gt;"",(Table2929[[#This Row],[performance_1]]-Table2929[[#This Row],[performance_2]])/Table2929[[#This Row],[performance_1]],""), "")</f>
        <v/>
      </c>
      <c r="Y120" s="55">
        <f>Table2929[[#This Row],[total_cost]]/Table2929[[#This Row],[cfa_post]]</f>
        <v>0.510986203372509</v>
      </c>
      <c r="Z120" s="55">
        <f>Table2929[[#This Row],[total_cost]]/INDEX(CPI!$A$3:$C$31,MATCH(Table2929[[#This Row],[start_year]],CPI!$A$3:$A$31,0),3)</f>
        <v>1175.0386398763524</v>
      </c>
      <c r="AA120" s="55">
        <f>Table2929[[#This Row],[$/sqft]]/INDEX(CPI!$A$3:$C$31,MATCH(Table2929[[#This Row],[start_year]],CPI!$A$3:$A$31,0),3)</f>
        <v>0.60042853340641422</v>
      </c>
      <c r="AB120" s="55" t="s">
        <v>72</v>
      </c>
    </row>
    <row r="121" spans="1:28" hidden="1" x14ac:dyDescent="0.2">
      <c r="A121" t="s">
        <v>5303</v>
      </c>
      <c r="B121">
        <v>2337</v>
      </c>
      <c r="C121">
        <v>8064</v>
      </c>
      <c r="D121" t="s">
        <v>5186</v>
      </c>
      <c r="E121" t="s">
        <v>4832</v>
      </c>
      <c r="F121" t="s">
        <v>5187</v>
      </c>
      <c r="G121" t="s">
        <v>1241</v>
      </c>
      <c r="L121">
        <v>1000</v>
      </c>
      <c r="M121" t="s">
        <v>5220</v>
      </c>
      <c r="N121" t="s">
        <v>4857</v>
      </c>
      <c r="R121">
        <v>1985</v>
      </c>
      <c r="S121">
        <v>2012</v>
      </c>
      <c r="U121" t="s">
        <v>4840</v>
      </c>
      <c r="V121">
        <v>2020</v>
      </c>
      <c r="X121" t="str">
        <f>IF(Table2929[[#This Row],[performance_2]]&lt;&gt;"", IF(Table2929[[#This Row],[performance_1]]&lt;&gt;"",(Table2929[[#This Row],[performance_1]]-Table2929[[#This Row],[performance_2]])/Table2929[[#This Row],[performance_1]],""), "")</f>
        <v/>
      </c>
      <c r="Y121" s="55">
        <f>Table2929[[#This Row],[total_cost]]/Table2929[[#This Row],[cfa_post]]</f>
        <v>0.49701789264413521</v>
      </c>
      <c r="Z121" s="55">
        <f>Table2929[[#This Row],[total_cost]]/INDEX(CPI!$A$3:$C$31,MATCH(Table2929[[#This Row],[start_year]],CPI!$A$3:$A$31,0),3)</f>
        <v>1175.0386398763524</v>
      </c>
      <c r="AA121" s="55">
        <f>Table2929[[#This Row],[$/sqft]]/INDEX(CPI!$A$3:$C$31,MATCH(Table2929[[#This Row],[start_year]],CPI!$A$3:$A$31,0),3)</f>
        <v>0.58401522856677557</v>
      </c>
      <c r="AB121" s="55" t="s">
        <v>72</v>
      </c>
    </row>
    <row r="122" spans="1:28" hidden="1" x14ac:dyDescent="0.2">
      <c r="A122" t="s">
        <v>5303</v>
      </c>
      <c r="B122">
        <v>2338</v>
      </c>
      <c r="C122">
        <v>8072</v>
      </c>
      <c r="D122" t="s">
        <v>5186</v>
      </c>
      <c r="E122" t="s">
        <v>4832</v>
      </c>
      <c r="F122" t="s">
        <v>5187</v>
      </c>
      <c r="G122" t="s">
        <v>1241</v>
      </c>
      <c r="L122">
        <v>1000</v>
      </c>
      <c r="M122" t="s">
        <v>5220</v>
      </c>
      <c r="N122" t="s">
        <v>4857</v>
      </c>
      <c r="R122">
        <v>1985</v>
      </c>
      <c r="S122">
        <v>1786</v>
      </c>
      <c r="U122" t="s">
        <v>4840</v>
      </c>
      <c r="V122">
        <v>2020</v>
      </c>
      <c r="X122" t="str">
        <f>IF(Table2929[[#This Row],[performance_2]]&lt;&gt;"", IF(Table2929[[#This Row],[performance_1]]&lt;&gt;"",(Table2929[[#This Row],[performance_1]]-Table2929[[#This Row],[performance_2]])/Table2929[[#This Row],[performance_1]],""), "")</f>
        <v/>
      </c>
      <c r="Y122" s="55">
        <f>Table2929[[#This Row],[total_cost]]/Table2929[[#This Row],[cfa_post]]</f>
        <v>0.55991041433370659</v>
      </c>
      <c r="Z122" s="55">
        <f>Table2929[[#This Row],[total_cost]]/INDEX(CPI!$A$3:$C$31,MATCH(Table2929[[#This Row],[start_year]],CPI!$A$3:$A$31,0),3)</f>
        <v>1175.0386398763524</v>
      </c>
      <c r="AA122" s="55">
        <f>Table2929[[#This Row],[$/sqft]]/INDEX(CPI!$A$3:$C$31,MATCH(Table2929[[#This Row],[start_year]],CPI!$A$3:$A$31,0),3)</f>
        <v>0.65791637171128348</v>
      </c>
      <c r="AB122" s="55" t="s">
        <v>72</v>
      </c>
    </row>
    <row r="123" spans="1:28" hidden="1" x14ac:dyDescent="0.2">
      <c r="A123" t="s">
        <v>5303</v>
      </c>
      <c r="B123">
        <v>2339</v>
      </c>
      <c r="C123">
        <v>8078</v>
      </c>
      <c r="D123" t="s">
        <v>5186</v>
      </c>
      <c r="E123" t="s">
        <v>4832</v>
      </c>
      <c r="F123" t="s">
        <v>5187</v>
      </c>
      <c r="G123" t="s">
        <v>1241</v>
      </c>
      <c r="L123">
        <v>1000</v>
      </c>
      <c r="M123" t="s">
        <v>4893</v>
      </c>
      <c r="N123" t="s">
        <v>4857</v>
      </c>
      <c r="R123">
        <v>1975</v>
      </c>
      <c r="S123">
        <v>1520</v>
      </c>
      <c r="U123" t="s">
        <v>4840</v>
      </c>
      <c r="V123">
        <v>2020</v>
      </c>
      <c r="X123" t="str">
        <f>IF(Table2929[[#This Row],[performance_2]]&lt;&gt;"", IF(Table2929[[#This Row],[performance_1]]&lt;&gt;"",(Table2929[[#This Row],[performance_1]]-Table2929[[#This Row],[performance_2]])/Table2929[[#This Row],[performance_1]],""), "")</f>
        <v/>
      </c>
      <c r="Y123" s="55">
        <f>Table2929[[#This Row],[total_cost]]/Table2929[[#This Row],[cfa_post]]</f>
        <v>0.65789473684210531</v>
      </c>
      <c r="Z123" s="55">
        <f>Table2929[[#This Row],[total_cost]]/INDEX(CPI!$A$3:$C$31,MATCH(Table2929[[#This Row],[start_year]],CPI!$A$3:$A$31,0),3)</f>
        <v>1175.0386398763524</v>
      </c>
      <c r="AA123" s="55">
        <f>Table2929[[#This Row],[$/sqft]]/INDEX(CPI!$A$3:$C$31,MATCH(Table2929[[#This Row],[start_year]],CPI!$A$3:$A$31,0),3)</f>
        <v>0.77305173676075822</v>
      </c>
      <c r="AB123" s="55" t="s">
        <v>72</v>
      </c>
    </row>
    <row r="124" spans="1:28" hidden="1" x14ac:dyDescent="0.2">
      <c r="A124" t="s">
        <v>5303</v>
      </c>
      <c r="B124">
        <v>2341</v>
      </c>
      <c r="C124">
        <v>5372</v>
      </c>
      <c r="D124" t="s">
        <v>5186</v>
      </c>
      <c r="E124" t="s">
        <v>4832</v>
      </c>
      <c r="F124" t="s">
        <v>5187</v>
      </c>
      <c r="G124" t="s">
        <v>1241</v>
      </c>
      <c r="L124">
        <v>600</v>
      </c>
      <c r="M124" t="s">
        <v>4900</v>
      </c>
      <c r="N124" t="s">
        <v>4857</v>
      </c>
      <c r="R124">
        <v>1985</v>
      </c>
      <c r="S124">
        <v>1165</v>
      </c>
      <c r="T124">
        <v>1</v>
      </c>
      <c r="U124" t="s">
        <v>4840</v>
      </c>
      <c r="V124">
        <v>2020</v>
      </c>
      <c r="X124" t="str">
        <f>IF(Table2929[[#This Row],[performance_2]]&lt;&gt;"", IF(Table2929[[#This Row],[performance_1]]&lt;&gt;"",(Table2929[[#This Row],[performance_1]]-Table2929[[#This Row],[performance_2]])/Table2929[[#This Row],[performance_1]],""), "")</f>
        <v/>
      </c>
      <c r="Y124" s="55">
        <f>Table2929[[#This Row],[total_cost]]/Table2929[[#This Row],[cfa_post]]</f>
        <v>0.51502145922746778</v>
      </c>
      <c r="Z124" s="55">
        <f>Table2929[[#This Row],[total_cost]]/INDEX(CPI!$A$3:$C$31,MATCH(Table2929[[#This Row],[start_year]],CPI!$A$3:$A$31,0),3)</f>
        <v>705.02318392581151</v>
      </c>
      <c r="AA124" s="55">
        <f>Table2929[[#This Row],[$/sqft]]/INDEX(CPI!$A$3:$C$31,MATCH(Table2929[[#This Row],[start_year]],CPI!$A$3:$A$31,0),3)</f>
        <v>0.60517011495777806</v>
      </c>
      <c r="AB124" s="55" t="s">
        <v>72</v>
      </c>
    </row>
    <row r="125" spans="1:28" hidden="1" x14ac:dyDescent="0.2">
      <c r="A125" t="s">
        <v>5303</v>
      </c>
      <c r="B125">
        <v>2342</v>
      </c>
      <c r="C125">
        <v>5490</v>
      </c>
      <c r="D125" t="s">
        <v>5186</v>
      </c>
      <c r="E125" t="s">
        <v>4832</v>
      </c>
      <c r="F125" t="s">
        <v>5187</v>
      </c>
      <c r="G125" t="s">
        <v>1241</v>
      </c>
      <c r="L125">
        <v>4250</v>
      </c>
      <c r="M125" t="s">
        <v>4900</v>
      </c>
      <c r="N125" t="s">
        <v>4857</v>
      </c>
      <c r="R125">
        <v>1985</v>
      </c>
      <c r="S125">
        <v>2042</v>
      </c>
      <c r="U125" t="s">
        <v>4840</v>
      </c>
      <c r="V125">
        <v>2020</v>
      </c>
      <c r="X125" t="str">
        <f>IF(Table2929[[#This Row],[performance_2]]&lt;&gt;"", IF(Table2929[[#This Row],[performance_1]]&lt;&gt;"",(Table2929[[#This Row],[performance_1]]-Table2929[[#This Row],[performance_2]])/Table2929[[#This Row],[performance_1]],""), "")</f>
        <v/>
      </c>
      <c r="Y125" s="55">
        <f>Table2929[[#This Row],[total_cost]]/Table2929[[#This Row],[cfa_post]]</f>
        <v>2.081292850146915</v>
      </c>
      <c r="Z125" s="55">
        <f>Table2929[[#This Row],[total_cost]]/INDEX(CPI!$A$3:$C$31,MATCH(Table2929[[#This Row],[start_year]],CPI!$A$3:$A$31,0),3)</f>
        <v>4993.9142194744982</v>
      </c>
      <c r="AA125" s="55">
        <f>Table2929[[#This Row],[$/sqft]]/INDEX(CPI!$A$3:$C$31,MATCH(Table2929[[#This Row],[start_year]],CPI!$A$3:$A$31,0),3)</f>
        <v>2.4455995198210081</v>
      </c>
      <c r="AB125" s="55" t="s">
        <v>72</v>
      </c>
    </row>
    <row r="126" spans="1:28" hidden="1" x14ac:dyDescent="0.2">
      <c r="A126" t="s">
        <v>5303</v>
      </c>
      <c r="B126">
        <v>2344</v>
      </c>
      <c r="C126">
        <v>5515</v>
      </c>
      <c r="D126" t="s">
        <v>5186</v>
      </c>
      <c r="E126" t="s">
        <v>4832</v>
      </c>
      <c r="F126" t="s">
        <v>5187</v>
      </c>
      <c r="G126" t="s">
        <v>1241</v>
      </c>
      <c r="L126">
        <v>7250</v>
      </c>
      <c r="M126" t="s">
        <v>4893</v>
      </c>
      <c r="N126" t="s">
        <v>4857</v>
      </c>
      <c r="R126">
        <v>1975</v>
      </c>
      <c r="S126">
        <v>1318</v>
      </c>
      <c r="U126" t="s">
        <v>4840</v>
      </c>
      <c r="V126">
        <v>2020</v>
      </c>
      <c r="X126" t="str">
        <f>IF(Table2929[[#This Row],[performance_2]]&lt;&gt;"", IF(Table2929[[#This Row],[performance_1]]&lt;&gt;"",(Table2929[[#This Row],[performance_1]]-Table2929[[#This Row],[performance_2]])/Table2929[[#This Row],[performance_1]],""), "")</f>
        <v/>
      </c>
      <c r="Y126" s="55">
        <f>Table2929[[#This Row],[total_cost]]/Table2929[[#This Row],[cfa_post]]</f>
        <v>5.5007587253414263</v>
      </c>
      <c r="Z126" s="55">
        <f>Table2929[[#This Row],[total_cost]]/INDEX(CPI!$A$3:$C$31,MATCH(Table2929[[#This Row],[start_year]],CPI!$A$3:$A$31,0),3)</f>
        <v>8519.0301391035555</v>
      </c>
      <c r="AA126" s="55">
        <f>Table2929[[#This Row],[$/sqft]]/INDEX(CPI!$A$3:$C$31,MATCH(Table2929[[#This Row],[start_year]],CPI!$A$3:$A$31,0),3)</f>
        <v>6.463604050913168</v>
      </c>
      <c r="AB126" s="55" t="s">
        <v>72</v>
      </c>
    </row>
    <row r="127" spans="1:28" hidden="1" x14ac:dyDescent="0.2">
      <c r="A127" t="s">
        <v>5303</v>
      </c>
      <c r="B127">
        <v>2348</v>
      </c>
      <c r="C127">
        <v>5549</v>
      </c>
      <c r="D127" t="s">
        <v>5186</v>
      </c>
      <c r="E127" t="s">
        <v>4832</v>
      </c>
      <c r="F127" t="s">
        <v>5187</v>
      </c>
      <c r="G127" t="s">
        <v>1241</v>
      </c>
      <c r="L127">
        <v>6200</v>
      </c>
      <c r="M127" t="s">
        <v>4893</v>
      </c>
      <c r="N127" t="s">
        <v>4857</v>
      </c>
      <c r="R127">
        <v>1975</v>
      </c>
      <c r="S127">
        <v>1338</v>
      </c>
      <c r="U127" t="s">
        <v>4840</v>
      </c>
      <c r="V127">
        <v>2020</v>
      </c>
      <c r="X127" t="str">
        <f>IF(Table2929[[#This Row],[performance_2]]&lt;&gt;"", IF(Table2929[[#This Row],[performance_1]]&lt;&gt;"",(Table2929[[#This Row],[performance_1]]-Table2929[[#This Row],[performance_2]])/Table2929[[#This Row],[performance_1]],""), "")</f>
        <v/>
      </c>
      <c r="Y127" s="55">
        <f>Table2929[[#This Row],[total_cost]]/Table2929[[#This Row],[cfa_post]]</f>
        <v>4.6337817638266072</v>
      </c>
      <c r="Z127" s="55">
        <f>Table2929[[#This Row],[total_cost]]/INDEX(CPI!$A$3:$C$31,MATCH(Table2929[[#This Row],[start_year]],CPI!$A$3:$A$31,0),3)</f>
        <v>7285.2395672333851</v>
      </c>
      <c r="AA127" s="55">
        <f>Table2929[[#This Row],[$/sqft]]/INDEX(CPI!$A$3:$C$31,MATCH(Table2929[[#This Row],[start_year]],CPI!$A$3:$A$31,0),3)</f>
        <v>5.4448726212506617</v>
      </c>
      <c r="AB127" s="55" t="s">
        <v>72</v>
      </c>
    </row>
    <row r="128" spans="1:28" hidden="1" x14ac:dyDescent="0.2">
      <c r="A128" t="s">
        <v>5303</v>
      </c>
      <c r="B128">
        <v>2356</v>
      </c>
      <c r="C128">
        <v>5960</v>
      </c>
      <c r="D128" t="s">
        <v>5186</v>
      </c>
      <c r="E128" t="s">
        <v>4832</v>
      </c>
      <c r="F128" t="s">
        <v>5187</v>
      </c>
      <c r="G128" t="s">
        <v>1241</v>
      </c>
      <c r="L128">
        <v>4250</v>
      </c>
      <c r="M128" t="s">
        <v>4894</v>
      </c>
      <c r="N128" t="s">
        <v>4857</v>
      </c>
      <c r="R128">
        <v>1975</v>
      </c>
      <c r="S128">
        <v>2153</v>
      </c>
      <c r="U128" t="s">
        <v>4840</v>
      </c>
      <c r="V128">
        <v>2020</v>
      </c>
      <c r="X128" t="str">
        <f>IF(Table2929[[#This Row],[performance_2]]&lt;&gt;"", IF(Table2929[[#This Row],[performance_1]]&lt;&gt;"",(Table2929[[#This Row],[performance_1]]-Table2929[[#This Row],[performance_2]])/Table2929[[#This Row],[performance_1]],""), "")</f>
        <v/>
      </c>
      <c r="Y128" s="55">
        <f>Table2929[[#This Row],[total_cost]]/Table2929[[#This Row],[cfa_post]]</f>
        <v>1.9739897816999536</v>
      </c>
      <c r="Z128" s="55">
        <f>Table2929[[#This Row],[total_cost]]/INDEX(CPI!$A$3:$C$31,MATCH(Table2929[[#This Row],[start_year]],CPI!$A$3:$A$31,0),3)</f>
        <v>4993.9142194744982</v>
      </c>
      <c r="AA128" s="55">
        <f>Table2929[[#This Row],[$/sqft]]/INDEX(CPI!$A$3:$C$31,MATCH(Table2929[[#This Row],[start_year]],CPI!$A$3:$A$31,0),3)</f>
        <v>2.3195142682185312</v>
      </c>
      <c r="AB128" s="55" t="s">
        <v>72</v>
      </c>
    </row>
    <row r="129" spans="1:28" hidden="1" x14ac:dyDescent="0.2">
      <c r="A129" t="s">
        <v>5303</v>
      </c>
      <c r="B129">
        <v>2367</v>
      </c>
      <c r="C129">
        <v>5112</v>
      </c>
      <c r="D129" t="s">
        <v>5186</v>
      </c>
      <c r="E129" t="s">
        <v>4832</v>
      </c>
      <c r="F129" t="s">
        <v>5187</v>
      </c>
      <c r="G129" t="s">
        <v>1241</v>
      </c>
      <c r="L129">
        <v>500</v>
      </c>
      <c r="M129" t="s">
        <v>5221</v>
      </c>
      <c r="N129" t="s">
        <v>4857</v>
      </c>
      <c r="R129">
        <v>1996</v>
      </c>
      <c r="S129">
        <v>2300</v>
      </c>
      <c r="U129" t="s">
        <v>4840</v>
      </c>
      <c r="V129">
        <v>2020</v>
      </c>
      <c r="X129" t="str">
        <f>IF(Table2929[[#This Row],[performance_2]]&lt;&gt;"", IF(Table2929[[#This Row],[performance_1]]&lt;&gt;"",(Table2929[[#This Row],[performance_1]]-Table2929[[#This Row],[performance_2]])/Table2929[[#This Row],[performance_1]],""), "")</f>
        <v/>
      </c>
      <c r="Y129" s="55">
        <f>Table2929[[#This Row],[total_cost]]/Table2929[[#This Row],[cfa_post]]</f>
        <v>0.21739130434782608</v>
      </c>
      <c r="Z129" s="55">
        <f>Table2929[[#This Row],[total_cost]]/INDEX(CPI!$A$3:$C$31,MATCH(Table2929[[#This Row],[start_year]],CPI!$A$3:$A$31,0),3)</f>
        <v>587.51931993817618</v>
      </c>
      <c r="AA129" s="55">
        <f>Table2929[[#This Row],[$/sqft]]/INDEX(CPI!$A$3:$C$31,MATCH(Table2929[[#This Row],[start_year]],CPI!$A$3:$A$31,0),3)</f>
        <v>0.25544318258181575</v>
      </c>
      <c r="AB129" s="55" t="s">
        <v>72</v>
      </c>
    </row>
    <row r="130" spans="1:28" hidden="1" x14ac:dyDescent="0.2">
      <c r="A130" t="s">
        <v>5303</v>
      </c>
      <c r="B130">
        <v>2389</v>
      </c>
      <c r="C130">
        <v>6246</v>
      </c>
      <c r="D130" t="s">
        <v>5186</v>
      </c>
      <c r="E130" t="s">
        <v>4832</v>
      </c>
      <c r="F130" t="s">
        <v>5187</v>
      </c>
      <c r="G130" t="s">
        <v>1241</v>
      </c>
      <c r="L130">
        <v>1000</v>
      </c>
      <c r="M130" t="s">
        <v>5216</v>
      </c>
      <c r="N130" t="s">
        <v>4857</v>
      </c>
      <c r="R130">
        <v>1985</v>
      </c>
      <c r="S130">
        <v>1459</v>
      </c>
      <c r="T130">
        <v>1</v>
      </c>
      <c r="U130" t="s">
        <v>4840</v>
      </c>
      <c r="V130">
        <v>2020</v>
      </c>
      <c r="X130" t="str">
        <f>IF(Table2929[[#This Row],[performance_2]]&lt;&gt;"", IF(Table2929[[#This Row],[performance_1]]&lt;&gt;"",(Table2929[[#This Row],[performance_1]]-Table2929[[#This Row],[performance_2]])/Table2929[[#This Row],[performance_1]],""), "")</f>
        <v/>
      </c>
      <c r="Y130" s="55">
        <f>Table2929[[#This Row],[total_cost]]/Table2929[[#This Row],[cfa_post]]</f>
        <v>0.68540095956134339</v>
      </c>
      <c r="Z130" s="55">
        <f>Table2929[[#This Row],[total_cost]]/INDEX(CPI!$A$3:$C$31,MATCH(Table2929[[#This Row],[start_year]],CPI!$A$3:$A$31,0),3)</f>
        <v>1175.0386398763524</v>
      </c>
      <c r="AA130" s="55">
        <f>Table2929[[#This Row],[$/sqft]]/INDEX(CPI!$A$3:$C$31,MATCH(Table2929[[#This Row],[start_year]],CPI!$A$3:$A$31,0),3)</f>
        <v>0.80537261129290771</v>
      </c>
      <c r="AB130" s="55" t="s">
        <v>72</v>
      </c>
    </row>
    <row r="131" spans="1:28" hidden="1" x14ac:dyDescent="0.2">
      <c r="A131" t="s">
        <v>5303</v>
      </c>
      <c r="B131">
        <v>2398</v>
      </c>
      <c r="C131">
        <v>6241</v>
      </c>
      <c r="D131" t="s">
        <v>5186</v>
      </c>
      <c r="E131" t="s">
        <v>4832</v>
      </c>
      <c r="F131" t="s">
        <v>5187</v>
      </c>
      <c r="G131" t="s">
        <v>1241</v>
      </c>
      <c r="L131">
        <v>2231</v>
      </c>
      <c r="M131" t="s">
        <v>4893</v>
      </c>
      <c r="N131" t="s">
        <v>4857</v>
      </c>
      <c r="R131">
        <v>1975</v>
      </c>
      <c r="S131">
        <v>1611</v>
      </c>
      <c r="U131" t="s">
        <v>4840</v>
      </c>
      <c r="V131">
        <v>2020</v>
      </c>
      <c r="X131" t="str">
        <f>IF(Table2929[[#This Row],[performance_2]]&lt;&gt;"", IF(Table2929[[#This Row],[performance_1]]&lt;&gt;"",(Table2929[[#This Row],[performance_1]]-Table2929[[#This Row],[performance_2]])/Table2929[[#This Row],[performance_1]],""), "")</f>
        <v/>
      </c>
      <c r="Y131" s="55">
        <f>Table2929[[#This Row],[total_cost]]/Table2929[[#This Row],[cfa_post]]</f>
        <v>1.3848541278708877</v>
      </c>
      <c r="Z131" s="55">
        <f>Table2929[[#This Row],[total_cost]]/INDEX(CPI!$A$3:$C$31,MATCH(Table2929[[#This Row],[start_year]],CPI!$A$3:$A$31,0),3)</f>
        <v>2621.5112055641421</v>
      </c>
      <c r="AA131" s="55">
        <f>Table2929[[#This Row],[$/sqft]]/INDEX(CPI!$A$3:$C$31,MATCH(Table2929[[#This Row],[start_year]],CPI!$A$3:$A$31,0),3)</f>
        <v>1.62725711084056</v>
      </c>
      <c r="AB131" s="55" t="s">
        <v>72</v>
      </c>
    </row>
    <row r="132" spans="1:28" hidden="1" x14ac:dyDescent="0.2">
      <c r="A132" t="s">
        <v>5303</v>
      </c>
      <c r="B132">
        <v>2421</v>
      </c>
      <c r="C132">
        <v>8048</v>
      </c>
      <c r="D132" t="s">
        <v>5186</v>
      </c>
      <c r="E132" t="s">
        <v>4832</v>
      </c>
      <c r="F132" t="s">
        <v>5187</v>
      </c>
      <c r="G132" t="s">
        <v>1241</v>
      </c>
      <c r="L132">
        <v>600</v>
      </c>
      <c r="M132" t="s">
        <v>5216</v>
      </c>
      <c r="N132" t="s">
        <v>4857</v>
      </c>
      <c r="R132">
        <v>1985</v>
      </c>
      <c r="S132">
        <v>2229</v>
      </c>
      <c r="U132" t="s">
        <v>4840</v>
      </c>
      <c r="V132">
        <v>2020</v>
      </c>
      <c r="X132" t="str">
        <f>IF(Table2929[[#This Row],[performance_2]]&lt;&gt;"", IF(Table2929[[#This Row],[performance_1]]&lt;&gt;"",(Table2929[[#This Row],[performance_1]]-Table2929[[#This Row],[performance_2]])/Table2929[[#This Row],[performance_1]],""), "")</f>
        <v/>
      </c>
      <c r="Y132" s="55">
        <f>Table2929[[#This Row],[total_cost]]/Table2929[[#This Row],[cfa_post]]</f>
        <v>0.26917900403768508</v>
      </c>
      <c r="Z132" s="55">
        <f>Table2929[[#This Row],[total_cost]]/INDEX(CPI!$A$3:$C$31,MATCH(Table2929[[#This Row],[start_year]],CPI!$A$3:$A$31,0),3)</f>
        <v>705.02318392581151</v>
      </c>
      <c r="AA132" s="55">
        <f>Table2929[[#This Row],[$/sqft]]/INDEX(CPI!$A$3:$C$31,MATCH(Table2929[[#This Row],[start_year]],CPI!$A$3:$A$31,0),3)</f>
        <v>0.31629573078771267</v>
      </c>
      <c r="AB132" s="55" t="s">
        <v>72</v>
      </c>
    </row>
    <row r="133" spans="1:28" hidden="1" x14ac:dyDescent="0.2">
      <c r="A133" t="s">
        <v>5303</v>
      </c>
      <c r="B133">
        <v>2422</v>
      </c>
      <c r="C133">
        <v>8241</v>
      </c>
      <c r="D133" t="s">
        <v>5186</v>
      </c>
      <c r="E133" t="s">
        <v>4832</v>
      </c>
      <c r="F133" t="s">
        <v>5187</v>
      </c>
      <c r="G133" t="s">
        <v>1241</v>
      </c>
      <c r="L133">
        <v>1000</v>
      </c>
      <c r="M133" t="s">
        <v>5216</v>
      </c>
      <c r="N133" t="s">
        <v>4857</v>
      </c>
      <c r="R133">
        <v>1975</v>
      </c>
      <c r="S133">
        <v>1402</v>
      </c>
      <c r="U133" t="s">
        <v>4840</v>
      </c>
      <c r="V133">
        <v>2020</v>
      </c>
      <c r="X133" t="str">
        <f>IF(Table2929[[#This Row],[performance_2]]&lt;&gt;"", IF(Table2929[[#This Row],[performance_1]]&lt;&gt;"",(Table2929[[#This Row],[performance_1]]-Table2929[[#This Row],[performance_2]])/Table2929[[#This Row],[performance_1]],""), "")</f>
        <v/>
      </c>
      <c r="Y133" s="55">
        <f>Table2929[[#This Row],[total_cost]]/Table2929[[#This Row],[cfa_post]]</f>
        <v>0.71326676176890158</v>
      </c>
      <c r="Z133" s="55">
        <f>Table2929[[#This Row],[total_cost]]/INDEX(CPI!$A$3:$C$31,MATCH(Table2929[[#This Row],[start_year]],CPI!$A$3:$A$31,0),3)</f>
        <v>1175.0386398763524</v>
      </c>
      <c r="AA133" s="55">
        <f>Table2929[[#This Row],[$/sqft]]/INDEX(CPI!$A$3:$C$31,MATCH(Table2929[[#This Row],[start_year]],CPI!$A$3:$A$31,0),3)</f>
        <v>0.83811600561794042</v>
      </c>
      <c r="AB133" s="55" t="s">
        <v>72</v>
      </c>
    </row>
    <row r="134" spans="1:28" hidden="1" x14ac:dyDescent="0.2">
      <c r="A134" t="s">
        <v>5303</v>
      </c>
      <c r="B134">
        <v>2446</v>
      </c>
      <c r="C134">
        <v>8157</v>
      </c>
      <c r="D134" t="s">
        <v>5186</v>
      </c>
      <c r="E134" t="s">
        <v>4832</v>
      </c>
      <c r="F134" t="s">
        <v>5187</v>
      </c>
      <c r="G134" t="s">
        <v>1241</v>
      </c>
      <c r="L134">
        <v>500</v>
      </c>
      <c r="M134" t="s">
        <v>5222</v>
      </c>
      <c r="N134" t="s">
        <v>4857</v>
      </c>
      <c r="R134">
        <v>1985</v>
      </c>
      <c r="S134">
        <v>1466</v>
      </c>
      <c r="U134" t="s">
        <v>4840</v>
      </c>
      <c r="V134">
        <v>2020</v>
      </c>
      <c r="X134" t="str">
        <f>IF(Table2929[[#This Row],[performance_2]]&lt;&gt;"", IF(Table2929[[#This Row],[performance_1]]&lt;&gt;"",(Table2929[[#This Row],[performance_1]]-Table2929[[#This Row],[performance_2]])/Table2929[[#This Row],[performance_1]],""), "")</f>
        <v/>
      </c>
      <c r="Y134" s="55">
        <f>Table2929[[#This Row],[total_cost]]/Table2929[[#This Row],[cfa_post]]</f>
        <v>0.34106412005457026</v>
      </c>
      <c r="Z134" s="55">
        <f>Table2929[[#This Row],[total_cost]]/INDEX(CPI!$A$3:$C$31,MATCH(Table2929[[#This Row],[start_year]],CPI!$A$3:$A$31,0),3)</f>
        <v>587.51931993817618</v>
      </c>
      <c r="AA134" s="55">
        <f>Table2929[[#This Row],[$/sqft]]/INDEX(CPI!$A$3:$C$31,MATCH(Table2929[[#This Row],[start_year]],CPI!$A$3:$A$31,0),3)</f>
        <v>0.40076351973954721</v>
      </c>
      <c r="AB134" s="55" t="s">
        <v>72</v>
      </c>
    </row>
    <row r="135" spans="1:28" hidden="1" x14ac:dyDescent="0.2">
      <c r="A135" t="s">
        <v>5303</v>
      </c>
      <c r="B135">
        <v>2455</v>
      </c>
      <c r="C135">
        <v>8038</v>
      </c>
      <c r="D135" t="s">
        <v>5186</v>
      </c>
      <c r="E135" t="s">
        <v>4832</v>
      </c>
      <c r="F135" t="s">
        <v>5187</v>
      </c>
      <c r="G135" t="s">
        <v>1241</v>
      </c>
      <c r="L135">
        <v>10713.84</v>
      </c>
      <c r="M135" t="s">
        <v>5223</v>
      </c>
      <c r="N135" t="s">
        <v>4857</v>
      </c>
      <c r="R135">
        <v>1996</v>
      </c>
      <c r="S135">
        <v>1326</v>
      </c>
      <c r="U135" t="s">
        <v>4840</v>
      </c>
      <c r="V135">
        <v>2020</v>
      </c>
      <c r="X135" t="str">
        <f>IF(Table2929[[#This Row],[performance_2]]&lt;&gt;"", IF(Table2929[[#This Row],[performance_1]]&lt;&gt;"",(Table2929[[#This Row],[performance_1]]-Table2929[[#This Row],[performance_2]])/Table2929[[#This Row],[performance_1]],""), "")</f>
        <v/>
      </c>
      <c r="Y135" s="55">
        <f>Table2929[[#This Row],[total_cost]]/Table2929[[#This Row],[cfa_post]]</f>
        <v>8.0798190045248877</v>
      </c>
      <c r="Z135" s="55">
        <f>Table2929[[#This Row],[total_cost]]/INDEX(CPI!$A$3:$C$31,MATCH(Table2929[[#This Row],[start_year]],CPI!$A$3:$A$31,0),3)</f>
        <v>12589.17598145286</v>
      </c>
      <c r="AA135" s="55">
        <f>Table2929[[#This Row],[$/sqft]]/INDEX(CPI!$A$3:$C$31,MATCH(Table2929[[#This Row],[start_year]],CPI!$A$3:$A$31,0),3)</f>
        <v>9.494099533524027</v>
      </c>
      <c r="AB135" s="55" t="s">
        <v>72</v>
      </c>
    </row>
    <row r="136" spans="1:28" hidden="1" x14ac:dyDescent="0.2">
      <c r="A136" t="s">
        <v>5303</v>
      </c>
      <c r="B136">
        <v>2486</v>
      </c>
      <c r="C136">
        <v>8360</v>
      </c>
      <c r="D136" t="s">
        <v>5186</v>
      </c>
      <c r="E136" t="s">
        <v>4832</v>
      </c>
      <c r="F136" t="s">
        <v>5187</v>
      </c>
      <c r="G136" t="s">
        <v>1241</v>
      </c>
      <c r="L136">
        <v>300</v>
      </c>
      <c r="M136" t="s">
        <v>4893</v>
      </c>
      <c r="N136" t="s">
        <v>4857</v>
      </c>
      <c r="R136">
        <v>1975</v>
      </c>
      <c r="S136">
        <v>1761</v>
      </c>
      <c r="U136" t="s">
        <v>4840</v>
      </c>
      <c r="V136">
        <v>2020</v>
      </c>
      <c r="X136" t="str">
        <f>IF(Table2929[[#This Row],[performance_2]]&lt;&gt;"", IF(Table2929[[#This Row],[performance_1]]&lt;&gt;"",(Table2929[[#This Row],[performance_1]]-Table2929[[#This Row],[performance_2]])/Table2929[[#This Row],[performance_1]],""), "")</f>
        <v/>
      </c>
      <c r="Y136" s="55">
        <f>Table2929[[#This Row],[total_cost]]/Table2929[[#This Row],[cfa_post]]</f>
        <v>0.17035775127768313</v>
      </c>
      <c r="Z136" s="55">
        <f>Table2929[[#This Row],[total_cost]]/INDEX(CPI!$A$3:$C$31,MATCH(Table2929[[#This Row],[start_year]],CPI!$A$3:$A$31,0),3)</f>
        <v>352.51159196290575</v>
      </c>
      <c r="AA136" s="55">
        <f>Table2929[[#This Row],[$/sqft]]/INDEX(CPI!$A$3:$C$31,MATCH(Table2929[[#This Row],[start_year]],CPI!$A$3:$A$31,0),3)</f>
        <v>0.20017694035372272</v>
      </c>
      <c r="AB136" s="55" t="s">
        <v>72</v>
      </c>
    </row>
    <row r="137" spans="1:28" hidden="1" x14ac:dyDescent="0.2">
      <c r="A137" t="s">
        <v>5303</v>
      </c>
      <c r="B137">
        <v>2490</v>
      </c>
      <c r="C137">
        <v>7243</v>
      </c>
      <c r="D137" t="s">
        <v>5186</v>
      </c>
      <c r="E137" t="s">
        <v>4832</v>
      </c>
      <c r="F137" t="s">
        <v>5187</v>
      </c>
      <c r="G137" t="s">
        <v>1241</v>
      </c>
      <c r="L137">
        <v>425</v>
      </c>
      <c r="M137" t="s">
        <v>4896</v>
      </c>
      <c r="N137" t="s">
        <v>4857</v>
      </c>
      <c r="R137">
        <v>1975</v>
      </c>
      <c r="S137">
        <v>2617</v>
      </c>
      <c r="U137" t="s">
        <v>4840</v>
      </c>
      <c r="V137">
        <v>2020</v>
      </c>
      <c r="X137" t="str">
        <f>IF(Table2929[[#This Row],[performance_2]]&lt;&gt;"", IF(Table2929[[#This Row],[performance_1]]&lt;&gt;"",(Table2929[[#This Row],[performance_1]]-Table2929[[#This Row],[performance_2]])/Table2929[[#This Row],[performance_1]],""), "")</f>
        <v/>
      </c>
      <c r="Y137" s="55">
        <f>Table2929[[#This Row],[total_cost]]/Table2929[[#This Row],[cfa_post]]</f>
        <v>0.16239969430645779</v>
      </c>
      <c r="Z137" s="55">
        <f>Table2929[[#This Row],[total_cost]]/INDEX(CPI!$A$3:$C$31,MATCH(Table2929[[#This Row],[start_year]],CPI!$A$3:$A$31,0),3)</f>
        <v>499.39142194744977</v>
      </c>
      <c r="AA137" s="55">
        <f>Table2929[[#This Row],[$/sqft]]/INDEX(CPI!$A$3:$C$31,MATCH(Table2929[[#This Row],[start_year]],CPI!$A$3:$A$31,0),3)</f>
        <v>0.19082591591419557</v>
      </c>
      <c r="AB137" s="55" t="s">
        <v>72</v>
      </c>
    </row>
    <row r="138" spans="1:28" hidden="1" x14ac:dyDescent="0.2">
      <c r="A138" t="s">
        <v>5303</v>
      </c>
      <c r="B138">
        <v>2492</v>
      </c>
      <c r="C138">
        <v>7299</v>
      </c>
      <c r="D138" t="s">
        <v>5186</v>
      </c>
      <c r="E138" t="s">
        <v>4832</v>
      </c>
      <c r="F138" t="s">
        <v>5187</v>
      </c>
      <c r="G138" t="s">
        <v>1241</v>
      </c>
      <c r="L138">
        <v>500</v>
      </c>
      <c r="M138" t="s">
        <v>5224</v>
      </c>
      <c r="N138" t="s">
        <v>4857</v>
      </c>
      <c r="R138">
        <v>1996</v>
      </c>
      <c r="S138">
        <v>2140</v>
      </c>
      <c r="U138" t="s">
        <v>4840</v>
      </c>
      <c r="V138">
        <v>2020</v>
      </c>
      <c r="X138" t="str">
        <f>IF(Table2929[[#This Row],[performance_2]]&lt;&gt;"", IF(Table2929[[#This Row],[performance_1]]&lt;&gt;"",(Table2929[[#This Row],[performance_1]]-Table2929[[#This Row],[performance_2]])/Table2929[[#This Row],[performance_1]],""), "")</f>
        <v/>
      </c>
      <c r="Y138" s="55">
        <f>Table2929[[#This Row],[total_cost]]/Table2929[[#This Row],[cfa_post]]</f>
        <v>0.23364485981308411</v>
      </c>
      <c r="Z138" s="55">
        <f>Table2929[[#This Row],[total_cost]]/INDEX(CPI!$A$3:$C$31,MATCH(Table2929[[#This Row],[start_year]],CPI!$A$3:$A$31,0),3)</f>
        <v>587.51931993817618</v>
      </c>
      <c r="AA138" s="55">
        <f>Table2929[[#This Row],[$/sqft]]/INDEX(CPI!$A$3:$C$31,MATCH(Table2929[[#This Row],[start_year]],CPI!$A$3:$A$31,0),3)</f>
        <v>0.27454173828886741</v>
      </c>
      <c r="AB138" s="55" t="s">
        <v>72</v>
      </c>
    </row>
    <row r="139" spans="1:28" hidden="1" x14ac:dyDescent="0.2">
      <c r="A139" t="s">
        <v>5303</v>
      </c>
      <c r="B139">
        <v>2495</v>
      </c>
      <c r="C139">
        <v>7332</v>
      </c>
      <c r="D139" t="s">
        <v>5186</v>
      </c>
      <c r="E139" t="s">
        <v>4832</v>
      </c>
      <c r="F139" t="s">
        <v>5187</v>
      </c>
      <c r="G139" t="s">
        <v>1241</v>
      </c>
      <c r="L139">
        <v>250</v>
      </c>
      <c r="M139" t="s">
        <v>4892</v>
      </c>
      <c r="N139" t="s">
        <v>4857</v>
      </c>
      <c r="R139">
        <v>1975</v>
      </c>
      <c r="S139">
        <v>1850</v>
      </c>
      <c r="U139" t="s">
        <v>4840</v>
      </c>
      <c r="V139">
        <v>2020</v>
      </c>
      <c r="X139" t="str">
        <f>IF(Table2929[[#This Row],[performance_2]]&lt;&gt;"", IF(Table2929[[#This Row],[performance_1]]&lt;&gt;"",(Table2929[[#This Row],[performance_1]]-Table2929[[#This Row],[performance_2]])/Table2929[[#This Row],[performance_1]],""), "")</f>
        <v/>
      </c>
      <c r="Y139" s="55">
        <f>Table2929[[#This Row],[total_cost]]/Table2929[[#This Row],[cfa_post]]</f>
        <v>0.13513513513513514</v>
      </c>
      <c r="Z139" s="55">
        <f>Table2929[[#This Row],[total_cost]]/INDEX(CPI!$A$3:$C$31,MATCH(Table2929[[#This Row],[start_year]],CPI!$A$3:$A$31,0),3)</f>
        <v>293.75965996908809</v>
      </c>
      <c r="AA139" s="55">
        <f>Table2929[[#This Row],[$/sqft]]/INDEX(CPI!$A$3:$C$31,MATCH(Table2929[[#This Row],[start_year]],CPI!$A$3:$A$31,0),3)</f>
        <v>0.15878900538869628</v>
      </c>
      <c r="AB139" s="55" t="s">
        <v>72</v>
      </c>
    </row>
    <row r="140" spans="1:28" hidden="1" x14ac:dyDescent="0.2">
      <c r="A140" t="s">
        <v>5303</v>
      </c>
      <c r="B140">
        <v>2506</v>
      </c>
      <c r="C140">
        <v>7254</v>
      </c>
      <c r="D140" t="s">
        <v>5186</v>
      </c>
      <c r="E140" t="s">
        <v>4832</v>
      </c>
      <c r="F140" t="s">
        <v>5187</v>
      </c>
      <c r="G140" t="s">
        <v>1241</v>
      </c>
      <c r="L140">
        <v>4343.32</v>
      </c>
      <c r="M140" t="s">
        <v>4886</v>
      </c>
      <c r="N140" t="s">
        <v>4857</v>
      </c>
      <c r="R140">
        <v>1975</v>
      </c>
      <c r="S140">
        <v>2167</v>
      </c>
      <c r="U140" t="s">
        <v>4840</v>
      </c>
      <c r="V140">
        <v>2020</v>
      </c>
      <c r="X140" t="str">
        <f>IF(Table2929[[#This Row],[performance_2]]&lt;&gt;"", IF(Table2929[[#This Row],[performance_1]]&lt;&gt;"",(Table2929[[#This Row],[performance_1]]-Table2929[[#This Row],[performance_2]])/Table2929[[#This Row],[performance_1]],""), "")</f>
        <v/>
      </c>
      <c r="Y140" s="55">
        <f>Table2929[[#This Row],[total_cost]]/Table2929[[#This Row],[cfa_post]]</f>
        <v>2.0043008767881862</v>
      </c>
      <c r="Z140" s="55">
        <f>Table2929[[#This Row],[total_cost]]/INDEX(CPI!$A$3:$C$31,MATCH(Table2929[[#This Row],[start_year]],CPI!$A$3:$A$31,0),3)</f>
        <v>5103.5688253477583</v>
      </c>
      <c r="AA140" s="55">
        <f>Table2929[[#This Row],[$/sqft]]/INDEX(CPI!$A$3:$C$31,MATCH(Table2929[[#This Row],[start_year]],CPI!$A$3:$A$31,0),3)</f>
        <v>2.3551309761641708</v>
      </c>
      <c r="AB140" s="55" t="s">
        <v>72</v>
      </c>
    </row>
    <row r="141" spans="1:28" hidden="1" x14ac:dyDescent="0.2">
      <c r="A141" t="s">
        <v>5303</v>
      </c>
      <c r="B141">
        <v>2508</v>
      </c>
      <c r="C141">
        <v>7339</v>
      </c>
      <c r="D141" t="s">
        <v>5186</v>
      </c>
      <c r="E141" t="s">
        <v>4832</v>
      </c>
      <c r="F141" t="s">
        <v>5187</v>
      </c>
      <c r="G141" t="s">
        <v>1241</v>
      </c>
      <c r="L141">
        <v>798</v>
      </c>
      <c r="M141" t="s">
        <v>4893</v>
      </c>
      <c r="N141" t="s">
        <v>4857</v>
      </c>
      <c r="R141">
        <v>1975</v>
      </c>
      <c r="S141">
        <v>1870</v>
      </c>
      <c r="U141" t="s">
        <v>4840</v>
      </c>
      <c r="V141">
        <v>2020</v>
      </c>
      <c r="X141" t="str">
        <f>IF(Table2929[[#This Row],[performance_2]]&lt;&gt;"", IF(Table2929[[#This Row],[performance_1]]&lt;&gt;"",(Table2929[[#This Row],[performance_1]]-Table2929[[#This Row],[performance_2]])/Table2929[[#This Row],[performance_1]],""), "")</f>
        <v/>
      </c>
      <c r="Y141" s="55">
        <f>Table2929[[#This Row],[total_cost]]/Table2929[[#This Row],[cfa_post]]</f>
        <v>0.42673796791443852</v>
      </c>
      <c r="Z141" s="55">
        <f>Table2929[[#This Row],[total_cost]]/INDEX(CPI!$A$3:$C$31,MATCH(Table2929[[#This Row],[start_year]],CPI!$A$3:$A$31,0),3)</f>
        <v>937.68083462132927</v>
      </c>
      <c r="AA141" s="55">
        <f>Table2929[[#This Row],[$/sqft]]/INDEX(CPI!$A$3:$C$31,MATCH(Table2929[[#This Row],[start_year]],CPI!$A$3:$A$31,0),3)</f>
        <v>0.50143360140178039</v>
      </c>
      <c r="AB141" s="55" t="s">
        <v>72</v>
      </c>
    </row>
    <row r="142" spans="1:28" hidden="1" x14ac:dyDescent="0.2">
      <c r="A142" t="s">
        <v>5303</v>
      </c>
      <c r="B142">
        <v>2509</v>
      </c>
      <c r="C142">
        <v>7229</v>
      </c>
      <c r="D142" t="s">
        <v>5186</v>
      </c>
      <c r="E142" t="s">
        <v>4832</v>
      </c>
      <c r="F142" t="s">
        <v>5187</v>
      </c>
      <c r="G142" t="s">
        <v>1241</v>
      </c>
      <c r="L142">
        <v>4287</v>
      </c>
      <c r="M142" t="s">
        <v>4891</v>
      </c>
      <c r="N142" t="s">
        <v>4857</v>
      </c>
      <c r="R142">
        <v>1975</v>
      </c>
      <c r="S142">
        <v>1015</v>
      </c>
      <c r="U142" t="s">
        <v>4840</v>
      </c>
      <c r="V142">
        <v>2020</v>
      </c>
      <c r="X142" t="str">
        <f>IF(Table2929[[#This Row],[performance_2]]&lt;&gt;"", IF(Table2929[[#This Row],[performance_1]]&lt;&gt;"",(Table2929[[#This Row],[performance_1]]-Table2929[[#This Row],[performance_2]])/Table2929[[#This Row],[performance_1]],""), "")</f>
        <v/>
      </c>
      <c r="Y142" s="55">
        <f>Table2929[[#This Row],[total_cost]]/Table2929[[#This Row],[cfa_post]]</f>
        <v>4.2236453201970443</v>
      </c>
      <c r="Z142" s="55">
        <f>Table2929[[#This Row],[total_cost]]/INDEX(CPI!$A$3:$C$31,MATCH(Table2929[[#This Row],[start_year]],CPI!$A$3:$A$31,0),3)</f>
        <v>5037.3906491499229</v>
      </c>
      <c r="AA142" s="55">
        <f>Table2929[[#This Row],[$/sqft]]/INDEX(CPI!$A$3:$C$31,MATCH(Table2929[[#This Row],[start_year]],CPI!$A$3:$A$31,0),3)</f>
        <v>4.9629464523644558</v>
      </c>
      <c r="AB142" s="55" t="s">
        <v>72</v>
      </c>
    </row>
    <row r="143" spans="1:28" hidden="1" x14ac:dyDescent="0.2">
      <c r="A143" t="s">
        <v>5303</v>
      </c>
      <c r="B143">
        <v>2515</v>
      </c>
      <c r="C143">
        <v>8444</v>
      </c>
      <c r="D143" t="s">
        <v>5186</v>
      </c>
      <c r="E143" t="s">
        <v>4832</v>
      </c>
      <c r="F143" t="s">
        <v>5187</v>
      </c>
      <c r="G143" t="s">
        <v>1241</v>
      </c>
      <c r="L143">
        <v>652</v>
      </c>
      <c r="M143" t="s">
        <v>4899</v>
      </c>
      <c r="N143" t="s">
        <v>4857</v>
      </c>
      <c r="R143">
        <v>1975</v>
      </c>
      <c r="S143">
        <v>1632</v>
      </c>
      <c r="U143" t="s">
        <v>4840</v>
      </c>
      <c r="V143">
        <v>2020</v>
      </c>
      <c r="X143" t="str">
        <f>IF(Table2929[[#This Row],[performance_2]]&lt;&gt;"", IF(Table2929[[#This Row],[performance_1]]&lt;&gt;"",(Table2929[[#This Row],[performance_1]]-Table2929[[#This Row],[performance_2]])/Table2929[[#This Row],[performance_1]],""), "")</f>
        <v/>
      </c>
      <c r="Y143" s="55">
        <f>Table2929[[#This Row],[total_cost]]/Table2929[[#This Row],[cfa_post]]</f>
        <v>0.39950980392156865</v>
      </c>
      <c r="Z143" s="55">
        <f>Table2929[[#This Row],[total_cost]]/INDEX(CPI!$A$3:$C$31,MATCH(Table2929[[#This Row],[start_year]],CPI!$A$3:$A$31,0),3)</f>
        <v>766.12519319938178</v>
      </c>
      <c r="AA143" s="55">
        <f>Table2929[[#This Row],[$/sqft]]/INDEX(CPI!$A$3:$C$31,MATCH(Table2929[[#This Row],[start_year]],CPI!$A$3:$A$31,0),3)</f>
        <v>0.46943945661726827</v>
      </c>
      <c r="AB143" s="55" t="s">
        <v>72</v>
      </c>
    </row>
    <row r="144" spans="1:28" hidden="1" x14ac:dyDescent="0.2">
      <c r="A144" t="s">
        <v>5303</v>
      </c>
      <c r="B144">
        <v>2523</v>
      </c>
      <c r="C144">
        <v>8497</v>
      </c>
      <c r="D144" t="s">
        <v>5186</v>
      </c>
      <c r="E144" t="s">
        <v>4832</v>
      </c>
      <c r="F144" t="s">
        <v>5187</v>
      </c>
      <c r="G144" t="s">
        <v>1241</v>
      </c>
      <c r="L144">
        <v>1000</v>
      </c>
      <c r="M144" t="s">
        <v>5216</v>
      </c>
      <c r="N144" t="s">
        <v>4857</v>
      </c>
      <c r="R144">
        <v>1985</v>
      </c>
      <c r="S144">
        <v>1602</v>
      </c>
      <c r="U144" t="s">
        <v>4840</v>
      </c>
      <c r="V144">
        <v>2020</v>
      </c>
      <c r="X144" t="str">
        <f>IF(Table2929[[#This Row],[performance_2]]&lt;&gt;"", IF(Table2929[[#This Row],[performance_1]]&lt;&gt;"",(Table2929[[#This Row],[performance_1]]-Table2929[[#This Row],[performance_2]])/Table2929[[#This Row],[performance_1]],""), "")</f>
        <v/>
      </c>
      <c r="Y144" s="55">
        <f>Table2929[[#This Row],[total_cost]]/Table2929[[#This Row],[cfa_post]]</f>
        <v>0.62421972534332082</v>
      </c>
      <c r="Z144" s="55">
        <f>Table2929[[#This Row],[total_cost]]/INDEX(CPI!$A$3:$C$31,MATCH(Table2929[[#This Row],[start_year]],CPI!$A$3:$A$31,0),3)</f>
        <v>1175.0386398763524</v>
      </c>
      <c r="AA144" s="55">
        <f>Table2929[[#This Row],[$/sqft]]/INDEX(CPI!$A$3:$C$31,MATCH(Table2929[[#This Row],[start_year]],CPI!$A$3:$A$31,0),3)</f>
        <v>0.733482297051406</v>
      </c>
      <c r="AB144" s="55" t="s">
        <v>72</v>
      </c>
    </row>
    <row r="145" spans="1:28" hidden="1" x14ac:dyDescent="0.2">
      <c r="A145" t="s">
        <v>5303</v>
      </c>
      <c r="B145">
        <v>2524</v>
      </c>
      <c r="C145">
        <v>7309</v>
      </c>
      <c r="D145" t="s">
        <v>5186</v>
      </c>
      <c r="E145" t="s">
        <v>4832</v>
      </c>
      <c r="F145" t="s">
        <v>5187</v>
      </c>
      <c r="G145" t="s">
        <v>1241</v>
      </c>
      <c r="L145">
        <v>1000</v>
      </c>
      <c r="M145" t="s">
        <v>5216</v>
      </c>
      <c r="N145" t="s">
        <v>4857</v>
      </c>
      <c r="R145">
        <v>1975</v>
      </c>
      <c r="S145">
        <v>1670</v>
      </c>
      <c r="T145">
        <v>1</v>
      </c>
      <c r="U145" t="s">
        <v>4840</v>
      </c>
      <c r="V145">
        <v>2020</v>
      </c>
      <c r="X145" t="str">
        <f>IF(Table2929[[#This Row],[performance_2]]&lt;&gt;"", IF(Table2929[[#This Row],[performance_1]]&lt;&gt;"",(Table2929[[#This Row],[performance_1]]-Table2929[[#This Row],[performance_2]])/Table2929[[#This Row],[performance_1]],""), "")</f>
        <v/>
      </c>
      <c r="Y145" s="55">
        <f>Table2929[[#This Row],[total_cost]]/Table2929[[#This Row],[cfa_post]]</f>
        <v>0.59880239520958078</v>
      </c>
      <c r="Z145" s="55">
        <f>Table2929[[#This Row],[total_cost]]/INDEX(CPI!$A$3:$C$31,MATCH(Table2929[[#This Row],[start_year]],CPI!$A$3:$A$31,0),3)</f>
        <v>1175.0386398763524</v>
      </c>
      <c r="AA145" s="55">
        <f>Table2929[[#This Row],[$/sqft]]/INDEX(CPI!$A$3:$C$31,MATCH(Table2929[[#This Row],[start_year]],CPI!$A$3:$A$31,0),3)</f>
        <v>0.70361595202176785</v>
      </c>
      <c r="AB145" s="55" t="s">
        <v>72</v>
      </c>
    </row>
    <row r="146" spans="1:28" hidden="1" x14ac:dyDescent="0.2">
      <c r="A146" t="s">
        <v>5303</v>
      </c>
      <c r="B146">
        <v>2533</v>
      </c>
      <c r="C146">
        <v>5124</v>
      </c>
      <c r="D146" t="s">
        <v>5186</v>
      </c>
      <c r="E146" t="s">
        <v>4832</v>
      </c>
      <c r="F146" t="s">
        <v>5187</v>
      </c>
      <c r="G146" t="s">
        <v>1241</v>
      </c>
      <c r="L146">
        <v>5000</v>
      </c>
      <c r="M146" t="s">
        <v>5224</v>
      </c>
      <c r="N146" t="s">
        <v>4857</v>
      </c>
      <c r="R146">
        <v>1975</v>
      </c>
      <c r="S146">
        <v>1740</v>
      </c>
      <c r="U146" t="s">
        <v>5024</v>
      </c>
      <c r="V146">
        <v>2020</v>
      </c>
      <c r="X146" t="str">
        <f>IF(Table2929[[#This Row],[performance_2]]&lt;&gt;"", IF(Table2929[[#This Row],[performance_1]]&lt;&gt;"",(Table2929[[#This Row],[performance_1]]-Table2929[[#This Row],[performance_2]])/Table2929[[#This Row],[performance_1]],""), "")</f>
        <v/>
      </c>
      <c r="Y146" s="55">
        <f>Table2929[[#This Row],[total_cost]]/Table2929[[#This Row],[cfa_post]]</f>
        <v>2.8735632183908044</v>
      </c>
      <c r="Z146" s="55">
        <f>Table2929[[#This Row],[total_cost]]/INDEX(CPI!$A$3:$C$31,MATCH(Table2929[[#This Row],[start_year]],CPI!$A$3:$A$31,0),3)</f>
        <v>5875.1931993817625</v>
      </c>
      <c r="AA146" s="55">
        <f>Table2929[[#This Row],[$/sqft]]/INDEX(CPI!$A$3:$C$31,MATCH(Table2929[[#This Row],[start_year]],CPI!$A$3:$A$31,0),3)</f>
        <v>3.3765478157366449</v>
      </c>
      <c r="AB146" s="55" t="s">
        <v>72</v>
      </c>
    </row>
    <row r="147" spans="1:28" hidden="1" x14ac:dyDescent="0.2">
      <c r="A147" t="s">
        <v>5303</v>
      </c>
      <c r="B147">
        <v>2549</v>
      </c>
      <c r="C147">
        <v>6294</v>
      </c>
      <c r="D147" t="s">
        <v>5186</v>
      </c>
      <c r="E147" t="s">
        <v>4832</v>
      </c>
      <c r="F147" t="s">
        <v>5187</v>
      </c>
      <c r="G147" t="s">
        <v>1241</v>
      </c>
      <c r="L147">
        <v>3000</v>
      </c>
      <c r="M147" t="s">
        <v>5225</v>
      </c>
      <c r="N147" t="s">
        <v>4857</v>
      </c>
      <c r="R147">
        <v>1985</v>
      </c>
      <c r="S147">
        <v>1826</v>
      </c>
      <c r="U147" t="s">
        <v>4840</v>
      </c>
      <c r="V147">
        <v>2020</v>
      </c>
      <c r="X147" t="str">
        <f>IF(Table2929[[#This Row],[performance_2]]&lt;&gt;"", IF(Table2929[[#This Row],[performance_1]]&lt;&gt;"",(Table2929[[#This Row],[performance_1]]-Table2929[[#This Row],[performance_2]])/Table2929[[#This Row],[performance_1]],""), "")</f>
        <v/>
      </c>
      <c r="Y147" s="55">
        <f>Table2929[[#This Row],[total_cost]]/Table2929[[#This Row],[cfa_post]]</f>
        <v>1.642935377875137</v>
      </c>
      <c r="Z147" s="55">
        <f>Table2929[[#This Row],[total_cost]]/INDEX(CPI!$A$3:$C$31,MATCH(Table2929[[#This Row],[start_year]],CPI!$A$3:$A$31,0),3)</f>
        <v>3525.1159196290573</v>
      </c>
      <c r="AA147" s="55">
        <f>Table2929[[#This Row],[$/sqft]]/INDEX(CPI!$A$3:$C$31,MATCH(Table2929[[#This Row],[start_year]],CPI!$A$3:$A$31,0),3)</f>
        <v>1.9305125518231421</v>
      </c>
      <c r="AB147" s="55" t="s">
        <v>72</v>
      </c>
    </row>
    <row r="148" spans="1:28" hidden="1" x14ac:dyDescent="0.2">
      <c r="A148" t="s">
        <v>5303</v>
      </c>
      <c r="B148">
        <v>2559</v>
      </c>
      <c r="C148">
        <v>8233</v>
      </c>
      <c r="D148" t="s">
        <v>5186</v>
      </c>
      <c r="E148" t="s">
        <v>4832</v>
      </c>
      <c r="F148" t="s">
        <v>5187</v>
      </c>
      <c r="G148" t="s">
        <v>1241</v>
      </c>
      <c r="L148">
        <v>400</v>
      </c>
      <c r="M148" t="s">
        <v>5226</v>
      </c>
      <c r="N148" t="s">
        <v>4857</v>
      </c>
      <c r="R148">
        <v>1996</v>
      </c>
      <c r="S148">
        <v>2445</v>
      </c>
      <c r="U148" t="s">
        <v>4840</v>
      </c>
      <c r="V148">
        <v>2020</v>
      </c>
      <c r="X148" t="str">
        <f>IF(Table2929[[#This Row],[performance_2]]&lt;&gt;"", IF(Table2929[[#This Row],[performance_1]]&lt;&gt;"",(Table2929[[#This Row],[performance_1]]-Table2929[[#This Row],[performance_2]])/Table2929[[#This Row],[performance_1]],""), "")</f>
        <v/>
      </c>
      <c r="Y148" s="55">
        <f>Table2929[[#This Row],[total_cost]]/Table2929[[#This Row],[cfa_post]]</f>
        <v>0.16359918200408999</v>
      </c>
      <c r="Z148" s="55">
        <f>Table2929[[#This Row],[total_cost]]/INDEX(CPI!$A$3:$C$31,MATCH(Table2929[[#This Row],[start_year]],CPI!$A$3:$A$31,0),3)</f>
        <v>470.01545595054097</v>
      </c>
      <c r="AA148" s="55">
        <f>Table2929[[#This Row],[$/sqft]]/INDEX(CPI!$A$3:$C$31,MATCH(Table2929[[#This Row],[start_year]],CPI!$A$3:$A$31,0),3)</f>
        <v>0.19223536030696972</v>
      </c>
      <c r="AB148" s="55" t="s">
        <v>72</v>
      </c>
    </row>
    <row r="149" spans="1:28" hidden="1" x14ac:dyDescent="0.2">
      <c r="A149" t="s">
        <v>5303</v>
      </c>
      <c r="B149">
        <v>2574</v>
      </c>
      <c r="C149">
        <v>5189</v>
      </c>
      <c r="D149" t="s">
        <v>5186</v>
      </c>
      <c r="E149" t="s">
        <v>4832</v>
      </c>
      <c r="F149" t="s">
        <v>5187</v>
      </c>
      <c r="G149" t="s">
        <v>1241</v>
      </c>
      <c r="L149">
        <v>1000</v>
      </c>
      <c r="M149" t="s">
        <v>5227</v>
      </c>
      <c r="N149" t="s">
        <v>4857</v>
      </c>
      <c r="R149">
        <v>1975</v>
      </c>
      <c r="S149">
        <v>2336</v>
      </c>
      <c r="U149" t="s">
        <v>4840</v>
      </c>
      <c r="V149">
        <v>2020</v>
      </c>
      <c r="X149" t="str">
        <f>IF(Table2929[[#This Row],[performance_2]]&lt;&gt;"", IF(Table2929[[#This Row],[performance_1]]&lt;&gt;"",(Table2929[[#This Row],[performance_1]]-Table2929[[#This Row],[performance_2]])/Table2929[[#This Row],[performance_1]],""), "")</f>
        <v/>
      </c>
      <c r="Y149" s="55">
        <f>Table2929[[#This Row],[total_cost]]/Table2929[[#This Row],[cfa_post]]</f>
        <v>0.42808219178082191</v>
      </c>
      <c r="Z149" s="55">
        <f>Table2929[[#This Row],[total_cost]]/INDEX(CPI!$A$3:$C$31,MATCH(Table2929[[#This Row],[start_year]],CPI!$A$3:$A$31,0),3)</f>
        <v>1175.0386398763524</v>
      </c>
      <c r="AA149" s="55">
        <f>Table2929[[#This Row],[$/sqft]]/INDEX(CPI!$A$3:$C$31,MATCH(Table2929[[#This Row],[start_year]],CPI!$A$3:$A$31,0),3)</f>
        <v>0.50301311638542479</v>
      </c>
      <c r="AB149" s="55" t="s">
        <v>72</v>
      </c>
    </row>
    <row r="150" spans="1:28" hidden="1" x14ac:dyDescent="0.2">
      <c r="A150" t="s">
        <v>5303</v>
      </c>
      <c r="B150">
        <v>2576</v>
      </c>
      <c r="C150">
        <v>5510</v>
      </c>
      <c r="D150" t="s">
        <v>5186</v>
      </c>
      <c r="E150" t="s">
        <v>4832</v>
      </c>
      <c r="F150" t="s">
        <v>5187</v>
      </c>
      <c r="G150" t="s">
        <v>1241</v>
      </c>
      <c r="L150">
        <v>7250</v>
      </c>
      <c r="M150" t="s">
        <v>4893</v>
      </c>
      <c r="N150" t="s">
        <v>4857</v>
      </c>
      <c r="R150">
        <v>1996</v>
      </c>
      <c r="S150">
        <v>2272</v>
      </c>
      <c r="U150" t="s">
        <v>4840</v>
      </c>
      <c r="V150">
        <v>2020</v>
      </c>
      <c r="X150" t="str">
        <f>IF(Table2929[[#This Row],[performance_2]]&lt;&gt;"", IF(Table2929[[#This Row],[performance_1]]&lt;&gt;"",(Table2929[[#This Row],[performance_1]]-Table2929[[#This Row],[performance_2]])/Table2929[[#This Row],[performance_1]],""), "")</f>
        <v/>
      </c>
      <c r="Y150" s="55">
        <f>Table2929[[#This Row],[total_cost]]/Table2929[[#This Row],[cfa_post]]</f>
        <v>3.1910211267605635</v>
      </c>
      <c r="Z150" s="55">
        <f>Table2929[[#This Row],[total_cost]]/INDEX(CPI!$A$3:$C$31,MATCH(Table2929[[#This Row],[start_year]],CPI!$A$3:$A$31,0),3)</f>
        <v>8519.0301391035555</v>
      </c>
      <c r="AA150" s="55">
        <f>Table2929[[#This Row],[$/sqft]]/INDEX(CPI!$A$3:$C$31,MATCH(Table2929[[#This Row],[start_year]],CPI!$A$3:$A$31,0),3)</f>
        <v>3.7495731246054382</v>
      </c>
      <c r="AB150" s="55" t="s">
        <v>72</v>
      </c>
    </row>
    <row r="151" spans="1:28" hidden="1" x14ac:dyDescent="0.2">
      <c r="A151" t="s">
        <v>5303</v>
      </c>
      <c r="B151">
        <v>2585</v>
      </c>
      <c r="C151">
        <v>6667</v>
      </c>
      <c r="D151" t="s">
        <v>5186</v>
      </c>
      <c r="E151" t="s">
        <v>4832</v>
      </c>
      <c r="F151" t="s">
        <v>5187</v>
      </c>
      <c r="G151" t="s">
        <v>1241</v>
      </c>
      <c r="L151">
        <v>200</v>
      </c>
      <c r="M151" t="s">
        <v>5228</v>
      </c>
      <c r="N151" t="s">
        <v>4857</v>
      </c>
      <c r="R151">
        <v>1975</v>
      </c>
      <c r="S151">
        <v>1773</v>
      </c>
      <c r="U151" t="s">
        <v>4840</v>
      </c>
      <c r="V151">
        <v>2020</v>
      </c>
      <c r="X151" t="str">
        <f>IF(Table2929[[#This Row],[performance_2]]&lt;&gt;"", IF(Table2929[[#This Row],[performance_1]]&lt;&gt;"",(Table2929[[#This Row],[performance_1]]-Table2929[[#This Row],[performance_2]])/Table2929[[#This Row],[performance_1]],""), "")</f>
        <v/>
      </c>
      <c r="Y151" s="55">
        <f>Table2929[[#This Row],[total_cost]]/Table2929[[#This Row],[cfa_post]]</f>
        <v>0.11280315848843768</v>
      </c>
      <c r="Z151" s="55">
        <f>Table2929[[#This Row],[total_cost]]/INDEX(CPI!$A$3:$C$31,MATCH(Table2929[[#This Row],[start_year]],CPI!$A$3:$A$31,0),3)</f>
        <v>235.00772797527048</v>
      </c>
      <c r="AA151" s="55">
        <f>Table2929[[#This Row],[$/sqft]]/INDEX(CPI!$A$3:$C$31,MATCH(Table2929[[#This Row],[start_year]],CPI!$A$3:$A$31,0),3)</f>
        <v>0.13254806992401044</v>
      </c>
      <c r="AB151" s="55" t="s">
        <v>72</v>
      </c>
    </row>
    <row r="152" spans="1:28" hidden="1" x14ac:dyDescent="0.2">
      <c r="A152" t="s">
        <v>5303</v>
      </c>
      <c r="B152">
        <v>2602</v>
      </c>
      <c r="C152">
        <v>5090</v>
      </c>
      <c r="D152" t="s">
        <v>5186</v>
      </c>
      <c r="E152" t="s">
        <v>4832</v>
      </c>
      <c r="F152" t="s">
        <v>5187</v>
      </c>
      <c r="G152" t="s">
        <v>1241</v>
      </c>
      <c r="L152">
        <v>4600</v>
      </c>
      <c r="M152" t="s">
        <v>5229</v>
      </c>
      <c r="N152" t="s">
        <v>4857</v>
      </c>
      <c r="R152">
        <v>1975</v>
      </c>
      <c r="S152">
        <v>2800</v>
      </c>
      <c r="U152" t="s">
        <v>4840</v>
      </c>
      <c r="V152">
        <v>2020</v>
      </c>
      <c r="X152" t="str">
        <f>IF(Table2929[[#This Row],[performance_2]]&lt;&gt;"", IF(Table2929[[#This Row],[performance_1]]&lt;&gt;"",(Table2929[[#This Row],[performance_1]]-Table2929[[#This Row],[performance_2]])/Table2929[[#This Row],[performance_1]],""), "")</f>
        <v/>
      </c>
      <c r="Y152" s="55">
        <f>Table2929[[#This Row],[total_cost]]/Table2929[[#This Row],[cfa_post]]</f>
        <v>1.6428571428571428</v>
      </c>
      <c r="Z152" s="55">
        <f>Table2929[[#This Row],[total_cost]]/INDEX(CPI!$A$3:$C$31,MATCH(Table2929[[#This Row],[start_year]],CPI!$A$3:$A$31,0),3)</f>
        <v>5405.1777434312207</v>
      </c>
      <c r="AA152" s="55">
        <f>Table2929[[#This Row],[$/sqft]]/INDEX(CPI!$A$3:$C$31,MATCH(Table2929[[#This Row],[start_year]],CPI!$A$3:$A$31,0),3)</f>
        <v>1.9304206226540075</v>
      </c>
      <c r="AB152" s="55" t="s">
        <v>72</v>
      </c>
    </row>
    <row r="153" spans="1:28" hidden="1" x14ac:dyDescent="0.2">
      <c r="A153" t="s">
        <v>5303</v>
      </c>
      <c r="B153">
        <v>2631</v>
      </c>
      <c r="C153">
        <v>7714</v>
      </c>
      <c r="D153" t="s">
        <v>5186</v>
      </c>
      <c r="E153" t="s">
        <v>4832</v>
      </c>
      <c r="F153" t="s">
        <v>5187</v>
      </c>
      <c r="G153" t="s">
        <v>1241</v>
      </c>
      <c r="L153">
        <v>500</v>
      </c>
      <c r="M153" t="s">
        <v>4903</v>
      </c>
      <c r="N153" t="s">
        <v>4857</v>
      </c>
      <c r="R153">
        <v>1996</v>
      </c>
      <c r="S153">
        <v>2359</v>
      </c>
      <c r="U153" t="s">
        <v>4840</v>
      </c>
      <c r="V153">
        <v>2020</v>
      </c>
      <c r="X153" t="str">
        <f>IF(Table2929[[#This Row],[performance_2]]&lt;&gt;"", IF(Table2929[[#This Row],[performance_1]]&lt;&gt;"",(Table2929[[#This Row],[performance_1]]-Table2929[[#This Row],[performance_2]])/Table2929[[#This Row],[performance_1]],""), "")</f>
        <v/>
      </c>
      <c r="Y153" s="55">
        <f>Table2929[[#This Row],[total_cost]]/Table2929[[#This Row],[cfa_post]]</f>
        <v>0.21195421788893598</v>
      </c>
      <c r="Z153" s="55">
        <f>Table2929[[#This Row],[total_cost]]/INDEX(CPI!$A$3:$C$31,MATCH(Table2929[[#This Row],[start_year]],CPI!$A$3:$A$31,0),3)</f>
        <v>587.51931993817618</v>
      </c>
      <c r="AA153" s="55">
        <f>Table2929[[#This Row],[$/sqft]]/INDEX(CPI!$A$3:$C$31,MATCH(Table2929[[#This Row],[start_year]],CPI!$A$3:$A$31,0),3)</f>
        <v>0.24905439590427139</v>
      </c>
      <c r="AB153" s="55" t="s">
        <v>72</v>
      </c>
    </row>
    <row r="154" spans="1:28" hidden="1" x14ac:dyDescent="0.2">
      <c r="A154" t="s">
        <v>5303</v>
      </c>
      <c r="B154">
        <v>2637</v>
      </c>
      <c r="C154">
        <v>5657</v>
      </c>
      <c r="D154" t="s">
        <v>5186</v>
      </c>
      <c r="E154" t="s">
        <v>4832</v>
      </c>
      <c r="F154" t="s">
        <v>5187</v>
      </c>
      <c r="G154" t="s">
        <v>1241</v>
      </c>
      <c r="L154">
        <v>300</v>
      </c>
      <c r="M154" t="s">
        <v>5205</v>
      </c>
      <c r="N154" t="s">
        <v>4857</v>
      </c>
      <c r="R154">
        <v>1985</v>
      </c>
      <c r="S154">
        <v>1095</v>
      </c>
      <c r="U154" t="s">
        <v>4840</v>
      </c>
      <c r="V154">
        <v>2020</v>
      </c>
      <c r="X154" t="str">
        <f>IF(Table2929[[#This Row],[performance_2]]&lt;&gt;"", IF(Table2929[[#This Row],[performance_1]]&lt;&gt;"",(Table2929[[#This Row],[performance_1]]-Table2929[[#This Row],[performance_2]])/Table2929[[#This Row],[performance_1]],""), "")</f>
        <v/>
      </c>
      <c r="Y154" s="55">
        <f>Table2929[[#This Row],[total_cost]]/Table2929[[#This Row],[cfa_post]]</f>
        <v>0.27397260273972601</v>
      </c>
      <c r="Z154" s="55">
        <f>Table2929[[#This Row],[total_cost]]/INDEX(CPI!$A$3:$C$31,MATCH(Table2929[[#This Row],[start_year]],CPI!$A$3:$A$31,0),3)</f>
        <v>352.51159196290575</v>
      </c>
      <c r="AA154" s="55">
        <f>Table2929[[#This Row],[$/sqft]]/INDEX(CPI!$A$3:$C$31,MATCH(Table2929[[#This Row],[start_year]],CPI!$A$3:$A$31,0),3)</f>
        <v>0.32192839448667188</v>
      </c>
      <c r="AB154" s="55" t="s">
        <v>72</v>
      </c>
    </row>
    <row r="155" spans="1:28" hidden="1" x14ac:dyDescent="0.2">
      <c r="A155" t="s">
        <v>5303</v>
      </c>
      <c r="B155">
        <v>2655</v>
      </c>
      <c r="C155">
        <v>8563</v>
      </c>
      <c r="D155" t="s">
        <v>5186</v>
      </c>
      <c r="E155" t="s">
        <v>4832</v>
      </c>
      <c r="F155" t="s">
        <v>5187</v>
      </c>
      <c r="G155" t="s">
        <v>1241</v>
      </c>
      <c r="L155">
        <v>4570</v>
      </c>
      <c r="M155" t="s">
        <v>4891</v>
      </c>
      <c r="N155" t="s">
        <v>4857</v>
      </c>
      <c r="R155">
        <v>1975</v>
      </c>
      <c r="S155">
        <v>1534</v>
      </c>
      <c r="U155" t="s">
        <v>4840</v>
      </c>
      <c r="V155">
        <v>2020</v>
      </c>
      <c r="X155" t="str">
        <f>IF(Table2929[[#This Row],[performance_2]]&lt;&gt;"", IF(Table2929[[#This Row],[performance_1]]&lt;&gt;"",(Table2929[[#This Row],[performance_1]]-Table2929[[#This Row],[performance_2]])/Table2929[[#This Row],[performance_1]],""), "")</f>
        <v/>
      </c>
      <c r="Y155" s="55">
        <f>Table2929[[#This Row],[total_cost]]/Table2929[[#This Row],[cfa_post]]</f>
        <v>2.9791395045632334</v>
      </c>
      <c r="Z155" s="55">
        <f>Table2929[[#This Row],[total_cost]]/INDEX(CPI!$A$3:$C$31,MATCH(Table2929[[#This Row],[start_year]],CPI!$A$3:$A$31,0),3)</f>
        <v>5369.9265842349305</v>
      </c>
      <c r="AA155" s="55">
        <f>Table2929[[#This Row],[$/sqft]]/INDEX(CPI!$A$3:$C$31,MATCH(Table2929[[#This Row],[start_year]],CPI!$A$3:$A$31,0),3)</f>
        <v>3.500604031443892</v>
      </c>
      <c r="AB155" s="55" t="s">
        <v>72</v>
      </c>
    </row>
    <row r="156" spans="1:28" hidden="1" x14ac:dyDescent="0.2">
      <c r="A156" t="s">
        <v>5303</v>
      </c>
      <c r="B156">
        <v>2656</v>
      </c>
      <c r="C156">
        <v>7796</v>
      </c>
      <c r="D156" t="s">
        <v>5186</v>
      </c>
      <c r="E156" t="s">
        <v>4832</v>
      </c>
      <c r="F156" t="s">
        <v>5187</v>
      </c>
      <c r="G156" t="s">
        <v>1241</v>
      </c>
      <c r="L156">
        <v>6744</v>
      </c>
      <c r="M156" t="s">
        <v>4891</v>
      </c>
      <c r="N156" t="s">
        <v>4857</v>
      </c>
      <c r="R156">
        <v>1975</v>
      </c>
      <c r="S156">
        <v>1308</v>
      </c>
      <c r="U156" t="s">
        <v>4840</v>
      </c>
      <c r="V156">
        <v>2020</v>
      </c>
      <c r="X156" t="str">
        <f>IF(Table2929[[#This Row],[performance_2]]&lt;&gt;"", IF(Table2929[[#This Row],[performance_1]]&lt;&gt;"",(Table2929[[#This Row],[performance_1]]-Table2929[[#This Row],[performance_2]])/Table2929[[#This Row],[performance_1]],""), "")</f>
        <v/>
      </c>
      <c r="Y156" s="55">
        <f>Table2929[[#This Row],[total_cost]]/Table2929[[#This Row],[cfa_post]]</f>
        <v>5.1559633027522933</v>
      </c>
      <c r="Z156" s="55">
        <f>Table2929[[#This Row],[total_cost]]/INDEX(CPI!$A$3:$C$31,MATCH(Table2929[[#This Row],[start_year]],CPI!$A$3:$A$31,0),3)</f>
        <v>7924.4605873261207</v>
      </c>
      <c r="AA156" s="55">
        <f>Table2929[[#This Row],[$/sqft]]/INDEX(CPI!$A$3:$C$31,MATCH(Table2929[[#This Row],[start_year]],CPI!$A$3:$A$31,0),3)</f>
        <v>6.0584561065184408</v>
      </c>
      <c r="AB156" s="55" t="s">
        <v>72</v>
      </c>
    </row>
    <row r="157" spans="1:28" hidden="1" x14ac:dyDescent="0.2">
      <c r="A157" t="s">
        <v>5303</v>
      </c>
      <c r="B157">
        <v>2666</v>
      </c>
      <c r="C157">
        <v>7786</v>
      </c>
      <c r="D157" t="s">
        <v>5186</v>
      </c>
      <c r="E157" t="s">
        <v>4832</v>
      </c>
      <c r="F157" t="s">
        <v>5187</v>
      </c>
      <c r="G157" t="s">
        <v>1241</v>
      </c>
      <c r="L157">
        <v>4614</v>
      </c>
      <c r="M157" t="s">
        <v>4904</v>
      </c>
      <c r="N157" t="s">
        <v>4857</v>
      </c>
      <c r="R157">
        <v>1975</v>
      </c>
      <c r="S157">
        <v>842</v>
      </c>
      <c r="T157">
        <v>1</v>
      </c>
      <c r="U157" t="s">
        <v>4840</v>
      </c>
      <c r="V157">
        <v>2020</v>
      </c>
      <c r="X157" t="str">
        <f>IF(Table2929[[#This Row],[performance_2]]&lt;&gt;"", IF(Table2929[[#This Row],[performance_1]]&lt;&gt;"",(Table2929[[#This Row],[performance_1]]-Table2929[[#This Row],[performance_2]])/Table2929[[#This Row],[performance_1]],""), "")</f>
        <v/>
      </c>
      <c r="Y157" s="55">
        <f>Table2929[[#This Row],[total_cost]]/Table2929[[#This Row],[cfa_post]]</f>
        <v>5.4798099762470311</v>
      </c>
      <c r="Z157" s="55">
        <f>Table2929[[#This Row],[total_cost]]/INDEX(CPI!$A$3:$C$31,MATCH(Table2929[[#This Row],[start_year]],CPI!$A$3:$A$31,0),3)</f>
        <v>5421.6282843894896</v>
      </c>
      <c r="AA157" s="55">
        <f>Table2929[[#This Row],[$/sqft]]/INDEX(CPI!$A$3:$C$31,MATCH(Table2929[[#This Row],[start_year]],CPI!$A$3:$A$31,0),3)</f>
        <v>6.4389884612701787</v>
      </c>
      <c r="AB157" s="55" t="s">
        <v>72</v>
      </c>
    </row>
    <row r="158" spans="1:28" hidden="1" x14ac:dyDescent="0.2">
      <c r="A158" t="s">
        <v>5303</v>
      </c>
      <c r="B158">
        <v>2672</v>
      </c>
      <c r="C158">
        <v>7626</v>
      </c>
      <c r="D158" t="s">
        <v>5186</v>
      </c>
      <c r="E158" t="s">
        <v>4832</v>
      </c>
      <c r="F158" t="s">
        <v>5187</v>
      </c>
      <c r="G158" t="s">
        <v>1241</v>
      </c>
      <c r="L158">
        <v>200</v>
      </c>
      <c r="M158" t="s">
        <v>4893</v>
      </c>
      <c r="N158" t="s">
        <v>4857</v>
      </c>
      <c r="R158">
        <v>1985</v>
      </c>
      <c r="S158">
        <v>2205</v>
      </c>
      <c r="U158" t="s">
        <v>4840</v>
      </c>
      <c r="V158">
        <v>2020</v>
      </c>
      <c r="X158" t="str">
        <f>IF(Table2929[[#This Row],[performance_2]]&lt;&gt;"", IF(Table2929[[#This Row],[performance_1]]&lt;&gt;"",(Table2929[[#This Row],[performance_1]]-Table2929[[#This Row],[performance_2]])/Table2929[[#This Row],[performance_1]],""), "")</f>
        <v/>
      </c>
      <c r="Y158" s="55">
        <f>Table2929[[#This Row],[total_cost]]/Table2929[[#This Row],[cfa_post]]</f>
        <v>9.0702947845804988E-2</v>
      </c>
      <c r="Z158" s="55">
        <f>Table2929[[#This Row],[total_cost]]/INDEX(CPI!$A$3:$C$31,MATCH(Table2929[[#This Row],[start_year]],CPI!$A$3:$A$31,0),3)</f>
        <v>235.00772797527048</v>
      </c>
      <c r="AA158" s="55">
        <f>Table2929[[#This Row],[$/sqft]]/INDEX(CPI!$A$3:$C$31,MATCH(Table2929[[#This Row],[start_year]],CPI!$A$3:$A$31,0),3)</f>
        <v>0.10657946846951043</v>
      </c>
      <c r="AB158" s="55" t="s">
        <v>72</v>
      </c>
    </row>
    <row r="159" spans="1:28" hidden="1" x14ac:dyDescent="0.2">
      <c r="A159" t="s">
        <v>5303</v>
      </c>
      <c r="B159">
        <v>2677</v>
      </c>
      <c r="C159">
        <v>7658</v>
      </c>
      <c r="D159" t="s">
        <v>5186</v>
      </c>
      <c r="E159" t="s">
        <v>4832</v>
      </c>
      <c r="F159" t="s">
        <v>5187</v>
      </c>
      <c r="G159" t="s">
        <v>1241</v>
      </c>
      <c r="L159">
        <v>2200</v>
      </c>
      <c r="M159" t="s">
        <v>4897</v>
      </c>
      <c r="N159" t="s">
        <v>4857</v>
      </c>
      <c r="R159">
        <v>1975</v>
      </c>
      <c r="S159">
        <v>2562</v>
      </c>
      <c r="U159" t="s">
        <v>4840</v>
      </c>
      <c r="V159">
        <v>2020</v>
      </c>
      <c r="X159" t="str">
        <f>IF(Table2929[[#This Row],[performance_2]]&lt;&gt;"", IF(Table2929[[#This Row],[performance_1]]&lt;&gt;"",(Table2929[[#This Row],[performance_1]]-Table2929[[#This Row],[performance_2]])/Table2929[[#This Row],[performance_1]],""), "")</f>
        <v/>
      </c>
      <c r="Y159" s="55">
        <f>Table2929[[#This Row],[total_cost]]/Table2929[[#This Row],[cfa_post]]</f>
        <v>0.85870413739266194</v>
      </c>
      <c r="Z159" s="55">
        <f>Table2929[[#This Row],[total_cost]]/INDEX(CPI!$A$3:$C$31,MATCH(Table2929[[#This Row],[start_year]],CPI!$A$3:$A$31,0),3)</f>
        <v>2585.0850077279752</v>
      </c>
      <c r="AA159" s="55">
        <f>Table2929[[#This Row],[$/sqft]]/INDEX(CPI!$A$3:$C$31,MATCH(Table2929[[#This Row],[start_year]],CPI!$A$3:$A$31,0),3)</f>
        <v>1.0090105416580699</v>
      </c>
      <c r="AB159" s="55" t="s">
        <v>72</v>
      </c>
    </row>
    <row r="160" spans="1:28" hidden="1" x14ac:dyDescent="0.2">
      <c r="A160" t="s">
        <v>5303</v>
      </c>
      <c r="B160">
        <v>2679</v>
      </c>
      <c r="C160">
        <v>7459</v>
      </c>
      <c r="D160" t="s">
        <v>5186</v>
      </c>
      <c r="E160" t="s">
        <v>4832</v>
      </c>
      <c r="F160" t="s">
        <v>5187</v>
      </c>
      <c r="G160" t="s">
        <v>1241</v>
      </c>
      <c r="L160">
        <v>300</v>
      </c>
      <c r="M160" t="s">
        <v>4891</v>
      </c>
      <c r="N160" t="s">
        <v>4857</v>
      </c>
      <c r="R160">
        <v>1975</v>
      </c>
      <c r="S160">
        <v>1085</v>
      </c>
      <c r="U160" t="s">
        <v>4840</v>
      </c>
      <c r="V160">
        <v>2020</v>
      </c>
      <c r="X160" t="str">
        <f>IF(Table2929[[#This Row],[performance_2]]&lt;&gt;"", IF(Table2929[[#This Row],[performance_1]]&lt;&gt;"",(Table2929[[#This Row],[performance_1]]-Table2929[[#This Row],[performance_2]])/Table2929[[#This Row],[performance_1]],""), "")</f>
        <v/>
      </c>
      <c r="Y160" s="55">
        <f>Table2929[[#This Row],[total_cost]]/Table2929[[#This Row],[cfa_post]]</f>
        <v>0.27649769585253459</v>
      </c>
      <c r="Z160" s="55">
        <f>Table2929[[#This Row],[total_cost]]/INDEX(CPI!$A$3:$C$31,MATCH(Table2929[[#This Row],[start_year]],CPI!$A$3:$A$31,0),3)</f>
        <v>352.51159196290575</v>
      </c>
      <c r="AA160" s="55">
        <f>Table2929[[#This Row],[$/sqft]]/INDEX(CPI!$A$3:$C$31,MATCH(Table2929[[#This Row],[start_year]],CPI!$A$3:$A$31,0),3)</f>
        <v>0.32489547646350764</v>
      </c>
      <c r="AB160" s="55" t="s">
        <v>72</v>
      </c>
    </row>
    <row r="161" spans="1:28" hidden="1" x14ac:dyDescent="0.2">
      <c r="A161" t="s">
        <v>5303</v>
      </c>
      <c r="B161">
        <v>2681</v>
      </c>
      <c r="C161">
        <v>7676</v>
      </c>
      <c r="D161" t="s">
        <v>5186</v>
      </c>
      <c r="E161" t="s">
        <v>4832</v>
      </c>
      <c r="F161" t="s">
        <v>5187</v>
      </c>
      <c r="G161" t="s">
        <v>1241</v>
      </c>
      <c r="L161">
        <v>500</v>
      </c>
      <c r="M161" t="s">
        <v>4896</v>
      </c>
      <c r="N161" t="s">
        <v>4857</v>
      </c>
      <c r="R161">
        <v>1996</v>
      </c>
      <c r="S161">
        <v>2422</v>
      </c>
      <c r="U161" t="s">
        <v>4840</v>
      </c>
      <c r="V161">
        <v>2020</v>
      </c>
      <c r="X161" t="str">
        <f>IF(Table2929[[#This Row],[performance_2]]&lt;&gt;"", IF(Table2929[[#This Row],[performance_1]]&lt;&gt;"",(Table2929[[#This Row],[performance_1]]-Table2929[[#This Row],[performance_2]])/Table2929[[#This Row],[performance_1]],""), "")</f>
        <v/>
      </c>
      <c r="Y161" s="55">
        <f>Table2929[[#This Row],[total_cost]]/Table2929[[#This Row],[cfa_post]]</f>
        <v>0.20644095788604458</v>
      </c>
      <c r="Z161" s="55">
        <f>Table2929[[#This Row],[total_cost]]/INDEX(CPI!$A$3:$C$31,MATCH(Table2929[[#This Row],[start_year]],CPI!$A$3:$A$31,0),3)</f>
        <v>587.51931993817618</v>
      </c>
      <c r="AA161" s="55">
        <f>Table2929[[#This Row],[$/sqft]]/INDEX(CPI!$A$3:$C$31,MATCH(Table2929[[#This Row],[start_year]],CPI!$A$3:$A$31,0),3)</f>
        <v>0.24257610236918917</v>
      </c>
      <c r="AB161" s="55" t="s">
        <v>72</v>
      </c>
    </row>
    <row r="162" spans="1:28" hidden="1" x14ac:dyDescent="0.2">
      <c r="A162" t="s">
        <v>5303</v>
      </c>
      <c r="B162">
        <v>3000</v>
      </c>
      <c r="C162">
        <v>9000</v>
      </c>
      <c r="D162" t="s">
        <v>5186</v>
      </c>
      <c r="E162" t="s">
        <v>5008</v>
      </c>
      <c r="F162" t="s">
        <v>5187</v>
      </c>
      <c r="G162" t="s">
        <v>1241</v>
      </c>
      <c r="M162" t="s">
        <v>4940</v>
      </c>
      <c r="N162" t="s">
        <v>4906</v>
      </c>
      <c r="O162" t="s">
        <v>4838</v>
      </c>
      <c r="Q162" t="s">
        <v>4917</v>
      </c>
      <c r="R162">
        <v>1954</v>
      </c>
      <c r="S162">
        <v>2912</v>
      </c>
      <c r="T162">
        <v>1</v>
      </c>
      <c r="U162" t="s">
        <v>4907</v>
      </c>
      <c r="V162">
        <v>2017</v>
      </c>
      <c r="Y162" s="55">
        <f>Table2929[[#This Row],[total_cost]]/Table2929[[#This Row],[cfa_post]]</f>
        <v>0</v>
      </c>
      <c r="Z162" s="55">
        <f>Table2929[[#This Row],[total_cost]]/INDEX(CPI!$A$3:$C$31,MATCH(Table2929[[#This Row],[start_year]],CPI!$A$3:$A$31,0),3)</f>
        <v>0</v>
      </c>
      <c r="AA162" s="55">
        <f>Table2929[[#This Row],[$/sqft]]/INDEX(CPI!$A$3:$C$31,MATCH(Table2929[[#This Row],[start_year]],CPI!$A$3:$A$31,0),3)</f>
        <v>0</v>
      </c>
      <c r="AB162" s="55" t="s">
        <v>72</v>
      </c>
    </row>
    <row r="163" spans="1:28" hidden="1" x14ac:dyDescent="0.2">
      <c r="A163" t="s">
        <v>5303</v>
      </c>
      <c r="B163">
        <v>3009</v>
      </c>
      <c r="C163">
        <v>9048</v>
      </c>
      <c r="D163" t="s">
        <v>5186</v>
      </c>
      <c r="E163" t="s">
        <v>5008</v>
      </c>
      <c r="F163" t="s">
        <v>5187</v>
      </c>
      <c r="G163" t="s">
        <v>1241</v>
      </c>
      <c r="L163">
        <v>1543</v>
      </c>
      <c r="M163" t="s">
        <v>4912</v>
      </c>
      <c r="N163" t="s">
        <v>4906</v>
      </c>
      <c r="O163" t="s">
        <v>4913</v>
      </c>
      <c r="Q163" t="s">
        <v>217</v>
      </c>
      <c r="R163">
        <v>1900</v>
      </c>
      <c r="S163">
        <v>1657</v>
      </c>
      <c r="T163">
        <v>3</v>
      </c>
      <c r="U163" t="s">
        <v>4907</v>
      </c>
      <c r="V163">
        <v>2018</v>
      </c>
      <c r="X163" t="str">
        <f>IF(Table2929[[#This Row],[performance_2]]&lt;&gt;"", IF(Table2929[[#This Row],[performance_1]]&lt;&gt;"",(Table2929[[#This Row],[performance_1]]-Table2929[[#This Row],[performance_2]])/Table2929[[#This Row],[performance_1]],""), "")</f>
        <v/>
      </c>
      <c r="Y163" s="55">
        <f>Table2929[[#This Row],[total_cost]]/Table2929[[#This Row],[cfa_post]]</f>
        <v>0.93120096560048282</v>
      </c>
      <c r="Z163" s="55">
        <f>Table2929[[#This Row],[total_cost]]/INDEX(CPI!$A$3:$C$31,MATCH(Table2929[[#This Row],[start_year]],CPI!$A$3:$A$31,0),3)</f>
        <v>1868.6829948227798</v>
      </c>
      <c r="AA163" s="55">
        <f>Table2929[[#This Row],[$/sqft]]/INDEX(CPI!$A$3:$C$31,MATCH(Table2929[[#This Row],[start_year]],CPI!$A$3:$A$31,0),3)</f>
        <v>1.1277507512509233</v>
      </c>
      <c r="AB163" s="55" t="s">
        <v>72</v>
      </c>
    </row>
    <row r="164" spans="1:28" hidden="1" x14ac:dyDescent="0.2">
      <c r="A164" t="s">
        <v>5303</v>
      </c>
      <c r="B164">
        <v>3022</v>
      </c>
      <c r="C164">
        <v>9103</v>
      </c>
      <c r="D164" t="s">
        <v>5186</v>
      </c>
      <c r="E164" t="s">
        <v>5008</v>
      </c>
      <c r="F164" t="s">
        <v>5187</v>
      </c>
      <c r="G164" t="s">
        <v>1241</v>
      </c>
      <c r="L164">
        <v>500</v>
      </c>
      <c r="M164" t="s">
        <v>4920</v>
      </c>
      <c r="N164" t="s">
        <v>4906</v>
      </c>
      <c r="O164" t="s">
        <v>4838</v>
      </c>
      <c r="Q164" t="s">
        <v>217</v>
      </c>
      <c r="R164">
        <v>1978</v>
      </c>
      <c r="S164">
        <v>2440</v>
      </c>
      <c r="T164">
        <v>1.74</v>
      </c>
      <c r="U164" t="s">
        <v>4840</v>
      </c>
      <c r="V164">
        <v>2019</v>
      </c>
      <c r="X164" t="str">
        <f>IF(Table2929[[#This Row],[performance_2]]&lt;&gt;"", IF(Table2929[[#This Row],[performance_1]]&lt;&gt;"",(Table2929[[#This Row],[performance_1]]-Table2929[[#This Row],[performance_2]])/Table2929[[#This Row],[performance_1]],""), "")</f>
        <v/>
      </c>
      <c r="Y164" s="55">
        <f>Table2929[[#This Row],[total_cost]]/Table2929[[#This Row],[cfa_post]]</f>
        <v>0.20491803278688525</v>
      </c>
      <c r="Z164" s="55">
        <f>Table2929[[#This Row],[total_cost]]/INDEX(CPI!$A$3:$C$31,MATCH(Table2929[[#This Row],[start_year]],CPI!$A$3:$A$31,0),3)</f>
        <v>594.64215877982008</v>
      </c>
      <c r="AA164" s="55">
        <f>Table2929[[#This Row],[$/sqft]]/INDEX(CPI!$A$3:$C$31,MATCH(Table2929[[#This Row],[start_year]],CPI!$A$3:$A$31,0),3)</f>
        <v>0.24370580277861481</v>
      </c>
      <c r="AB164" s="55" t="s">
        <v>72</v>
      </c>
    </row>
    <row r="165" spans="1:28" hidden="1" x14ac:dyDescent="0.2">
      <c r="A165" t="s">
        <v>5303</v>
      </c>
      <c r="B165">
        <v>3028</v>
      </c>
      <c r="C165">
        <v>9134</v>
      </c>
      <c r="D165" t="s">
        <v>5186</v>
      </c>
      <c r="E165" t="s">
        <v>5008</v>
      </c>
      <c r="F165" t="s">
        <v>5187</v>
      </c>
      <c r="G165" t="s">
        <v>1241</v>
      </c>
      <c r="M165" t="s">
        <v>4924</v>
      </c>
      <c r="N165" t="s">
        <v>4906</v>
      </c>
      <c r="O165" t="s">
        <v>4838</v>
      </c>
      <c r="Q165" t="s">
        <v>4839</v>
      </c>
      <c r="R165">
        <v>1969</v>
      </c>
      <c r="S165">
        <v>1316</v>
      </c>
      <c r="T165">
        <v>1</v>
      </c>
      <c r="U165" t="s">
        <v>4907</v>
      </c>
      <c r="V165">
        <v>2018</v>
      </c>
      <c r="Y165" s="55">
        <f>Table2929[[#This Row],[total_cost]]/Table2929[[#This Row],[cfa_post]]</f>
        <v>0</v>
      </c>
      <c r="Z165" s="55">
        <f>Table2929[[#This Row],[total_cost]]/INDEX(CPI!$A$3:$C$31,MATCH(Table2929[[#This Row],[start_year]],CPI!$A$3:$A$31,0),3)</f>
        <v>0</v>
      </c>
      <c r="AA165" s="55">
        <f>Table2929[[#This Row],[$/sqft]]/INDEX(CPI!$A$3:$C$31,MATCH(Table2929[[#This Row],[start_year]],CPI!$A$3:$A$31,0),3)</f>
        <v>0</v>
      </c>
      <c r="AB165" s="55" t="s">
        <v>72</v>
      </c>
    </row>
    <row r="166" spans="1:28" hidden="1" x14ac:dyDescent="0.2">
      <c r="A166" t="s">
        <v>5303</v>
      </c>
      <c r="B166">
        <v>3052</v>
      </c>
      <c r="C166">
        <v>9236</v>
      </c>
      <c r="D166" t="s">
        <v>5186</v>
      </c>
      <c r="E166" t="s">
        <v>5008</v>
      </c>
      <c r="F166" t="s">
        <v>5187</v>
      </c>
      <c r="G166" t="s">
        <v>1241</v>
      </c>
      <c r="M166" t="s">
        <v>4924</v>
      </c>
      <c r="N166" t="s">
        <v>4906</v>
      </c>
      <c r="O166" t="s">
        <v>4838</v>
      </c>
      <c r="Q166" t="s">
        <v>4872</v>
      </c>
      <c r="R166">
        <v>1900</v>
      </c>
      <c r="S166">
        <v>1333</v>
      </c>
      <c r="T166">
        <v>1.7</v>
      </c>
      <c r="U166" t="s">
        <v>4907</v>
      </c>
      <c r="V166">
        <v>2018</v>
      </c>
      <c r="Y166" s="55">
        <f>Table2929[[#This Row],[total_cost]]/Table2929[[#This Row],[cfa_post]]</f>
        <v>0</v>
      </c>
      <c r="Z166" s="55">
        <f>Table2929[[#This Row],[total_cost]]/INDEX(CPI!$A$3:$C$31,MATCH(Table2929[[#This Row],[start_year]],CPI!$A$3:$A$31,0),3)</f>
        <v>0</v>
      </c>
      <c r="AA166" s="55">
        <f>Table2929[[#This Row],[$/sqft]]/INDEX(CPI!$A$3:$C$31,MATCH(Table2929[[#This Row],[start_year]],CPI!$A$3:$A$31,0),3)</f>
        <v>0</v>
      </c>
      <c r="AB166" s="55" t="s">
        <v>72</v>
      </c>
    </row>
    <row r="167" spans="1:28" x14ac:dyDescent="0.2">
      <c r="A167" t="s">
        <v>5303</v>
      </c>
      <c r="B167">
        <v>5194</v>
      </c>
      <c r="C167">
        <v>13174</v>
      </c>
      <c r="D167" t="s">
        <v>5186</v>
      </c>
      <c r="E167" t="s">
        <v>4832</v>
      </c>
      <c r="F167" t="s">
        <v>5187</v>
      </c>
      <c r="G167" t="s">
        <v>1241</v>
      </c>
      <c r="H167">
        <v>303</v>
      </c>
      <c r="I167" t="s">
        <v>5191</v>
      </c>
      <c r="J167">
        <v>302</v>
      </c>
      <c r="K167" t="s">
        <v>5192</v>
      </c>
      <c r="L167">
        <v>802.69</v>
      </c>
      <c r="M167" t="s">
        <v>4982</v>
      </c>
      <c r="N167" t="s">
        <v>4979</v>
      </c>
      <c r="O167" t="s">
        <v>4838</v>
      </c>
      <c r="P167" t="s">
        <v>1241</v>
      </c>
      <c r="R167">
        <v>1987</v>
      </c>
      <c r="S167">
        <v>1816</v>
      </c>
      <c r="U167" t="s">
        <v>4840</v>
      </c>
      <c r="V167">
        <v>2018</v>
      </c>
      <c r="W167">
        <v>0.33003300299999999</v>
      </c>
      <c r="X167" s="89">
        <f>ABS(IF(Table2929[[#This Row],[performance_2]]&lt;&gt;"", IF(Table2929[[#This Row],[performance_1]]&lt;&gt;"",(Table2929[[#This Row],[performance_1]]-Table2929[[#This Row],[performance_2]])/Table2929[[#This Row],[performance_1]],""), ""))</f>
        <v>3.3003300330033004E-3</v>
      </c>
      <c r="Y167" s="55">
        <f>Table2929[[#This Row],[total_cost]]/Table2929[[#This Row],[cfa_post]]</f>
        <v>0.44200991189427313</v>
      </c>
      <c r="Z167" s="55">
        <f>Table2929[[#This Row],[total_cost]]/INDEX(CPI!$A$3:$C$31,MATCH(Table2929[[#This Row],[start_year]],CPI!$A$3:$A$31,0),3)</f>
        <v>972.11481083233787</v>
      </c>
      <c r="AA167" s="55">
        <f>Table2929[[#This Row],[$/sqft]]/INDEX(CPI!$A$3:$C$31,MATCH(Table2929[[#This Row],[start_year]],CPI!$A$3:$A$31,0),3)</f>
        <v>0.53530551257287329</v>
      </c>
      <c r="AB167" s="55" t="s">
        <v>71</v>
      </c>
    </row>
    <row r="168" spans="1:28" x14ac:dyDescent="0.2">
      <c r="A168" t="s">
        <v>5303</v>
      </c>
      <c r="B168">
        <v>5109</v>
      </c>
      <c r="C168">
        <v>12661</v>
      </c>
      <c r="D168" t="s">
        <v>5186</v>
      </c>
      <c r="E168" t="s">
        <v>4832</v>
      </c>
      <c r="F168" t="s">
        <v>5187</v>
      </c>
      <c r="G168" t="s">
        <v>1241</v>
      </c>
      <c r="H168">
        <v>189</v>
      </c>
      <c r="I168" t="s">
        <v>5191</v>
      </c>
      <c r="J168">
        <v>188</v>
      </c>
      <c r="K168" t="s">
        <v>5192</v>
      </c>
      <c r="L168">
        <v>722.48</v>
      </c>
      <c r="M168" t="s">
        <v>4985</v>
      </c>
      <c r="N168" t="s">
        <v>4979</v>
      </c>
      <c r="O168" t="s">
        <v>4838</v>
      </c>
      <c r="P168" t="s">
        <v>1241</v>
      </c>
      <c r="R168">
        <v>1970</v>
      </c>
      <c r="S168">
        <v>2000</v>
      </c>
      <c r="U168" t="s">
        <v>4840</v>
      </c>
      <c r="V168">
        <v>2018</v>
      </c>
      <c r="W168">
        <v>0.52910052900000004</v>
      </c>
      <c r="X168" s="89">
        <f>ABS(IF(Table2929[[#This Row],[performance_2]]&lt;&gt;"", IF(Table2929[[#This Row],[performance_1]]&lt;&gt;"",(Table2929[[#This Row],[performance_1]]-Table2929[[#This Row],[performance_2]])/Table2929[[#This Row],[performance_1]],""), ""))</f>
        <v>5.2910052910052907E-3</v>
      </c>
      <c r="Y168" s="55">
        <f>Table2929[[#This Row],[total_cost]]/Table2929[[#This Row],[cfa_post]]</f>
        <v>0.36124000000000001</v>
      </c>
      <c r="Z168" s="55">
        <f>Table2929[[#This Row],[total_cost]]/INDEX(CPI!$A$3:$C$31,MATCH(Table2929[[#This Row],[start_year]],CPI!$A$3:$A$31,0),3)</f>
        <v>874.97478295499809</v>
      </c>
      <c r="AA168" s="55">
        <f>Table2929[[#This Row],[$/sqft]]/INDEX(CPI!$A$3:$C$31,MATCH(Table2929[[#This Row],[start_year]],CPI!$A$3:$A$31,0),3)</f>
        <v>0.43748739147749904</v>
      </c>
      <c r="AB168" s="55" t="s">
        <v>71</v>
      </c>
    </row>
    <row r="169" spans="1:28" x14ac:dyDescent="0.2">
      <c r="A169" t="s">
        <v>5303</v>
      </c>
      <c r="B169">
        <v>5207</v>
      </c>
      <c r="C169">
        <v>13241</v>
      </c>
      <c r="D169" t="s">
        <v>5186</v>
      </c>
      <c r="E169" t="s">
        <v>4832</v>
      </c>
      <c r="F169" t="s">
        <v>5187</v>
      </c>
      <c r="G169" t="s">
        <v>1241</v>
      </c>
      <c r="H169">
        <v>146</v>
      </c>
      <c r="I169" t="s">
        <v>5191</v>
      </c>
      <c r="J169">
        <v>132</v>
      </c>
      <c r="K169" t="s">
        <v>5192</v>
      </c>
      <c r="L169">
        <v>89.41</v>
      </c>
      <c r="M169" t="s">
        <v>4980</v>
      </c>
      <c r="N169" t="s">
        <v>4979</v>
      </c>
      <c r="O169" t="s">
        <v>4972</v>
      </c>
      <c r="P169" t="s">
        <v>4844</v>
      </c>
      <c r="R169">
        <v>2001</v>
      </c>
      <c r="S169">
        <v>1700</v>
      </c>
      <c r="U169" t="s">
        <v>4840</v>
      </c>
      <c r="V169">
        <v>2018</v>
      </c>
      <c r="W169">
        <v>9.5890410960000008</v>
      </c>
      <c r="X169" s="89">
        <f>ABS(IF(Table2929[[#This Row],[performance_2]]&lt;&gt;"", IF(Table2929[[#This Row],[performance_1]]&lt;&gt;"",(Table2929[[#This Row],[performance_1]]-Table2929[[#This Row],[performance_2]])/Table2929[[#This Row],[performance_1]],""), ""))</f>
        <v>9.5890410958904104E-2</v>
      </c>
      <c r="Y169" s="55">
        <f>Table2929[[#This Row],[total_cost]]/Table2929[[#This Row],[cfa_post]]</f>
        <v>5.2594117647058819E-2</v>
      </c>
      <c r="Z169" s="55">
        <f>Table2929[[#This Row],[total_cost]]/INDEX(CPI!$A$3:$C$31,MATCH(Table2929[[#This Row],[start_year]],CPI!$A$3:$A$31,0),3)</f>
        <v>108.28188371166867</v>
      </c>
      <c r="AA169" s="55">
        <f>Table2929[[#This Row],[$/sqft]]/INDEX(CPI!$A$3:$C$31,MATCH(Table2929[[#This Row],[start_year]],CPI!$A$3:$A$31,0),3)</f>
        <v>6.3695225712746273E-2</v>
      </c>
      <c r="AB169" s="55" t="s">
        <v>71</v>
      </c>
    </row>
    <row r="170" spans="1:28" x14ac:dyDescent="0.2">
      <c r="A170" t="s">
        <v>5303</v>
      </c>
      <c r="B170">
        <v>5218</v>
      </c>
      <c r="C170">
        <v>13301</v>
      </c>
      <c r="D170" t="s">
        <v>5186</v>
      </c>
      <c r="E170" t="s">
        <v>4832</v>
      </c>
      <c r="F170" t="s">
        <v>5187</v>
      </c>
      <c r="G170" t="s">
        <v>1241</v>
      </c>
      <c r="H170">
        <v>272</v>
      </c>
      <c r="I170" t="s">
        <v>5191</v>
      </c>
      <c r="J170">
        <v>300</v>
      </c>
      <c r="K170" t="s">
        <v>5192</v>
      </c>
      <c r="L170">
        <v>1663.5</v>
      </c>
      <c r="M170" t="s">
        <v>4985</v>
      </c>
      <c r="N170" t="s">
        <v>4979</v>
      </c>
      <c r="O170" t="s">
        <v>4838</v>
      </c>
      <c r="P170" t="s">
        <v>4844</v>
      </c>
      <c r="R170">
        <v>1978</v>
      </c>
      <c r="S170">
        <v>1768</v>
      </c>
      <c r="U170" t="s">
        <v>4840</v>
      </c>
      <c r="V170">
        <v>2018</v>
      </c>
      <c r="W170">
        <v>-10.29411765</v>
      </c>
      <c r="X170" s="89">
        <f>ABS(IF(Table2929[[#This Row],[performance_2]]&lt;&gt;"", IF(Table2929[[#This Row],[performance_1]]&lt;&gt;"",(Table2929[[#This Row],[performance_1]]-Table2929[[#This Row],[performance_2]])/Table2929[[#This Row],[performance_1]],""), ""))</f>
        <v>0.10294117647058823</v>
      </c>
      <c r="Y170" s="55">
        <f>Table2929[[#This Row],[total_cost]]/Table2929[[#This Row],[cfa_post]]</f>
        <v>0.94089366515837103</v>
      </c>
      <c r="Z170" s="55">
        <f>Table2929[[#This Row],[total_cost]]/INDEX(CPI!$A$3:$C$31,MATCH(Table2929[[#This Row],[start_year]],CPI!$A$3:$A$31,0),3)</f>
        <v>2014.6170848267625</v>
      </c>
      <c r="AA170" s="55">
        <f>Table2929[[#This Row],[$/sqft]]/INDEX(CPI!$A$3:$C$31,MATCH(Table2929[[#This Row],[start_year]],CPI!$A$3:$A$31,0),3)</f>
        <v>1.1394893013726031</v>
      </c>
      <c r="AB170" s="55" t="s">
        <v>71</v>
      </c>
    </row>
    <row r="171" spans="1:28" x14ac:dyDescent="0.2">
      <c r="A171" t="s">
        <v>5303</v>
      </c>
      <c r="B171">
        <v>5226</v>
      </c>
      <c r="C171">
        <v>13345</v>
      </c>
      <c r="D171" t="s">
        <v>5186</v>
      </c>
      <c r="E171" t="s">
        <v>4832</v>
      </c>
      <c r="F171" t="s">
        <v>5187</v>
      </c>
      <c r="G171" t="s">
        <v>1241</v>
      </c>
      <c r="H171">
        <v>182</v>
      </c>
      <c r="I171" t="s">
        <v>5191</v>
      </c>
      <c r="J171">
        <v>162</v>
      </c>
      <c r="K171" t="s">
        <v>5192</v>
      </c>
      <c r="L171">
        <v>410.75</v>
      </c>
      <c r="M171" t="s">
        <v>4982</v>
      </c>
      <c r="N171" t="s">
        <v>4979</v>
      </c>
      <c r="O171" t="s">
        <v>4972</v>
      </c>
      <c r="P171" t="s">
        <v>1241</v>
      </c>
      <c r="R171">
        <v>2007</v>
      </c>
      <c r="S171">
        <v>1340</v>
      </c>
      <c r="U171" t="s">
        <v>4840</v>
      </c>
      <c r="V171">
        <v>2018</v>
      </c>
      <c r="W171">
        <v>10.989010990000001</v>
      </c>
      <c r="X171" s="89">
        <f>ABS(IF(Table2929[[#This Row],[performance_2]]&lt;&gt;"", IF(Table2929[[#This Row],[performance_1]]&lt;&gt;"",(Table2929[[#This Row],[performance_1]]-Table2929[[#This Row],[performance_2]])/Table2929[[#This Row],[performance_1]],""), ""))</f>
        <v>0.10989010989010989</v>
      </c>
      <c r="Y171" s="55">
        <f>Table2929[[#This Row],[total_cost]]/Table2929[[#This Row],[cfa_post]]</f>
        <v>0.30652985074626865</v>
      </c>
      <c r="Z171" s="55">
        <f>Table2929[[#This Row],[total_cost]]/INDEX(CPI!$A$3:$C$31,MATCH(Table2929[[#This Row],[start_year]],CPI!$A$3:$A$31,0),3)</f>
        <v>497.44753086419757</v>
      </c>
      <c r="AA171" s="55">
        <f>Table2929[[#This Row],[$/sqft]]/INDEX(CPI!$A$3:$C$31,MATCH(Table2929[[#This Row],[start_year]],CPI!$A$3:$A$31,0),3)</f>
        <v>0.37122950064492355</v>
      </c>
      <c r="AB171" s="55" t="s">
        <v>71</v>
      </c>
    </row>
    <row r="172" spans="1:28" x14ac:dyDescent="0.2">
      <c r="A172" t="s">
        <v>5303</v>
      </c>
      <c r="B172">
        <v>5267</v>
      </c>
      <c r="C172">
        <v>13568</v>
      </c>
      <c r="D172" t="s">
        <v>5186</v>
      </c>
      <c r="E172" t="s">
        <v>4832</v>
      </c>
      <c r="F172" t="s">
        <v>5187</v>
      </c>
      <c r="G172" t="s">
        <v>1241</v>
      </c>
      <c r="H172">
        <v>121</v>
      </c>
      <c r="I172" t="s">
        <v>5191</v>
      </c>
      <c r="J172">
        <v>105</v>
      </c>
      <c r="K172" t="s">
        <v>5192</v>
      </c>
      <c r="L172">
        <v>652.29999999999995</v>
      </c>
      <c r="M172" t="s">
        <v>4981</v>
      </c>
      <c r="N172" t="s">
        <v>4979</v>
      </c>
      <c r="O172" t="s">
        <v>4838</v>
      </c>
      <c r="P172" t="s">
        <v>4844</v>
      </c>
      <c r="R172">
        <v>1996</v>
      </c>
      <c r="S172">
        <v>1500</v>
      </c>
      <c r="U172" t="s">
        <v>4840</v>
      </c>
      <c r="V172">
        <v>2019</v>
      </c>
      <c r="W172">
        <v>13.2231405</v>
      </c>
      <c r="X172" s="89">
        <f>ABS(IF(Table2929[[#This Row],[performance_2]]&lt;&gt;"", IF(Table2929[[#This Row],[performance_1]]&lt;&gt;"",(Table2929[[#This Row],[performance_1]]-Table2929[[#This Row],[performance_2]])/Table2929[[#This Row],[performance_1]],""), ""))</f>
        <v>0.13223140495867769</v>
      </c>
      <c r="Y172" s="55">
        <f>Table2929[[#This Row],[total_cost]]/Table2929[[#This Row],[cfa_post]]</f>
        <v>0.43486666666666662</v>
      </c>
      <c r="Z172" s="55">
        <f>Table2929[[#This Row],[total_cost]]/INDEX(CPI!$A$3:$C$31,MATCH(Table2929[[#This Row],[start_year]],CPI!$A$3:$A$31,0),3)</f>
        <v>775.77016034415328</v>
      </c>
      <c r="AA172" s="55">
        <f>Table2929[[#This Row],[$/sqft]]/INDEX(CPI!$A$3:$C$31,MATCH(Table2929[[#This Row],[start_year]],CPI!$A$3:$A$31,0),3)</f>
        <v>0.51718010689610217</v>
      </c>
      <c r="AB172" s="55" t="s">
        <v>71</v>
      </c>
    </row>
    <row r="173" spans="1:28" x14ac:dyDescent="0.2">
      <c r="A173" t="s">
        <v>5303</v>
      </c>
      <c r="B173">
        <v>5158</v>
      </c>
      <c r="C173">
        <v>12966</v>
      </c>
      <c r="D173" t="s">
        <v>5186</v>
      </c>
      <c r="E173" t="s">
        <v>4832</v>
      </c>
      <c r="F173" t="s">
        <v>5187</v>
      </c>
      <c r="G173" t="s">
        <v>1241</v>
      </c>
      <c r="H173">
        <v>122</v>
      </c>
      <c r="I173" t="s">
        <v>5191</v>
      </c>
      <c r="J173">
        <v>105</v>
      </c>
      <c r="K173" t="s">
        <v>5192</v>
      </c>
      <c r="L173">
        <v>501.5</v>
      </c>
      <c r="M173" t="s">
        <v>4997</v>
      </c>
      <c r="N173" t="s">
        <v>4979</v>
      </c>
      <c r="O173" t="s">
        <v>4838</v>
      </c>
      <c r="P173" t="s">
        <v>4844</v>
      </c>
      <c r="R173">
        <v>1986</v>
      </c>
      <c r="S173">
        <v>1600</v>
      </c>
      <c r="U173" t="s">
        <v>4840</v>
      </c>
      <c r="V173">
        <v>2019</v>
      </c>
      <c r="W173">
        <v>13.93442623</v>
      </c>
      <c r="X173" s="89">
        <f>ABS(IF(Table2929[[#This Row],[performance_2]]&lt;&gt;"", IF(Table2929[[#This Row],[performance_1]]&lt;&gt;"",(Table2929[[#This Row],[performance_1]]-Table2929[[#This Row],[performance_2]])/Table2929[[#This Row],[performance_1]],""), ""))</f>
        <v>0.13934426229508196</v>
      </c>
      <c r="Y173" s="55">
        <f>Table2929[[#This Row],[total_cost]]/Table2929[[#This Row],[cfa_post]]</f>
        <v>0.31343749999999998</v>
      </c>
      <c r="Z173" s="55">
        <f>Table2929[[#This Row],[total_cost]]/INDEX(CPI!$A$3:$C$31,MATCH(Table2929[[#This Row],[start_year]],CPI!$A$3:$A$31,0),3)</f>
        <v>596.42608525615958</v>
      </c>
      <c r="AA173" s="55">
        <f>Table2929[[#This Row],[$/sqft]]/INDEX(CPI!$A$3:$C$31,MATCH(Table2929[[#This Row],[start_year]],CPI!$A$3:$A$31,0),3)</f>
        <v>0.37276630328509974</v>
      </c>
      <c r="AB173" s="55" t="s">
        <v>71</v>
      </c>
    </row>
    <row r="174" spans="1:28" x14ac:dyDescent="0.2">
      <c r="A174" t="s">
        <v>5303</v>
      </c>
      <c r="B174">
        <v>4020</v>
      </c>
      <c r="C174">
        <v>11084</v>
      </c>
      <c r="D174" t="s">
        <v>5186</v>
      </c>
      <c r="E174" t="s">
        <v>4832</v>
      </c>
      <c r="F174" t="s">
        <v>5187</v>
      </c>
      <c r="G174" t="s">
        <v>1241</v>
      </c>
      <c r="H174">
        <v>163</v>
      </c>
      <c r="I174" t="s">
        <v>5191</v>
      </c>
      <c r="J174">
        <v>139</v>
      </c>
      <c r="K174" t="s">
        <v>5192</v>
      </c>
      <c r="L174">
        <v>490.42</v>
      </c>
      <c r="M174" t="s">
        <v>4974</v>
      </c>
      <c r="N174" t="s">
        <v>4969</v>
      </c>
      <c r="O174" t="s">
        <v>4838</v>
      </c>
      <c r="P174" t="s">
        <v>1241</v>
      </c>
      <c r="R174">
        <v>1965</v>
      </c>
      <c r="S174">
        <v>1724</v>
      </c>
      <c r="U174" t="s">
        <v>4840</v>
      </c>
      <c r="V174">
        <v>2019</v>
      </c>
      <c r="W174">
        <v>14.72392638</v>
      </c>
      <c r="X174" s="89">
        <f>ABS(IF(Table2929[[#This Row],[performance_2]]&lt;&gt;"", IF(Table2929[[#This Row],[performance_1]]&lt;&gt;"",(Table2929[[#This Row],[performance_1]]-Table2929[[#This Row],[performance_2]])/Table2929[[#This Row],[performance_1]],""), ""))</f>
        <v>0.14723926380368099</v>
      </c>
      <c r="Y174" s="55">
        <f>Table2929[[#This Row],[total_cost]]/Table2929[[#This Row],[cfa_post]]</f>
        <v>0.28446635730858472</v>
      </c>
      <c r="Z174" s="55">
        <f>Table2929[[#This Row],[total_cost]]/INDEX(CPI!$A$3:$C$31,MATCH(Table2929[[#This Row],[start_year]],CPI!$A$3:$A$31,0),3)</f>
        <v>583.24881501759876</v>
      </c>
      <c r="AA174" s="55">
        <f>Table2929[[#This Row],[$/sqft]]/INDEX(CPI!$A$3:$C$31,MATCH(Table2929[[#This Row],[start_year]],CPI!$A$3:$A$31,0),3)</f>
        <v>0.33831137762041696</v>
      </c>
      <c r="AB174" s="55" t="s">
        <v>71</v>
      </c>
    </row>
    <row r="175" spans="1:28" x14ac:dyDescent="0.2">
      <c r="A175" t="s">
        <v>5303</v>
      </c>
      <c r="B175">
        <v>5108</v>
      </c>
      <c r="C175">
        <v>12655</v>
      </c>
      <c r="D175" t="s">
        <v>5186</v>
      </c>
      <c r="E175" t="s">
        <v>4832</v>
      </c>
      <c r="F175" t="s">
        <v>5187</v>
      </c>
      <c r="G175" t="s">
        <v>1241</v>
      </c>
      <c r="H175">
        <v>74</v>
      </c>
      <c r="I175" t="s">
        <v>5191</v>
      </c>
      <c r="J175">
        <v>88</v>
      </c>
      <c r="K175" t="s">
        <v>5192</v>
      </c>
      <c r="L175">
        <v>388.9</v>
      </c>
      <c r="M175" t="s">
        <v>4985</v>
      </c>
      <c r="N175" t="s">
        <v>4979</v>
      </c>
      <c r="O175" t="s">
        <v>4838</v>
      </c>
      <c r="P175" t="s">
        <v>1241</v>
      </c>
      <c r="R175">
        <v>1994</v>
      </c>
      <c r="S175">
        <v>2100</v>
      </c>
      <c r="U175" t="s">
        <v>4840</v>
      </c>
      <c r="V175">
        <v>2018</v>
      </c>
      <c r="W175">
        <v>-18.918918919999999</v>
      </c>
      <c r="X175" s="89">
        <f>ABS(IF(Table2929[[#This Row],[performance_2]]&lt;&gt;"", IF(Table2929[[#This Row],[performance_1]]&lt;&gt;"",(Table2929[[#This Row],[performance_1]]-Table2929[[#This Row],[performance_2]])/Table2929[[#This Row],[performance_1]],""), ""))</f>
        <v>0.1891891891891892</v>
      </c>
      <c r="Y175" s="55">
        <f>Table2929[[#This Row],[total_cost]]/Table2929[[#This Row],[cfa_post]]</f>
        <v>0.18519047619047618</v>
      </c>
      <c r="Z175" s="55">
        <f>Table2929[[#This Row],[total_cost]]/INDEX(CPI!$A$3:$C$31,MATCH(Table2929[[#This Row],[start_year]],CPI!$A$3:$A$31,0),3)</f>
        <v>470.9856232576663</v>
      </c>
      <c r="AA175" s="55">
        <f>Table2929[[#This Row],[$/sqft]]/INDEX(CPI!$A$3:$C$31,MATCH(Table2929[[#This Row],[start_year]],CPI!$A$3:$A$31,0),3)</f>
        <v>0.22427886821793633</v>
      </c>
      <c r="AB175" s="55" t="s">
        <v>71</v>
      </c>
    </row>
    <row r="176" spans="1:28" x14ac:dyDescent="0.2">
      <c r="A176" t="s">
        <v>5303</v>
      </c>
      <c r="B176">
        <v>1257</v>
      </c>
      <c r="C176">
        <v>3328</v>
      </c>
      <c r="D176" t="s">
        <v>5186</v>
      </c>
      <c r="E176" t="s">
        <v>4832</v>
      </c>
      <c r="F176" t="s">
        <v>5187</v>
      </c>
      <c r="G176" t="s">
        <v>1241</v>
      </c>
      <c r="H176">
        <v>8.6</v>
      </c>
      <c r="I176" t="s">
        <v>5188</v>
      </c>
      <c r="J176">
        <v>10.6</v>
      </c>
      <c r="K176" t="s">
        <v>5189</v>
      </c>
      <c r="L176">
        <v>1600</v>
      </c>
      <c r="M176" t="s">
        <v>4841</v>
      </c>
      <c r="N176" t="s">
        <v>4837</v>
      </c>
      <c r="O176" t="s">
        <v>4838</v>
      </c>
      <c r="P176" t="s">
        <v>56</v>
      </c>
      <c r="Q176" t="s">
        <v>4839</v>
      </c>
      <c r="R176">
        <v>1972</v>
      </c>
      <c r="S176">
        <v>1145</v>
      </c>
      <c r="T176">
        <v>1</v>
      </c>
      <c r="U176" t="s">
        <v>4840</v>
      </c>
      <c r="V176">
        <v>2011</v>
      </c>
      <c r="W176">
        <v>-23.25581395</v>
      </c>
      <c r="X176" s="89">
        <f>ABS(IF(Table2929[[#This Row],[performance_2]]&lt;&gt;"", IF(Table2929[[#This Row],[performance_1]]&lt;&gt;"",(Table2929[[#This Row],[performance_1]]-Table2929[[#This Row],[performance_2]])/Table2929[[#This Row],[performance_1]],""), ""))</f>
        <v>0.23255813953488372</v>
      </c>
      <c r="Y176" s="55">
        <f>Table2929[[#This Row],[total_cost]]/Table2929[[#This Row],[cfa_post]]</f>
        <v>1.3973799126637554</v>
      </c>
      <c r="Z176" s="55">
        <f>Table2929[[#This Row],[total_cost]]/INDEX(CPI!$A$3:$C$31,MATCH(Table2929[[#This Row],[start_year]],CPI!$A$3:$A$31,0),3)</f>
        <v>2163.0753226430279</v>
      </c>
      <c r="AA176" s="55">
        <f>Table2929[[#This Row],[$/sqft]]/INDEX(CPI!$A$3:$C$31,MATCH(Table2929[[#This Row],[start_year]],CPI!$A$3:$A$31,0),3)</f>
        <v>1.8891487534000242</v>
      </c>
      <c r="AB176" s="55" t="s">
        <v>71</v>
      </c>
    </row>
    <row r="177" spans="1:28" x14ac:dyDescent="0.2">
      <c r="A177" t="s">
        <v>5303</v>
      </c>
      <c r="B177">
        <v>5089</v>
      </c>
      <c r="C177">
        <v>12541</v>
      </c>
      <c r="D177" t="s">
        <v>5186</v>
      </c>
      <c r="E177" t="s">
        <v>4832</v>
      </c>
      <c r="F177" t="s">
        <v>5187</v>
      </c>
      <c r="G177" t="s">
        <v>1241</v>
      </c>
      <c r="H177">
        <v>165</v>
      </c>
      <c r="I177" t="s">
        <v>5191</v>
      </c>
      <c r="J177">
        <v>123</v>
      </c>
      <c r="K177" t="s">
        <v>5192</v>
      </c>
      <c r="L177">
        <v>569.70000000000005</v>
      </c>
      <c r="M177" t="s">
        <v>4960</v>
      </c>
      <c r="N177" t="s">
        <v>4979</v>
      </c>
      <c r="O177" t="s">
        <v>4972</v>
      </c>
      <c r="P177" t="s">
        <v>4844</v>
      </c>
      <c r="R177">
        <v>1999</v>
      </c>
      <c r="S177">
        <v>1500</v>
      </c>
      <c r="U177" t="s">
        <v>4840</v>
      </c>
      <c r="V177">
        <v>2019</v>
      </c>
      <c r="W177">
        <v>25.454545450000001</v>
      </c>
      <c r="X177" s="89">
        <f>ABS(IF(Table2929[[#This Row],[performance_2]]&lt;&gt;"", IF(Table2929[[#This Row],[performance_1]]&lt;&gt;"",(Table2929[[#This Row],[performance_1]]-Table2929[[#This Row],[performance_2]])/Table2929[[#This Row],[performance_1]],""), ""))</f>
        <v>0.25454545454545452</v>
      </c>
      <c r="Y177" s="55">
        <f>Table2929[[#This Row],[total_cost]]/Table2929[[#This Row],[cfa_post]]</f>
        <v>0.37980000000000003</v>
      </c>
      <c r="Z177" s="55">
        <f>Table2929[[#This Row],[total_cost]]/INDEX(CPI!$A$3:$C$31,MATCH(Table2929[[#This Row],[start_year]],CPI!$A$3:$A$31,0),3)</f>
        <v>677.53527571372706</v>
      </c>
      <c r="AA177" s="55">
        <f>Table2929[[#This Row],[$/sqft]]/INDEX(CPI!$A$3:$C$31,MATCH(Table2929[[#This Row],[start_year]],CPI!$A$3:$A$31,0),3)</f>
        <v>0.45169018380915138</v>
      </c>
      <c r="AB177" s="55" t="s">
        <v>71</v>
      </c>
    </row>
    <row r="178" spans="1:28" x14ac:dyDescent="0.2">
      <c r="A178" t="s">
        <v>5303</v>
      </c>
      <c r="B178">
        <v>4035</v>
      </c>
      <c r="C178">
        <v>11151</v>
      </c>
      <c r="D178" t="s">
        <v>5186</v>
      </c>
      <c r="E178" t="s">
        <v>4832</v>
      </c>
      <c r="F178" t="s">
        <v>5187</v>
      </c>
      <c r="G178" t="s">
        <v>1241</v>
      </c>
      <c r="H178">
        <v>190</v>
      </c>
      <c r="I178" t="s">
        <v>5191</v>
      </c>
      <c r="J178">
        <v>140</v>
      </c>
      <c r="K178" t="s">
        <v>5192</v>
      </c>
      <c r="L178">
        <v>929.18</v>
      </c>
      <c r="M178" t="s">
        <v>4977</v>
      </c>
      <c r="N178" t="s">
        <v>4969</v>
      </c>
      <c r="O178" t="s">
        <v>4838</v>
      </c>
      <c r="P178" t="s">
        <v>1241</v>
      </c>
      <c r="R178">
        <v>2003</v>
      </c>
      <c r="S178">
        <v>2577</v>
      </c>
      <c r="U178" t="s">
        <v>4840</v>
      </c>
      <c r="V178">
        <v>2019</v>
      </c>
      <c r="W178">
        <v>26.315789469999999</v>
      </c>
      <c r="X178" s="89">
        <f>ABS(IF(Table2929[[#This Row],[performance_2]]&lt;&gt;"", IF(Table2929[[#This Row],[performance_1]]&lt;&gt;"",(Table2929[[#This Row],[performance_1]]-Table2929[[#This Row],[performance_2]])/Table2929[[#This Row],[performance_1]],""), ""))</f>
        <v>0.26315789473684209</v>
      </c>
      <c r="Y178" s="55">
        <f>Table2929[[#This Row],[total_cost]]/Table2929[[#This Row],[cfa_post]]</f>
        <v>0.36056655025223128</v>
      </c>
      <c r="Z178" s="55">
        <f>Table2929[[#This Row],[total_cost]]/INDEX(CPI!$A$3:$C$31,MATCH(Table2929[[#This Row],[start_year]],CPI!$A$3:$A$31,0),3)</f>
        <v>1105.0592021900666</v>
      </c>
      <c r="AA178" s="55">
        <f>Table2929[[#This Row],[$/sqft]]/INDEX(CPI!$A$3:$C$31,MATCH(Table2929[[#This Row],[start_year]],CPI!$A$3:$A$31,0),3)</f>
        <v>0.42881614365155862</v>
      </c>
      <c r="AB178" s="55" t="s">
        <v>71</v>
      </c>
    </row>
    <row r="179" spans="1:28" x14ac:dyDescent="0.2">
      <c r="A179" t="s">
        <v>5303</v>
      </c>
      <c r="B179">
        <v>5120</v>
      </c>
      <c r="C179">
        <v>12729</v>
      </c>
      <c r="D179" t="s">
        <v>5186</v>
      </c>
      <c r="E179" t="s">
        <v>4832</v>
      </c>
      <c r="F179" t="s">
        <v>5187</v>
      </c>
      <c r="G179" t="s">
        <v>1241</v>
      </c>
      <c r="H179">
        <v>129</v>
      </c>
      <c r="I179" t="s">
        <v>5191</v>
      </c>
      <c r="J179">
        <v>95</v>
      </c>
      <c r="K179" t="s">
        <v>5192</v>
      </c>
      <c r="L179">
        <v>569.70000000000005</v>
      </c>
      <c r="M179" t="s">
        <v>4900</v>
      </c>
      <c r="N179" t="s">
        <v>4979</v>
      </c>
      <c r="O179" t="s">
        <v>4972</v>
      </c>
      <c r="P179" t="s">
        <v>4844</v>
      </c>
      <c r="R179">
        <v>1998</v>
      </c>
      <c r="S179">
        <v>1000</v>
      </c>
      <c r="U179" t="s">
        <v>4840</v>
      </c>
      <c r="V179">
        <v>2019</v>
      </c>
      <c r="W179">
        <v>26.356589150000001</v>
      </c>
      <c r="X179" s="89">
        <f>ABS(IF(Table2929[[#This Row],[performance_2]]&lt;&gt;"", IF(Table2929[[#This Row],[performance_1]]&lt;&gt;"",(Table2929[[#This Row],[performance_1]]-Table2929[[#This Row],[performance_2]])/Table2929[[#This Row],[performance_1]],""), ""))</f>
        <v>0.26356589147286824</v>
      </c>
      <c r="Y179" s="55">
        <f>Table2929[[#This Row],[total_cost]]/Table2929[[#This Row],[cfa_post]]</f>
        <v>0.5697000000000001</v>
      </c>
      <c r="Z179" s="55">
        <f>Table2929[[#This Row],[total_cost]]/INDEX(CPI!$A$3:$C$31,MATCH(Table2929[[#This Row],[start_year]],CPI!$A$3:$A$31,0),3)</f>
        <v>677.53527571372706</v>
      </c>
      <c r="AA179" s="55">
        <f>Table2929[[#This Row],[$/sqft]]/INDEX(CPI!$A$3:$C$31,MATCH(Table2929[[#This Row],[start_year]],CPI!$A$3:$A$31,0),3)</f>
        <v>0.67753527571372718</v>
      </c>
      <c r="AB179" s="55" t="s">
        <v>71</v>
      </c>
    </row>
    <row r="180" spans="1:28" x14ac:dyDescent="0.2">
      <c r="A180" t="s">
        <v>5303</v>
      </c>
      <c r="B180">
        <v>1263</v>
      </c>
      <c r="C180">
        <v>3386</v>
      </c>
      <c r="D180" t="s">
        <v>5186</v>
      </c>
      <c r="E180" t="s">
        <v>4832</v>
      </c>
      <c r="F180" t="s">
        <v>5187</v>
      </c>
      <c r="G180" t="s">
        <v>1241</v>
      </c>
      <c r="H180">
        <v>7</v>
      </c>
      <c r="I180" t="s">
        <v>5188</v>
      </c>
      <c r="J180">
        <v>5</v>
      </c>
      <c r="K180" t="s">
        <v>5189</v>
      </c>
      <c r="L180">
        <v>560</v>
      </c>
      <c r="M180" t="s">
        <v>4849</v>
      </c>
      <c r="N180" t="s">
        <v>4837</v>
      </c>
      <c r="O180" t="s">
        <v>4838</v>
      </c>
      <c r="P180" t="s">
        <v>56</v>
      </c>
      <c r="Q180" t="s">
        <v>4839</v>
      </c>
      <c r="R180">
        <v>1961</v>
      </c>
      <c r="S180">
        <v>1027</v>
      </c>
      <c r="T180">
        <v>1</v>
      </c>
      <c r="U180" t="s">
        <v>4840</v>
      </c>
      <c r="V180">
        <v>2012</v>
      </c>
      <c r="W180">
        <v>28.571428569999998</v>
      </c>
      <c r="X180" s="89">
        <f>ABS(IF(Table2929[[#This Row],[performance_2]]&lt;&gt;"", IF(Table2929[[#This Row],[performance_1]]&lt;&gt;"",(Table2929[[#This Row],[performance_1]]-Table2929[[#This Row],[performance_2]])/Table2929[[#This Row],[performance_1]],""), ""))</f>
        <v>0.2857142857142857</v>
      </c>
      <c r="Y180" s="55">
        <f>Table2929[[#This Row],[total_cost]]/Table2929[[#This Row],[cfa_post]]</f>
        <v>0.54527750730282376</v>
      </c>
      <c r="Z180" s="55">
        <f>Table2929[[#This Row],[total_cost]]/INDEX(CPI!$A$3:$C$31,MATCH(Table2929[[#This Row],[start_year]],CPI!$A$3:$A$31,0),3)</f>
        <v>741.72670017509176</v>
      </c>
      <c r="AA180" s="55">
        <f>Table2929[[#This Row],[$/sqft]]/INDEX(CPI!$A$3:$C$31,MATCH(Table2929[[#This Row],[start_year]],CPI!$A$3:$A$31,0),3)</f>
        <v>0.72222658244896953</v>
      </c>
      <c r="AB180" s="55" t="s">
        <v>71</v>
      </c>
    </row>
    <row r="181" spans="1:28" x14ac:dyDescent="0.2">
      <c r="A181" t="s">
        <v>5303</v>
      </c>
      <c r="B181">
        <v>4038</v>
      </c>
      <c r="C181">
        <v>11166</v>
      </c>
      <c r="D181" t="s">
        <v>5186</v>
      </c>
      <c r="E181" t="s">
        <v>4832</v>
      </c>
      <c r="F181" t="s">
        <v>5187</v>
      </c>
      <c r="G181" t="s">
        <v>1241</v>
      </c>
      <c r="H181">
        <v>143</v>
      </c>
      <c r="I181" t="s">
        <v>5191</v>
      </c>
      <c r="J181">
        <v>101</v>
      </c>
      <c r="K181" t="s">
        <v>5192</v>
      </c>
      <c r="L181">
        <v>357.5</v>
      </c>
      <c r="M181" t="s">
        <v>4968</v>
      </c>
      <c r="N181" t="s">
        <v>4969</v>
      </c>
      <c r="O181" t="s">
        <v>4972</v>
      </c>
      <c r="P181" t="s">
        <v>1241</v>
      </c>
      <c r="R181">
        <v>1995</v>
      </c>
      <c r="S181">
        <v>1318</v>
      </c>
      <c r="U181" t="s">
        <v>4840</v>
      </c>
      <c r="V181">
        <v>2019</v>
      </c>
      <c r="W181">
        <v>29.37062937</v>
      </c>
      <c r="X181" s="89">
        <f>ABS(IF(Table2929[[#This Row],[performance_2]]&lt;&gt;"", IF(Table2929[[#This Row],[performance_1]]&lt;&gt;"",(Table2929[[#This Row],[performance_1]]-Table2929[[#This Row],[performance_2]])/Table2929[[#This Row],[performance_1]],""), ""))</f>
        <v>0.2937062937062937</v>
      </c>
      <c r="Y181" s="55">
        <f>Table2929[[#This Row],[total_cost]]/Table2929[[#This Row],[cfa_post]]</f>
        <v>0.27124430955993928</v>
      </c>
      <c r="Z181" s="55">
        <f>Table2929[[#This Row],[total_cost]]/INDEX(CPI!$A$3:$C$31,MATCH(Table2929[[#This Row],[start_year]],CPI!$A$3:$A$31,0),3)</f>
        <v>425.16914352757141</v>
      </c>
      <c r="AA181" s="55">
        <f>Table2929[[#This Row],[$/sqft]]/INDEX(CPI!$A$3:$C$31,MATCH(Table2929[[#This Row],[start_year]],CPI!$A$3:$A$31,0),3)</f>
        <v>0.3225866035869282</v>
      </c>
      <c r="AB181" s="55" t="s">
        <v>71</v>
      </c>
    </row>
    <row r="182" spans="1:28" x14ac:dyDescent="0.2">
      <c r="A182" t="s">
        <v>5303</v>
      </c>
      <c r="B182">
        <v>4001</v>
      </c>
      <c r="C182">
        <v>11006</v>
      </c>
      <c r="D182" t="s">
        <v>5186</v>
      </c>
      <c r="E182" t="s">
        <v>4832</v>
      </c>
      <c r="F182" t="s">
        <v>5187</v>
      </c>
      <c r="G182" t="s">
        <v>1241</v>
      </c>
      <c r="H182">
        <v>164</v>
      </c>
      <c r="I182" t="s">
        <v>5191</v>
      </c>
      <c r="J182">
        <v>114</v>
      </c>
      <c r="K182" t="s">
        <v>5192</v>
      </c>
      <c r="L182">
        <v>555.5</v>
      </c>
      <c r="M182" t="s">
        <v>4968</v>
      </c>
      <c r="N182" t="s">
        <v>4969</v>
      </c>
      <c r="O182" t="s">
        <v>4838</v>
      </c>
      <c r="P182" t="s">
        <v>1241</v>
      </c>
      <c r="R182">
        <v>1996</v>
      </c>
      <c r="S182">
        <v>1588</v>
      </c>
      <c r="U182" t="s">
        <v>4840</v>
      </c>
      <c r="V182">
        <v>2019</v>
      </c>
      <c r="W182">
        <v>30.487804879999999</v>
      </c>
      <c r="X182" s="89">
        <f>ABS(IF(Table2929[[#This Row],[performance_2]]&lt;&gt;"", IF(Table2929[[#This Row],[performance_1]]&lt;&gt;"",(Table2929[[#This Row],[performance_1]]-Table2929[[#This Row],[performance_2]])/Table2929[[#This Row],[performance_1]],""), ""))</f>
        <v>0.3048780487804878</v>
      </c>
      <c r="Y182" s="55">
        <f>Table2929[[#This Row],[total_cost]]/Table2929[[#This Row],[cfa_post]]</f>
        <v>0.34981108312342568</v>
      </c>
      <c r="Z182" s="55">
        <f>Table2929[[#This Row],[total_cost]]/INDEX(CPI!$A$3:$C$31,MATCH(Table2929[[#This Row],[start_year]],CPI!$A$3:$A$31,0),3)</f>
        <v>660.64743840438018</v>
      </c>
      <c r="AA182" s="55">
        <f>Table2929[[#This Row],[$/sqft]]/INDEX(CPI!$A$3:$C$31,MATCH(Table2929[[#This Row],[start_year]],CPI!$A$3:$A$31,0),3)</f>
        <v>0.41602483526724193</v>
      </c>
      <c r="AB182" s="55" t="s">
        <v>71</v>
      </c>
    </row>
    <row r="183" spans="1:28" x14ac:dyDescent="0.2">
      <c r="A183" t="s">
        <v>5303</v>
      </c>
      <c r="B183">
        <v>5070</v>
      </c>
      <c r="C183">
        <v>12428</v>
      </c>
      <c r="D183" t="s">
        <v>5186</v>
      </c>
      <c r="E183" t="s">
        <v>4832</v>
      </c>
      <c r="F183" t="s">
        <v>5187</v>
      </c>
      <c r="G183" t="s">
        <v>1241</v>
      </c>
      <c r="H183">
        <v>42</v>
      </c>
      <c r="I183" t="s">
        <v>5191</v>
      </c>
      <c r="J183">
        <v>29</v>
      </c>
      <c r="K183" t="s">
        <v>5192</v>
      </c>
      <c r="L183">
        <v>255.44</v>
      </c>
      <c r="M183" t="s">
        <v>4981</v>
      </c>
      <c r="N183" t="s">
        <v>4979</v>
      </c>
      <c r="O183" t="s">
        <v>4838</v>
      </c>
      <c r="P183" t="s">
        <v>4844</v>
      </c>
      <c r="R183">
        <v>1995</v>
      </c>
      <c r="S183">
        <v>3200</v>
      </c>
      <c r="U183" t="s">
        <v>4840</v>
      </c>
      <c r="V183">
        <v>2018</v>
      </c>
      <c r="W183">
        <v>30.952380949999998</v>
      </c>
      <c r="X183" s="89">
        <f>ABS(IF(Table2929[[#This Row],[performance_2]]&lt;&gt;"", IF(Table2929[[#This Row],[performance_1]]&lt;&gt;"",(Table2929[[#This Row],[performance_1]]-Table2929[[#This Row],[performance_2]])/Table2929[[#This Row],[performance_1]],""), ""))</f>
        <v>0.30952380952380953</v>
      </c>
      <c r="Y183" s="55">
        <f>Table2929[[#This Row],[total_cost]]/Table2929[[#This Row],[cfa_post]]</f>
        <v>7.9824999999999993E-2</v>
      </c>
      <c r="Z183" s="55">
        <f>Table2929[[#This Row],[total_cost]]/INDEX(CPI!$A$3:$C$31,MATCH(Table2929[[#This Row],[start_year]],CPI!$A$3:$A$31,0),3)</f>
        <v>309.35604938271609</v>
      </c>
      <c r="AA183" s="55">
        <f>Table2929[[#This Row],[$/sqft]]/INDEX(CPI!$A$3:$C$31,MATCH(Table2929[[#This Row],[start_year]],CPI!$A$3:$A$31,0),3)</f>
        <v>9.6673765432098768E-2</v>
      </c>
      <c r="AB183" s="55" t="s">
        <v>71</v>
      </c>
    </row>
    <row r="184" spans="1:28" x14ac:dyDescent="0.2">
      <c r="A184" t="s">
        <v>5303</v>
      </c>
      <c r="B184">
        <v>5087</v>
      </c>
      <c r="C184">
        <v>12529</v>
      </c>
      <c r="D184" t="s">
        <v>5186</v>
      </c>
      <c r="E184" t="s">
        <v>4832</v>
      </c>
      <c r="F184" t="s">
        <v>5187</v>
      </c>
      <c r="G184" t="s">
        <v>1241</v>
      </c>
      <c r="H184">
        <v>122</v>
      </c>
      <c r="I184" t="s">
        <v>5191</v>
      </c>
      <c r="J184">
        <v>84</v>
      </c>
      <c r="K184" t="s">
        <v>5192</v>
      </c>
      <c r="L184">
        <v>726.5</v>
      </c>
      <c r="M184" t="s">
        <v>4980</v>
      </c>
      <c r="N184" t="s">
        <v>4979</v>
      </c>
      <c r="O184" t="s">
        <v>4838</v>
      </c>
      <c r="P184" t="s">
        <v>4844</v>
      </c>
      <c r="R184">
        <v>1977</v>
      </c>
      <c r="S184">
        <v>1500</v>
      </c>
      <c r="U184" t="s">
        <v>4840</v>
      </c>
      <c r="V184">
        <v>2019</v>
      </c>
      <c r="W184">
        <v>31.147540979999999</v>
      </c>
      <c r="X184" s="89">
        <f>ABS(IF(Table2929[[#This Row],[performance_2]]&lt;&gt;"", IF(Table2929[[#This Row],[performance_1]]&lt;&gt;"",(Table2929[[#This Row],[performance_1]]-Table2929[[#This Row],[performance_2]])/Table2929[[#This Row],[performance_1]],""), ""))</f>
        <v>0.31147540983606559</v>
      </c>
      <c r="Y184" s="55">
        <f>Table2929[[#This Row],[total_cost]]/Table2929[[#This Row],[cfa_post]]</f>
        <v>0.48433333333333334</v>
      </c>
      <c r="Z184" s="55">
        <f>Table2929[[#This Row],[total_cost]]/INDEX(CPI!$A$3:$C$31,MATCH(Table2929[[#This Row],[start_year]],CPI!$A$3:$A$31,0),3)</f>
        <v>864.01505670707866</v>
      </c>
      <c r="AA184" s="55">
        <f>Table2929[[#This Row],[$/sqft]]/INDEX(CPI!$A$3:$C$31,MATCH(Table2929[[#This Row],[start_year]],CPI!$A$3:$A$31,0),3)</f>
        <v>0.57601003780471915</v>
      </c>
      <c r="AB184" s="55" t="s">
        <v>71</v>
      </c>
    </row>
    <row r="185" spans="1:28" x14ac:dyDescent="0.2">
      <c r="A185" t="s">
        <v>5303</v>
      </c>
      <c r="B185">
        <v>5093</v>
      </c>
      <c r="C185">
        <v>12561</v>
      </c>
      <c r="D185" t="s">
        <v>5186</v>
      </c>
      <c r="E185" t="s">
        <v>4832</v>
      </c>
      <c r="F185" t="s">
        <v>5187</v>
      </c>
      <c r="G185" t="s">
        <v>1241</v>
      </c>
      <c r="H185">
        <v>800</v>
      </c>
      <c r="I185" t="s">
        <v>5191</v>
      </c>
      <c r="J185">
        <v>550</v>
      </c>
      <c r="K185" t="s">
        <v>5192</v>
      </c>
      <c r="L185">
        <v>2500</v>
      </c>
      <c r="M185" t="s">
        <v>4993</v>
      </c>
      <c r="N185" t="s">
        <v>4979</v>
      </c>
      <c r="O185" t="s">
        <v>4838</v>
      </c>
      <c r="P185" t="s">
        <v>4844</v>
      </c>
      <c r="R185">
        <v>1966</v>
      </c>
      <c r="S185">
        <v>1400</v>
      </c>
      <c r="U185" t="s">
        <v>4840</v>
      </c>
      <c r="V185">
        <v>2019</v>
      </c>
      <c r="W185">
        <v>31.25</v>
      </c>
      <c r="X185" s="89">
        <f>ABS(IF(Table2929[[#This Row],[performance_2]]&lt;&gt;"", IF(Table2929[[#This Row],[performance_1]]&lt;&gt;"",(Table2929[[#This Row],[performance_1]]-Table2929[[#This Row],[performance_2]])/Table2929[[#This Row],[performance_1]],""), ""))</f>
        <v>0.3125</v>
      </c>
      <c r="Y185" s="55">
        <f>Table2929[[#This Row],[total_cost]]/Table2929[[#This Row],[cfa_post]]</f>
        <v>1.7857142857142858</v>
      </c>
      <c r="Z185" s="55">
        <f>Table2929[[#This Row],[total_cost]]/INDEX(CPI!$A$3:$C$31,MATCH(Table2929[[#This Row],[start_year]],CPI!$A$3:$A$31,0),3)</f>
        <v>2973.2107938991007</v>
      </c>
      <c r="AA185" s="55">
        <f>Table2929[[#This Row],[$/sqft]]/INDEX(CPI!$A$3:$C$31,MATCH(Table2929[[#This Row],[start_year]],CPI!$A$3:$A$31,0),3)</f>
        <v>2.1237219956422151</v>
      </c>
      <c r="AB185" s="55" t="s">
        <v>71</v>
      </c>
    </row>
    <row r="186" spans="1:28" x14ac:dyDescent="0.2">
      <c r="A186" t="s">
        <v>5303</v>
      </c>
      <c r="B186">
        <v>5184</v>
      </c>
      <c r="C186">
        <v>13115</v>
      </c>
      <c r="D186" t="s">
        <v>5186</v>
      </c>
      <c r="E186" t="s">
        <v>4832</v>
      </c>
      <c r="F186" t="s">
        <v>5187</v>
      </c>
      <c r="G186" t="s">
        <v>1241</v>
      </c>
      <c r="H186">
        <v>179</v>
      </c>
      <c r="I186" t="s">
        <v>5191</v>
      </c>
      <c r="J186">
        <v>122</v>
      </c>
      <c r="K186" t="s">
        <v>5192</v>
      </c>
      <c r="L186">
        <v>1201.3499999999999</v>
      </c>
      <c r="M186" t="s">
        <v>4981</v>
      </c>
      <c r="N186" t="s">
        <v>4979</v>
      </c>
      <c r="O186" t="s">
        <v>4972</v>
      </c>
      <c r="P186" t="s">
        <v>1241</v>
      </c>
      <c r="R186">
        <v>1999</v>
      </c>
      <c r="S186">
        <v>1700</v>
      </c>
      <c r="U186" t="s">
        <v>4840</v>
      </c>
      <c r="V186">
        <v>2019</v>
      </c>
      <c r="W186">
        <v>31.843575420000001</v>
      </c>
      <c r="X186" s="89">
        <f>ABS(IF(Table2929[[#This Row],[performance_2]]&lt;&gt;"", IF(Table2929[[#This Row],[performance_1]]&lt;&gt;"",(Table2929[[#This Row],[performance_1]]-Table2929[[#This Row],[performance_2]])/Table2929[[#This Row],[performance_1]],""), ""))</f>
        <v>0.31843575418994413</v>
      </c>
      <c r="Y186" s="55">
        <f>Table2929[[#This Row],[total_cost]]/Table2929[[#This Row],[cfa_post]]</f>
        <v>0.70667647058823524</v>
      </c>
      <c r="Z186" s="55">
        <f>Table2929[[#This Row],[total_cost]]/INDEX(CPI!$A$3:$C$31,MATCH(Table2929[[#This Row],[start_year]],CPI!$A$3:$A$31,0),3)</f>
        <v>1428.7467149002737</v>
      </c>
      <c r="AA186" s="55">
        <f>Table2929[[#This Row],[$/sqft]]/INDEX(CPI!$A$3:$C$31,MATCH(Table2929[[#This Row],[start_year]],CPI!$A$3:$A$31,0),3)</f>
        <v>0.84043924405898451</v>
      </c>
      <c r="AB186" s="55" t="s">
        <v>71</v>
      </c>
    </row>
    <row r="187" spans="1:28" x14ac:dyDescent="0.2">
      <c r="A187" t="s">
        <v>5303</v>
      </c>
      <c r="B187">
        <v>5017</v>
      </c>
      <c r="C187">
        <v>12102</v>
      </c>
      <c r="D187" t="s">
        <v>5186</v>
      </c>
      <c r="E187" t="s">
        <v>4832</v>
      </c>
      <c r="F187" t="s">
        <v>5187</v>
      </c>
      <c r="G187" t="s">
        <v>1241</v>
      </c>
      <c r="H187">
        <v>119</v>
      </c>
      <c r="I187" t="s">
        <v>5191</v>
      </c>
      <c r="J187">
        <v>81</v>
      </c>
      <c r="K187" t="s">
        <v>5192</v>
      </c>
      <c r="L187">
        <v>1151.8800000000001</v>
      </c>
      <c r="M187" t="s">
        <v>4982</v>
      </c>
      <c r="N187" t="s">
        <v>4979</v>
      </c>
      <c r="O187" t="s">
        <v>4972</v>
      </c>
      <c r="P187" t="s">
        <v>1241</v>
      </c>
      <c r="R187">
        <v>2006</v>
      </c>
      <c r="S187">
        <v>2209</v>
      </c>
      <c r="U187" t="s">
        <v>4840</v>
      </c>
      <c r="V187">
        <v>2018</v>
      </c>
      <c r="W187">
        <v>31.932773109999999</v>
      </c>
      <c r="X187" s="89">
        <f>ABS(IF(Table2929[[#This Row],[performance_2]]&lt;&gt;"", IF(Table2929[[#This Row],[performance_1]]&lt;&gt;"",(Table2929[[#This Row],[performance_1]]-Table2929[[#This Row],[performance_2]])/Table2929[[#This Row],[performance_1]],""), ""))</f>
        <v>0.31932773109243695</v>
      </c>
      <c r="Y187" s="55">
        <f>Table2929[[#This Row],[total_cost]]/Table2929[[#This Row],[cfa_post]]</f>
        <v>0.52144861928474429</v>
      </c>
      <c r="Z187" s="55">
        <f>Table2929[[#This Row],[total_cost]]/INDEX(CPI!$A$3:$C$31,MATCH(Table2929[[#This Row],[start_year]],CPI!$A$3:$A$31,0),3)</f>
        <v>1395.0087933094387</v>
      </c>
      <c r="AA187" s="55">
        <f>Table2929[[#This Row],[$/sqft]]/INDEX(CPI!$A$3:$C$31,MATCH(Table2929[[#This Row],[start_year]],CPI!$A$3:$A$31,0),3)</f>
        <v>0.63151145011744625</v>
      </c>
      <c r="AB187" s="55" t="s">
        <v>71</v>
      </c>
    </row>
    <row r="188" spans="1:28" x14ac:dyDescent="0.2">
      <c r="A188" t="s">
        <v>5303</v>
      </c>
      <c r="B188">
        <v>5183</v>
      </c>
      <c r="C188">
        <v>13110</v>
      </c>
      <c r="D188" t="s">
        <v>5186</v>
      </c>
      <c r="E188" t="s">
        <v>4832</v>
      </c>
      <c r="F188" t="s">
        <v>5187</v>
      </c>
      <c r="G188" t="s">
        <v>1241</v>
      </c>
      <c r="H188">
        <v>285</v>
      </c>
      <c r="I188" t="s">
        <v>5191</v>
      </c>
      <c r="J188">
        <v>193</v>
      </c>
      <c r="K188" t="s">
        <v>5192</v>
      </c>
      <c r="L188">
        <v>1051.42</v>
      </c>
      <c r="M188" t="s">
        <v>4900</v>
      </c>
      <c r="N188" t="s">
        <v>4979</v>
      </c>
      <c r="O188" t="s">
        <v>4838</v>
      </c>
      <c r="P188" t="s">
        <v>4844</v>
      </c>
      <c r="R188">
        <v>1979</v>
      </c>
      <c r="S188">
        <v>1875</v>
      </c>
      <c r="U188" t="s">
        <v>4840</v>
      </c>
      <c r="V188">
        <v>2017</v>
      </c>
      <c r="W188">
        <v>32.280701749999999</v>
      </c>
      <c r="X188" s="89">
        <f>ABS(IF(Table2929[[#This Row],[performance_2]]&lt;&gt;"", IF(Table2929[[#This Row],[performance_1]]&lt;&gt;"",(Table2929[[#This Row],[performance_1]]-Table2929[[#This Row],[performance_2]])/Table2929[[#This Row],[performance_1]],""), ""))</f>
        <v>0.32280701754385965</v>
      </c>
      <c r="Y188" s="55">
        <f>Table2929[[#This Row],[total_cost]]/Table2929[[#This Row],[cfa_post]]</f>
        <v>0.56075733333333333</v>
      </c>
      <c r="Z188" s="55">
        <f>Table2929[[#This Row],[total_cost]]/INDEX(CPI!$A$3:$C$31,MATCH(Table2929[[#This Row],[start_year]],CPI!$A$3:$A$31,0),3)</f>
        <v>1304.5157976336191</v>
      </c>
      <c r="AA188" s="55">
        <f>Table2929[[#This Row],[$/sqft]]/INDEX(CPI!$A$3:$C$31,MATCH(Table2929[[#This Row],[start_year]],CPI!$A$3:$A$31,0),3)</f>
        <v>0.6957417587379302</v>
      </c>
      <c r="AB188" s="55" t="s">
        <v>71</v>
      </c>
    </row>
    <row r="189" spans="1:28" x14ac:dyDescent="0.2">
      <c r="A189" t="s">
        <v>5303</v>
      </c>
      <c r="B189">
        <v>5030</v>
      </c>
      <c r="C189">
        <v>12188</v>
      </c>
      <c r="D189" t="s">
        <v>5186</v>
      </c>
      <c r="E189" t="s">
        <v>4832</v>
      </c>
      <c r="F189" t="s">
        <v>5187</v>
      </c>
      <c r="G189" t="s">
        <v>1241</v>
      </c>
      <c r="H189">
        <v>164</v>
      </c>
      <c r="I189" t="s">
        <v>5191</v>
      </c>
      <c r="J189">
        <v>111</v>
      </c>
      <c r="K189" t="s">
        <v>5192</v>
      </c>
      <c r="L189">
        <v>528.4</v>
      </c>
      <c r="M189" t="s">
        <v>4981</v>
      </c>
      <c r="N189" t="s">
        <v>4979</v>
      </c>
      <c r="O189" t="s">
        <v>4972</v>
      </c>
      <c r="P189" t="s">
        <v>1241</v>
      </c>
      <c r="R189">
        <v>1998</v>
      </c>
      <c r="S189">
        <v>900</v>
      </c>
      <c r="U189" t="s">
        <v>4840</v>
      </c>
      <c r="V189">
        <v>2019</v>
      </c>
      <c r="W189">
        <v>32.31707317</v>
      </c>
      <c r="X189" s="89">
        <f>ABS(IF(Table2929[[#This Row],[performance_2]]&lt;&gt;"", IF(Table2929[[#This Row],[performance_1]]&lt;&gt;"",(Table2929[[#This Row],[performance_1]]-Table2929[[#This Row],[performance_2]])/Table2929[[#This Row],[performance_1]],""), ""))</f>
        <v>0.32317073170731708</v>
      </c>
      <c r="Y189" s="55">
        <f>Table2929[[#This Row],[total_cost]]/Table2929[[#This Row],[cfa_post]]</f>
        <v>0.58711111111111114</v>
      </c>
      <c r="Z189" s="55">
        <f>Table2929[[#This Row],[total_cost]]/INDEX(CPI!$A$3:$C$31,MATCH(Table2929[[#This Row],[start_year]],CPI!$A$3:$A$31,0),3)</f>
        <v>628.41783339851384</v>
      </c>
      <c r="AA189" s="55">
        <f>Table2929[[#This Row],[$/sqft]]/INDEX(CPI!$A$3:$C$31,MATCH(Table2929[[#This Row],[start_year]],CPI!$A$3:$A$31,0),3)</f>
        <v>0.69824203710945998</v>
      </c>
      <c r="AB189" s="55" t="s">
        <v>71</v>
      </c>
    </row>
    <row r="190" spans="1:28" x14ac:dyDescent="0.2">
      <c r="A190" t="s">
        <v>5303</v>
      </c>
      <c r="B190">
        <v>5167</v>
      </c>
      <c r="C190">
        <v>13021</v>
      </c>
      <c r="D190" t="s">
        <v>5186</v>
      </c>
      <c r="E190" t="s">
        <v>4832</v>
      </c>
      <c r="F190" t="s">
        <v>5187</v>
      </c>
      <c r="G190" t="s">
        <v>1241</v>
      </c>
      <c r="H190">
        <v>40</v>
      </c>
      <c r="I190" t="s">
        <v>5191</v>
      </c>
      <c r="J190">
        <v>27</v>
      </c>
      <c r="K190" t="s">
        <v>5192</v>
      </c>
      <c r="L190">
        <v>660.34</v>
      </c>
      <c r="M190" t="s">
        <v>5000</v>
      </c>
      <c r="N190" t="s">
        <v>4979</v>
      </c>
      <c r="O190" t="s">
        <v>4838</v>
      </c>
      <c r="P190" t="s">
        <v>1241</v>
      </c>
      <c r="R190">
        <v>1978</v>
      </c>
      <c r="S190">
        <v>1248</v>
      </c>
      <c r="U190" t="s">
        <v>4840</v>
      </c>
      <c r="V190">
        <v>2018</v>
      </c>
      <c r="W190">
        <v>32.5</v>
      </c>
      <c r="X190" s="89">
        <f>ABS(IF(Table2929[[#This Row],[performance_2]]&lt;&gt;"", IF(Table2929[[#This Row],[performance_1]]&lt;&gt;"",(Table2929[[#This Row],[performance_1]]-Table2929[[#This Row],[performance_2]])/Table2929[[#This Row],[performance_1]],""), ""))</f>
        <v>0.32500000000000001</v>
      </c>
      <c r="Y190" s="55">
        <f>Table2929[[#This Row],[total_cost]]/Table2929[[#This Row],[cfa_post]]</f>
        <v>0.52911858974358972</v>
      </c>
      <c r="Z190" s="55">
        <f>Table2929[[#This Row],[total_cost]]/INDEX(CPI!$A$3:$C$31,MATCH(Table2929[[#This Row],[start_year]],CPI!$A$3:$A$31,0),3)</f>
        <v>799.71881322182412</v>
      </c>
      <c r="AA190" s="55">
        <f>Table2929[[#This Row],[$/sqft]]/INDEX(CPI!$A$3:$C$31,MATCH(Table2929[[#This Row],[start_year]],CPI!$A$3:$A$31,0),3)</f>
        <v>0.64080033110723078</v>
      </c>
      <c r="AB190" s="55" t="s">
        <v>71</v>
      </c>
    </row>
    <row r="191" spans="1:28" x14ac:dyDescent="0.2">
      <c r="A191" t="s">
        <v>5303</v>
      </c>
      <c r="B191">
        <v>5115</v>
      </c>
      <c r="C191">
        <v>12698</v>
      </c>
      <c r="D191" t="s">
        <v>5186</v>
      </c>
      <c r="E191" t="s">
        <v>4832</v>
      </c>
      <c r="F191" t="s">
        <v>5187</v>
      </c>
      <c r="G191" t="s">
        <v>1241</v>
      </c>
      <c r="H191">
        <v>89</v>
      </c>
      <c r="I191" t="s">
        <v>5191</v>
      </c>
      <c r="J191">
        <v>60</v>
      </c>
      <c r="K191" t="s">
        <v>5192</v>
      </c>
      <c r="L191">
        <v>264.14</v>
      </c>
      <c r="M191" t="s">
        <v>4900</v>
      </c>
      <c r="N191" t="s">
        <v>4979</v>
      </c>
      <c r="O191" t="s">
        <v>4838</v>
      </c>
      <c r="P191" t="s">
        <v>1241</v>
      </c>
      <c r="R191">
        <v>1972</v>
      </c>
      <c r="S191">
        <v>1200</v>
      </c>
      <c r="U191" t="s">
        <v>4840</v>
      </c>
      <c r="V191">
        <v>2018</v>
      </c>
      <c r="W191">
        <v>32.584269659999997</v>
      </c>
      <c r="X191" s="89">
        <f>ABS(IF(Table2929[[#This Row],[performance_2]]&lt;&gt;"", IF(Table2929[[#This Row],[performance_1]]&lt;&gt;"",(Table2929[[#This Row],[performance_1]]-Table2929[[#This Row],[performance_2]])/Table2929[[#This Row],[performance_1]],""), ""))</f>
        <v>0.3258426966292135</v>
      </c>
      <c r="Y191" s="55">
        <f>Table2929[[#This Row],[total_cost]]/Table2929[[#This Row],[cfa_post]]</f>
        <v>0.22011666666666665</v>
      </c>
      <c r="Z191" s="55">
        <f>Table2929[[#This Row],[total_cost]]/INDEX(CPI!$A$3:$C$31,MATCH(Table2929[[#This Row],[start_year]],CPI!$A$3:$A$31,0),3)</f>
        <v>319.89236957387499</v>
      </c>
      <c r="AA191" s="55">
        <f>Table2929[[#This Row],[$/sqft]]/INDEX(CPI!$A$3:$C$31,MATCH(Table2929[[#This Row],[start_year]],CPI!$A$3:$A$31,0),3)</f>
        <v>0.26657697464489583</v>
      </c>
      <c r="AB191" s="55" t="s">
        <v>71</v>
      </c>
    </row>
    <row r="192" spans="1:28" x14ac:dyDescent="0.2">
      <c r="A192" t="s">
        <v>5303</v>
      </c>
      <c r="B192">
        <v>5220</v>
      </c>
      <c r="C192">
        <v>13312</v>
      </c>
      <c r="D192" t="s">
        <v>5186</v>
      </c>
      <c r="E192" t="s">
        <v>4832</v>
      </c>
      <c r="F192" t="s">
        <v>5187</v>
      </c>
      <c r="G192" t="s">
        <v>1241</v>
      </c>
      <c r="H192">
        <v>600</v>
      </c>
      <c r="I192" t="s">
        <v>5191</v>
      </c>
      <c r="J192">
        <v>404</v>
      </c>
      <c r="K192" t="s">
        <v>5192</v>
      </c>
      <c r="L192">
        <v>859.77</v>
      </c>
      <c r="M192" t="s">
        <v>4900</v>
      </c>
      <c r="N192" t="s">
        <v>4979</v>
      </c>
      <c r="O192" t="s">
        <v>4838</v>
      </c>
      <c r="P192" t="s">
        <v>4844</v>
      </c>
      <c r="R192">
        <v>1953</v>
      </c>
      <c r="S192">
        <v>2300</v>
      </c>
      <c r="U192" t="s">
        <v>4840</v>
      </c>
      <c r="V192">
        <v>2018</v>
      </c>
      <c r="W192">
        <v>32.666666669999998</v>
      </c>
      <c r="X192" s="89">
        <f>ABS(IF(Table2929[[#This Row],[performance_2]]&lt;&gt;"", IF(Table2929[[#This Row],[performance_1]]&lt;&gt;"",(Table2929[[#This Row],[performance_1]]-Table2929[[#This Row],[performance_2]])/Table2929[[#This Row],[performance_1]],""), ""))</f>
        <v>0.32666666666666666</v>
      </c>
      <c r="Y192" s="55">
        <f>Table2929[[#This Row],[total_cost]]/Table2929[[#This Row],[cfa_post]]</f>
        <v>0.37381304347826089</v>
      </c>
      <c r="Z192" s="55">
        <f>Table2929[[#This Row],[total_cost]]/INDEX(CPI!$A$3:$C$31,MATCH(Table2929[[#This Row],[start_year]],CPI!$A$3:$A$31,0),3)</f>
        <v>1041.242759856631</v>
      </c>
      <c r="AA192" s="55">
        <f>Table2929[[#This Row],[$/sqft]]/INDEX(CPI!$A$3:$C$31,MATCH(Table2929[[#This Row],[start_year]],CPI!$A$3:$A$31,0),3)</f>
        <v>0.45271424341592653</v>
      </c>
      <c r="AB192" s="55" t="s">
        <v>71</v>
      </c>
    </row>
    <row r="193" spans="1:28" x14ac:dyDescent="0.2">
      <c r="A193" t="s">
        <v>5303</v>
      </c>
      <c r="B193">
        <v>5155</v>
      </c>
      <c r="C193">
        <v>12949</v>
      </c>
      <c r="D193" t="s">
        <v>5186</v>
      </c>
      <c r="E193" t="s">
        <v>4832</v>
      </c>
      <c r="F193" t="s">
        <v>5187</v>
      </c>
      <c r="G193" t="s">
        <v>1241</v>
      </c>
      <c r="H193">
        <v>325</v>
      </c>
      <c r="I193" t="s">
        <v>5191</v>
      </c>
      <c r="J193">
        <v>218</v>
      </c>
      <c r="K193" t="s">
        <v>5192</v>
      </c>
      <c r="L193">
        <v>1856.5</v>
      </c>
      <c r="M193" t="s">
        <v>5000</v>
      </c>
      <c r="N193" t="s">
        <v>4979</v>
      </c>
      <c r="O193" t="s">
        <v>4838</v>
      </c>
      <c r="P193" t="s">
        <v>4844</v>
      </c>
      <c r="R193">
        <v>1993</v>
      </c>
      <c r="S193">
        <v>1167</v>
      </c>
      <c r="U193" t="s">
        <v>4840</v>
      </c>
      <c r="V193">
        <v>2017</v>
      </c>
      <c r="W193">
        <v>32.92307692</v>
      </c>
      <c r="X193" s="89">
        <f>ABS(IF(Table2929[[#This Row],[performance_2]]&lt;&gt;"", IF(Table2929[[#This Row],[performance_1]]&lt;&gt;"",(Table2929[[#This Row],[performance_1]]-Table2929[[#This Row],[performance_2]])/Table2929[[#This Row],[performance_1]],""), ""))</f>
        <v>0.32923076923076922</v>
      </c>
      <c r="Y193" s="55">
        <f>Table2929[[#This Row],[total_cost]]/Table2929[[#This Row],[cfa_post]]</f>
        <v>1.5908311910882604</v>
      </c>
      <c r="Z193" s="55">
        <f>Table2929[[#This Row],[total_cost]]/INDEX(CPI!$A$3:$C$31,MATCH(Table2929[[#This Row],[start_year]],CPI!$A$3:$A$31,0),3)</f>
        <v>2303.3931048551613</v>
      </c>
      <c r="AA193" s="55">
        <f>Table2929[[#This Row],[$/sqft]]/INDEX(CPI!$A$3:$C$31,MATCH(Table2929[[#This Row],[start_year]],CPI!$A$3:$A$31,0),3)</f>
        <v>1.9737730118724603</v>
      </c>
      <c r="AB193" s="55" t="s">
        <v>71</v>
      </c>
    </row>
    <row r="194" spans="1:28" x14ac:dyDescent="0.2">
      <c r="A194" t="s">
        <v>5303</v>
      </c>
      <c r="B194">
        <v>5200</v>
      </c>
      <c r="C194">
        <v>13202</v>
      </c>
      <c r="D194" t="s">
        <v>5186</v>
      </c>
      <c r="E194" t="s">
        <v>4832</v>
      </c>
      <c r="F194" t="s">
        <v>5187</v>
      </c>
      <c r="G194" t="s">
        <v>1241</v>
      </c>
      <c r="H194">
        <v>150</v>
      </c>
      <c r="I194" t="s">
        <v>5191</v>
      </c>
      <c r="J194">
        <v>100</v>
      </c>
      <c r="K194" t="s">
        <v>5192</v>
      </c>
      <c r="L194">
        <v>222.46</v>
      </c>
      <c r="M194" t="s">
        <v>4980</v>
      </c>
      <c r="N194" t="s">
        <v>4979</v>
      </c>
      <c r="O194" t="s">
        <v>4972</v>
      </c>
      <c r="P194" t="s">
        <v>4844</v>
      </c>
      <c r="R194">
        <v>1996</v>
      </c>
      <c r="S194">
        <v>850</v>
      </c>
      <c r="U194" t="s">
        <v>4840</v>
      </c>
      <c r="V194">
        <v>2018</v>
      </c>
      <c r="W194">
        <v>33.333333330000002</v>
      </c>
      <c r="X194" s="89">
        <f>ABS(IF(Table2929[[#This Row],[performance_2]]&lt;&gt;"", IF(Table2929[[#This Row],[performance_1]]&lt;&gt;"",(Table2929[[#This Row],[performance_1]]-Table2929[[#This Row],[performance_2]])/Table2929[[#This Row],[performance_1]],""), ""))</f>
        <v>0.33333333333333331</v>
      </c>
      <c r="Y194" s="55">
        <f>Table2929[[#This Row],[total_cost]]/Table2929[[#This Row],[cfa_post]]</f>
        <v>0.26171764705882355</v>
      </c>
      <c r="Z194" s="55">
        <f>Table2929[[#This Row],[total_cost]]/INDEX(CPI!$A$3:$C$31,MATCH(Table2929[[#This Row],[start_year]],CPI!$A$3:$A$31,0),3)</f>
        <v>269.41491835921948</v>
      </c>
      <c r="AA194" s="55">
        <f>Table2929[[#This Row],[$/sqft]]/INDEX(CPI!$A$3:$C$31,MATCH(Table2929[[#This Row],[start_year]],CPI!$A$3:$A$31,0),3)</f>
        <v>0.31695872748143467</v>
      </c>
      <c r="AB194" s="55" t="s">
        <v>71</v>
      </c>
    </row>
    <row r="195" spans="1:28" x14ac:dyDescent="0.2">
      <c r="A195" t="s">
        <v>5303</v>
      </c>
      <c r="B195">
        <v>4022</v>
      </c>
      <c r="C195">
        <v>11093</v>
      </c>
      <c r="D195" t="s">
        <v>5186</v>
      </c>
      <c r="E195" t="s">
        <v>4832</v>
      </c>
      <c r="F195" t="s">
        <v>5187</v>
      </c>
      <c r="G195" t="s">
        <v>1241</v>
      </c>
      <c r="H195">
        <v>208</v>
      </c>
      <c r="I195" t="s">
        <v>5191</v>
      </c>
      <c r="J195">
        <v>138</v>
      </c>
      <c r="K195" t="s">
        <v>5192</v>
      </c>
      <c r="L195">
        <v>346.13</v>
      </c>
      <c r="M195" t="s">
        <v>4971</v>
      </c>
      <c r="N195" t="s">
        <v>4969</v>
      </c>
      <c r="O195" t="s">
        <v>4838</v>
      </c>
      <c r="P195" t="s">
        <v>1241</v>
      </c>
      <c r="R195">
        <v>2003</v>
      </c>
      <c r="S195">
        <v>2586</v>
      </c>
      <c r="U195" t="s">
        <v>4840</v>
      </c>
      <c r="V195">
        <v>2019</v>
      </c>
      <c r="W195">
        <v>33.65384615</v>
      </c>
      <c r="X195" s="89">
        <f>ABS(IF(Table2929[[#This Row],[performance_2]]&lt;&gt;"", IF(Table2929[[#This Row],[performance_1]]&lt;&gt;"",(Table2929[[#This Row],[performance_1]]-Table2929[[#This Row],[performance_2]])/Table2929[[#This Row],[performance_1]],""), ""))</f>
        <v>0.33653846153846156</v>
      </c>
      <c r="Y195" s="55">
        <f>Table2929[[#This Row],[total_cost]]/Table2929[[#This Row],[cfa_post]]</f>
        <v>0.13384764114462491</v>
      </c>
      <c r="Z195" s="55">
        <f>Table2929[[#This Row],[total_cost]]/INDEX(CPI!$A$3:$C$31,MATCH(Table2929[[#This Row],[start_year]],CPI!$A$3:$A$31,0),3)</f>
        <v>411.64698083691826</v>
      </c>
      <c r="AA195" s="55">
        <f>Table2929[[#This Row],[$/sqft]]/INDEX(CPI!$A$3:$C$31,MATCH(Table2929[[#This Row],[start_year]],CPI!$A$3:$A$31,0),3)</f>
        <v>0.15918290055565287</v>
      </c>
      <c r="AB195" s="55" t="s">
        <v>71</v>
      </c>
    </row>
    <row r="196" spans="1:28" hidden="1" x14ac:dyDescent="0.2">
      <c r="A196" t="s">
        <v>5303</v>
      </c>
      <c r="B196">
        <v>4058</v>
      </c>
      <c r="C196">
        <v>11248</v>
      </c>
      <c r="D196" t="s">
        <v>5186</v>
      </c>
      <c r="E196" t="s">
        <v>4832</v>
      </c>
      <c r="F196" t="s">
        <v>5187</v>
      </c>
      <c r="G196" t="s">
        <v>1241</v>
      </c>
      <c r="H196">
        <v>238</v>
      </c>
      <c r="I196" t="s">
        <v>5191</v>
      </c>
      <c r="J196">
        <v>47</v>
      </c>
      <c r="K196" t="s">
        <v>5192</v>
      </c>
      <c r="M196" t="s">
        <v>4970</v>
      </c>
      <c r="N196" t="s">
        <v>4969</v>
      </c>
      <c r="O196" t="s">
        <v>4838</v>
      </c>
      <c r="P196" t="s">
        <v>4844</v>
      </c>
      <c r="R196">
        <v>1978</v>
      </c>
      <c r="S196">
        <v>1632</v>
      </c>
      <c r="U196" t="s">
        <v>4840</v>
      </c>
      <c r="V196">
        <v>2019</v>
      </c>
      <c r="W196">
        <v>80.252100839999997</v>
      </c>
      <c r="Y196" s="55">
        <f>Table2929[[#This Row],[total_cost]]/Table2929[[#This Row],[cfa_post]]</f>
        <v>0</v>
      </c>
      <c r="Z196" s="55">
        <f>Table2929[[#This Row],[total_cost]]/INDEX(CPI!$A$3:$C$31,MATCH(Table2929[[#This Row],[start_year]],CPI!$A$3:$A$31,0),3)</f>
        <v>0</v>
      </c>
      <c r="AA196" s="55">
        <f>Table2929[[#This Row],[$/sqft]]/INDEX(CPI!$A$3:$C$31,MATCH(Table2929[[#This Row],[start_year]],CPI!$A$3:$A$31,0),3)</f>
        <v>0</v>
      </c>
      <c r="AB196" s="55" t="s">
        <v>72</v>
      </c>
    </row>
    <row r="197" spans="1:28" x14ac:dyDescent="0.2">
      <c r="A197" t="s">
        <v>5303</v>
      </c>
      <c r="B197">
        <v>5116</v>
      </c>
      <c r="C197">
        <v>12705</v>
      </c>
      <c r="D197" t="s">
        <v>5186</v>
      </c>
      <c r="E197" t="s">
        <v>4832</v>
      </c>
      <c r="F197" t="s">
        <v>5187</v>
      </c>
      <c r="G197" t="s">
        <v>1241</v>
      </c>
      <c r="H197">
        <v>122</v>
      </c>
      <c r="I197" t="s">
        <v>5191</v>
      </c>
      <c r="J197">
        <v>80</v>
      </c>
      <c r="K197" t="s">
        <v>5192</v>
      </c>
      <c r="L197">
        <v>522.54999999999995</v>
      </c>
      <c r="M197" t="s">
        <v>4900</v>
      </c>
      <c r="N197" t="s">
        <v>4979</v>
      </c>
      <c r="O197" t="s">
        <v>4838</v>
      </c>
      <c r="P197" t="s">
        <v>4844</v>
      </c>
      <c r="R197">
        <v>1980</v>
      </c>
      <c r="S197">
        <v>1550</v>
      </c>
      <c r="U197" t="s">
        <v>4840</v>
      </c>
      <c r="V197">
        <v>2019</v>
      </c>
      <c r="W197">
        <v>34.426229509999999</v>
      </c>
      <c r="X197" s="89">
        <f>ABS(IF(Table2929[[#This Row],[performance_2]]&lt;&gt;"", IF(Table2929[[#This Row],[performance_1]]&lt;&gt;"",(Table2929[[#This Row],[performance_1]]-Table2929[[#This Row],[performance_2]])/Table2929[[#This Row],[performance_1]],""), ""))</f>
        <v>0.34426229508196721</v>
      </c>
      <c r="Y197" s="55">
        <f>Table2929[[#This Row],[total_cost]]/Table2929[[#This Row],[cfa_post]]</f>
        <v>0.33712903225806451</v>
      </c>
      <c r="Z197" s="55">
        <f>Table2929[[#This Row],[total_cost]]/INDEX(CPI!$A$3:$C$31,MATCH(Table2929[[#This Row],[start_year]],CPI!$A$3:$A$31,0),3)</f>
        <v>621.46052014078998</v>
      </c>
      <c r="AA197" s="55">
        <f>Table2929[[#This Row],[$/sqft]]/INDEX(CPI!$A$3:$C$31,MATCH(Table2929[[#This Row],[start_year]],CPI!$A$3:$A$31,0),3)</f>
        <v>0.40094227105857422</v>
      </c>
      <c r="AB197" s="55" t="s">
        <v>71</v>
      </c>
    </row>
    <row r="198" spans="1:28" x14ac:dyDescent="0.2">
      <c r="A198" t="s">
        <v>5303</v>
      </c>
      <c r="B198">
        <v>5098</v>
      </c>
      <c r="C198">
        <v>12589</v>
      </c>
      <c r="D198" t="s">
        <v>5186</v>
      </c>
      <c r="E198" t="s">
        <v>4832</v>
      </c>
      <c r="F198" t="s">
        <v>5187</v>
      </c>
      <c r="G198" t="s">
        <v>1241</v>
      </c>
      <c r="H198">
        <v>122</v>
      </c>
      <c r="I198" t="s">
        <v>5191</v>
      </c>
      <c r="J198">
        <v>79</v>
      </c>
      <c r="K198" t="s">
        <v>5192</v>
      </c>
      <c r="L198">
        <v>620.65</v>
      </c>
      <c r="M198" t="s">
        <v>4987</v>
      </c>
      <c r="N198" t="s">
        <v>4979</v>
      </c>
      <c r="O198" t="s">
        <v>4972</v>
      </c>
      <c r="P198" t="s">
        <v>4844</v>
      </c>
      <c r="R198">
        <v>2007</v>
      </c>
      <c r="S198">
        <v>1800</v>
      </c>
      <c r="U198" t="s">
        <v>4840</v>
      </c>
      <c r="V198">
        <v>2019</v>
      </c>
      <c r="W198">
        <v>35.24590164</v>
      </c>
      <c r="X198" s="89">
        <f>ABS(IF(Table2929[[#This Row],[performance_2]]&lt;&gt;"", IF(Table2929[[#This Row],[performance_1]]&lt;&gt;"",(Table2929[[#This Row],[performance_1]]-Table2929[[#This Row],[performance_2]])/Table2929[[#This Row],[performance_1]],""), ""))</f>
        <v>0.35245901639344263</v>
      </c>
      <c r="Y198" s="55">
        <f>Table2929[[#This Row],[total_cost]]/Table2929[[#This Row],[cfa_post]]</f>
        <v>0.34480555555555553</v>
      </c>
      <c r="Z198" s="55">
        <f>Table2929[[#This Row],[total_cost]]/INDEX(CPI!$A$3:$C$31,MATCH(Table2929[[#This Row],[start_year]],CPI!$A$3:$A$31,0),3)</f>
        <v>738.12931169339072</v>
      </c>
      <c r="AA198" s="55">
        <f>Table2929[[#This Row],[$/sqft]]/INDEX(CPI!$A$3:$C$31,MATCH(Table2929[[#This Row],[start_year]],CPI!$A$3:$A$31,0),3)</f>
        <v>0.4100718398296615</v>
      </c>
      <c r="AB198" s="55" t="s">
        <v>71</v>
      </c>
    </row>
    <row r="199" spans="1:28" x14ac:dyDescent="0.2">
      <c r="A199" t="s">
        <v>5303</v>
      </c>
      <c r="B199">
        <v>5235</v>
      </c>
      <c r="C199">
        <v>13394</v>
      </c>
      <c r="D199" t="s">
        <v>5186</v>
      </c>
      <c r="E199" t="s">
        <v>4832</v>
      </c>
      <c r="F199" t="s">
        <v>5187</v>
      </c>
      <c r="G199" t="s">
        <v>1241</v>
      </c>
      <c r="H199">
        <v>387</v>
      </c>
      <c r="I199" t="s">
        <v>5191</v>
      </c>
      <c r="J199">
        <v>250</v>
      </c>
      <c r="K199" t="s">
        <v>5192</v>
      </c>
      <c r="L199">
        <v>1339.14</v>
      </c>
      <c r="M199" t="s">
        <v>4900</v>
      </c>
      <c r="N199" t="s">
        <v>4979</v>
      </c>
      <c r="O199" t="s">
        <v>4972</v>
      </c>
      <c r="P199" t="s">
        <v>4844</v>
      </c>
      <c r="R199">
        <v>1998</v>
      </c>
      <c r="S199">
        <v>1809</v>
      </c>
      <c r="U199" t="s">
        <v>4840</v>
      </c>
      <c r="V199">
        <v>2018</v>
      </c>
      <c r="W199">
        <v>35.400516799999998</v>
      </c>
      <c r="X199" s="89">
        <f>ABS(IF(Table2929[[#This Row],[performance_2]]&lt;&gt;"", IF(Table2929[[#This Row],[performance_1]]&lt;&gt;"",(Table2929[[#This Row],[performance_1]]-Table2929[[#This Row],[performance_2]])/Table2929[[#This Row],[performance_1]],""), ""))</f>
        <v>0.35400516795865633</v>
      </c>
      <c r="Y199" s="55">
        <f>Table2929[[#This Row],[total_cost]]/Table2929[[#This Row],[cfa_post]]</f>
        <v>0.74026533996683253</v>
      </c>
      <c r="Z199" s="55">
        <f>Table2929[[#This Row],[total_cost]]/INDEX(CPI!$A$3:$C$31,MATCH(Table2929[[#This Row],[start_year]],CPI!$A$3:$A$31,0),3)</f>
        <v>1621.7940023894864</v>
      </c>
      <c r="AA199" s="55">
        <f>Table2929[[#This Row],[$/sqft]]/INDEX(CPI!$A$3:$C$31,MATCH(Table2929[[#This Row],[start_year]],CPI!$A$3:$A$31,0),3)</f>
        <v>0.89651409750662603</v>
      </c>
      <c r="AB199" s="55" t="s">
        <v>71</v>
      </c>
    </row>
    <row r="200" spans="1:28" x14ac:dyDescent="0.2">
      <c r="A200" t="s">
        <v>5303</v>
      </c>
      <c r="B200">
        <v>5152</v>
      </c>
      <c r="C200">
        <v>12928</v>
      </c>
      <c r="D200" t="s">
        <v>5186</v>
      </c>
      <c r="E200" t="s">
        <v>4832</v>
      </c>
      <c r="F200" t="s">
        <v>5187</v>
      </c>
      <c r="G200" t="s">
        <v>1241</v>
      </c>
      <c r="H200">
        <v>150</v>
      </c>
      <c r="I200" t="s">
        <v>5191</v>
      </c>
      <c r="J200">
        <v>94</v>
      </c>
      <c r="K200" t="s">
        <v>5192</v>
      </c>
      <c r="L200">
        <v>582.5</v>
      </c>
      <c r="M200" t="s">
        <v>4999</v>
      </c>
      <c r="N200" t="s">
        <v>4979</v>
      </c>
      <c r="O200" t="s">
        <v>4838</v>
      </c>
      <c r="P200" t="s">
        <v>4844</v>
      </c>
      <c r="R200">
        <v>1993</v>
      </c>
      <c r="S200">
        <v>1200</v>
      </c>
      <c r="U200" t="s">
        <v>4840</v>
      </c>
      <c r="V200">
        <v>2019</v>
      </c>
      <c r="W200">
        <v>37.333333330000002</v>
      </c>
      <c r="X200" s="89">
        <f>ABS(IF(Table2929[[#This Row],[performance_2]]&lt;&gt;"", IF(Table2929[[#This Row],[performance_1]]&lt;&gt;"",(Table2929[[#This Row],[performance_1]]-Table2929[[#This Row],[performance_2]])/Table2929[[#This Row],[performance_1]],""), ""))</f>
        <v>0.37333333333333335</v>
      </c>
      <c r="Y200" s="55">
        <f>Table2929[[#This Row],[total_cost]]/Table2929[[#This Row],[cfa_post]]</f>
        <v>0.48541666666666666</v>
      </c>
      <c r="Z200" s="55">
        <f>Table2929[[#This Row],[total_cost]]/INDEX(CPI!$A$3:$C$31,MATCH(Table2929[[#This Row],[start_year]],CPI!$A$3:$A$31,0),3)</f>
        <v>692.75811497849043</v>
      </c>
      <c r="AA200" s="55">
        <f>Table2929[[#This Row],[$/sqft]]/INDEX(CPI!$A$3:$C$31,MATCH(Table2929[[#This Row],[start_year]],CPI!$A$3:$A$31,0),3)</f>
        <v>0.57729842914874208</v>
      </c>
      <c r="AB200" s="55" t="s">
        <v>71</v>
      </c>
    </row>
    <row r="201" spans="1:28" hidden="1" x14ac:dyDescent="0.2">
      <c r="A201" t="s">
        <v>5303</v>
      </c>
      <c r="B201">
        <v>5005</v>
      </c>
      <c r="C201">
        <v>12030</v>
      </c>
      <c r="D201" t="s">
        <v>5186</v>
      </c>
      <c r="E201" t="s">
        <v>4832</v>
      </c>
      <c r="F201" t="s">
        <v>5187</v>
      </c>
      <c r="G201" t="s">
        <v>1241</v>
      </c>
      <c r="I201" t="s">
        <v>5191</v>
      </c>
      <c r="K201" t="s">
        <v>5192</v>
      </c>
      <c r="L201">
        <v>1500</v>
      </c>
      <c r="M201" t="s">
        <v>4983</v>
      </c>
      <c r="N201" t="s">
        <v>4979</v>
      </c>
      <c r="O201" t="s">
        <v>4838</v>
      </c>
      <c r="P201" t="s">
        <v>1241</v>
      </c>
      <c r="R201">
        <v>1982</v>
      </c>
      <c r="S201">
        <v>1000</v>
      </c>
      <c r="U201" t="s">
        <v>4840</v>
      </c>
      <c r="V201">
        <v>2018</v>
      </c>
      <c r="X201" t="str">
        <f>IF(Table2929[[#This Row],[performance_2]]&lt;&gt;"", IF(Table2929[[#This Row],[performance_1]]&lt;&gt;"",(Table2929[[#This Row],[performance_1]]-Table2929[[#This Row],[performance_2]])/Table2929[[#This Row],[performance_1]],""), "")</f>
        <v/>
      </c>
      <c r="Y201" s="55">
        <f>Table2929[[#This Row],[total_cost]]/Table2929[[#This Row],[cfa_post]]</f>
        <v>1.5</v>
      </c>
      <c r="Z201" s="55">
        <f>Table2929[[#This Row],[total_cost]]/INDEX(CPI!$A$3:$C$31,MATCH(Table2929[[#This Row],[start_year]],CPI!$A$3:$A$31,0),3)</f>
        <v>1816.6069295101554</v>
      </c>
      <c r="AA201" s="55">
        <f>Table2929[[#This Row],[$/sqft]]/INDEX(CPI!$A$3:$C$31,MATCH(Table2929[[#This Row],[start_year]],CPI!$A$3:$A$31,0),3)</f>
        <v>1.8166069295101555</v>
      </c>
      <c r="AB201" s="55" t="s">
        <v>72</v>
      </c>
    </row>
    <row r="202" spans="1:28" x14ac:dyDescent="0.2">
      <c r="A202" t="s">
        <v>5303</v>
      </c>
      <c r="B202">
        <v>5063</v>
      </c>
      <c r="C202">
        <v>12391</v>
      </c>
      <c r="D202" t="s">
        <v>5186</v>
      </c>
      <c r="E202" t="s">
        <v>4832</v>
      </c>
      <c r="F202" t="s">
        <v>5187</v>
      </c>
      <c r="G202" t="s">
        <v>1241</v>
      </c>
      <c r="H202">
        <v>104</v>
      </c>
      <c r="I202" t="s">
        <v>5191</v>
      </c>
      <c r="J202">
        <v>65</v>
      </c>
      <c r="K202" t="s">
        <v>5192</v>
      </c>
      <c r="L202">
        <v>645.70000000000005</v>
      </c>
      <c r="M202" t="s">
        <v>4980</v>
      </c>
      <c r="N202" t="s">
        <v>4979</v>
      </c>
      <c r="O202" t="s">
        <v>4972</v>
      </c>
      <c r="P202" t="s">
        <v>4844</v>
      </c>
      <c r="R202">
        <v>2001</v>
      </c>
      <c r="S202">
        <v>2000</v>
      </c>
      <c r="U202" t="s">
        <v>4840</v>
      </c>
      <c r="V202">
        <v>2019</v>
      </c>
      <c r="W202">
        <v>37.5</v>
      </c>
      <c r="X202" s="89">
        <f>ABS(IF(Table2929[[#This Row],[performance_2]]&lt;&gt;"", IF(Table2929[[#This Row],[performance_1]]&lt;&gt;"",(Table2929[[#This Row],[performance_1]]-Table2929[[#This Row],[performance_2]])/Table2929[[#This Row],[performance_1]],""), ""))</f>
        <v>0.375</v>
      </c>
      <c r="Y202" s="55">
        <f>Table2929[[#This Row],[total_cost]]/Table2929[[#This Row],[cfa_post]]</f>
        <v>0.32285000000000003</v>
      </c>
      <c r="Z202" s="55">
        <f>Table2929[[#This Row],[total_cost]]/INDEX(CPI!$A$3:$C$31,MATCH(Table2929[[#This Row],[start_year]],CPI!$A$3:$A$31,0),3)</f>
        <v>767.92088384825979</v>
      </c>
      <c r="AA202" s="55">
        <f>Table2929[[#This Row],[$/sqft]]/INDEX(CPI!$A$3:$C$31,MATCH(Table2929[[#This Row],[start_year]],CPI!$A$3:$A$31,0),3)</f>
        <v>0.38396044192412987</v>
      </c>
      <c r="AB202" s="55" t="s">
        <v>71</v>
      </c>
    </row>
    <row r="203" spans="1:28" hidden="1" x14ac:dyDescent="0.2">
      <c r="A203" t="s">
        <v>5303</v>
      </c>
      <c r="B203">
        <v>5007</v>
      </c>
      <c r="C203">
        <v>12044</v>
      </c>
      <c r="D203" t="s">
        <v>5186</v>
      </c>
      <c r="E203" t="s">
        <v>4832</v>
      </c>
      <c r="F203" t="s">
        <v>5187</v>
      </c>
      <c r="G203" t="s">
        <v>1241</v>
      </c>
      <c r="I203" t="s">
        <v>5191</v>
      </c>
      <c r="K203" t="s">
        <v>5192</v>
      </c>
      <c r="L203">
        <v>2325</v>
      </c>
      <c r="M203" t="s">
        <v>4983</v>
      </c>
      <c r="N203" t="s">
        <v>4979</v>
      </c>
      <c r="O203" t="s">
        <v>4838</v>
      </c>
      <c r="P203" t="s">
        <v>4844</v>
      </c>
      <c r="R203">
        <v>1979</v>
      </c>
      <c r="S203">
        <v>1200</v>
      </c>
      <c r="U203" t="s">
        <v>4840</v>
      </c>
      <c r="V203">
        <v>2019</v>
      </c>
      <c r="X203" t="str">
        <f>IF(Table2929[[#This Row],[performance_2]]&lt;&gt;"", IF(Table2929[[#This Row],[performance_1]]&lt;&gt;"",(Table2929[[#This Row],[performance_1]]-Table2929[[#This Row],[performance_2]])/Table2929[[#This Row],[performance_1]],""), "")</f>
        <v/>
      </c>
      <c r="Y203" s="55">
        <f>Table2929[[#This Row],[total_cost]]/Table2929[[#This Row],[cfa_post]]</f>
        <v>1.9375</v>
      </c>
      <c r="Z203" s="55">
        <f>Table2929[[#This Row],[total_cost]]/INDEX(CPI!$A$3:$C$31,MATCH(Table2929[[#This Row],[start_year]],CPI!$A$3:$A$31,0),3)</f>
        <v>2765.0860383261638</v>
      </c>
      <c r="AA203" s="55">
        <f>Table2929[[#This Row],[$/sqft]]/INDEX(CPI!$A$3:$C$31,MATCH(Table2929[[#This Row],[start_year]],CPI!$A$3:$A$31,0),3)</f>
        <v>2.3042383652718028</v>
      </c>
      <c r="AB203" s="55" t="s">
        <v>72</v>
      </c>
    </row>
    <row r="204" spans="1:28" x14ac:dyDescent="0.2">
      <c r="A204" t="s">
        <v>5303</v>
      </c>
      <c r="B204">
        <v>4052</v>
      </c>
      <c r="C204">
        <v>11226</v>
      </c>
      <c r="D204" t="s">
        <v>5186</v>
      </c>
      <c r="E204" t="s">
        <v>4832</v>
      </c>
      <c r="F204" t="s">
        <v>5187</v>
      </c>
      <c r="G204" t="s">
        <v>1241</v>
      </c>
      <c r="H204">
        <v>192</v>
      </c>
      <c r="I204" t="s">
        <v>5191</v>
      </c>
      <c r="J204">
        <v>119</v>
      </c>
      <c r="K204" t="s">
        <v>5192</v>
      </c>
      <c r="L204">
        <v>712.5</v>
      </c>
      <c r="M204" t="s">
        <v>4970</v>
      </c>
      <c r="N204" t="s">
        <v>4969</v>
      </c>
      <c r="O204" t="s">
        <v>4838</v>
      </c>
      <c r="P204" t="s">
        <v>4844</v>
      </c>
      <c r="R204">
        <v>1989</v>
      </c>
      <c r="S204">
        <v>2350</v>
      </c>
      <c r="U204" t="s">
        <v>4840</v>
      </c>
      <c r="V204">
        <v>2019</v>
      </c>
      <c r="W204">
        <v>38.020833330000002</v>
      </c>
      <c r="X204" s="89">
        <f>ABS(IF(Table2929[[#This Row],[performance_2]]&lt;&gt;"", IF(Table2929[[#This Row],[performance_1]]&lt;&gt;"",(Table2929[[#This Row],[performance_1]]-Table2929[[#This Row],[performance_2]])/Table2929[[#This Row],[performance_1]],""), ""))</f>
        <v>0.38020833333333331</v>
      </c>
      <c r="Y204" s="55">
        <f>Table2929[[#This Row],[total_cost]]/Table2929[[#This Row],[cfa_post]]</f>
        <v>0.30319148936170215</v>
      </c>
      <c r="Z204" s="55">
        <f>Table2929[[#This Row],[total_cost]]/INDEX(CPI!$A$3:$C$31,MATCH(Table2929[[#This Row],[start_year]],CPI!$A$3:$A$31,0),3)</f>
        <v>847.36507626124364</v>
      </c>
      <c r="AA204" s="55">
        <f>Table2929[[#This Row],[$/sqft]]/INDEX(CPI!$A$3:$C$31,MATCH(Table2929[[#This Row],[start_year]],CPI!$A$3:$A$31,0),3)</f>
        <v>0.36058088351542289</v>
      </c>
      <c r="AB204" s="55" t="s">
        <v>71</v>
      </c>
    </row>
    <row r="205" spans="1:28" x14ac:dyDescent="0.2">
      <c r="A205" t="s">
        <v>5303</v>
      </c>
      <c r="B205">
        <v>5173</v>
      </c>
      <c r="C205">
        <v>13056</v>
      </c>
      <c r="D205" t="s">
        <v>5186</v>
      </c>
      <c r="E205" t="s">
        <v>4832</v>
      </c>
      <c r="F205" t="s">
        <v>5187</v>
      </c>
      <c r="G205" t="s">
        <v>1241</v>
      </c>
      <c r="H205">
        <v>145</v>
      </c>
      <c r="I205" t="s">
        <v>5191</v>
      </c>
      <c r="J205">
        <v>89</v>
      </c>
      <c r="K205" t="s">
        <v>5192</v>
      </c>
      <c r="L205">
        <v>1389.18</v>
      </c>
      <c r="M205" t="s">
        <v>4997</v>
      </c>
      <c r="N205" t="s">
        <v>4979</v>
      </c>
      <c r="O205" t="s">
        <v>4972</v>
      </c>
      <c r="P205" t="s">
        <v>1241</v>
      </c>
      <c r="R205">
        <v>2002</v>
      </c>
      <c r="S205">
        <v>2437</v>
      </c>
      <c r="U205" t="s">
        <v>4840</v>
      </c>
      <c r="V205">
        <v>2018</v>
      </c>
      <c r="W205">
        <v>38.620689659999996</v>
      </c>
      <c r="X205" s="89">
        <f>ABS(IF(Table2929[[#This Row],[performance_2]]&lt;&gt;"", IF(Table2929[[#This Row],[performance_1]]&lt;&gt;"",(Table2929[[#This Row],[performance_1]]-Table2929[[#This Row],[performance_2]])/Table2929[[#This Row],[performance_1]],""), ""))</f>
        <v>0.38620689655172413</v>
      </c>
      <c r="Y205" s="55">
        <f>Table2929[[#This Row],[total_cost]]/Table2929[[#This Row],[cfa_post]]</f>
        <v>0.57003693065244154</v>
      </c>
      <c r="Z205" s="55">
        <f>Table2929[[#This Row],[total_cost]]/INDEX(CPI!$A$3:$C$31,MATCH(Table2929[[#This Row],[start_year]],CPI!$A$3:$A$31,0),3)</f>
        <v>1682.3960095579453</v>
      </c>
      <c r="AA205" s="55">
        <f>Table2929[[#This Row],[$/sqft]]/INDEX(CPI!$A$3:$C$31,MATCH(Table2929[[#This Row],[start_year]],CPI!$A$3:$A$31,0),3)</f>
        <v>0.69035535886661681</v>
      </c>
      <c r="AB205" s="55" t="s">
        <v>71</v>
      </c>
    </row>
    <row r="206" spans="1:28" x14ac:dyDescent="0.2">
      <c r="A206" t="s">
        <v>5303</v>
      </c>
      <c r="B206">
        <v>5046</v>
      </c>
      <c r="C206">
        <v>12283</v>
      </c>
      <c r="D206" t="s">
        <v>5186</v>
      </c>
      <c r="E206" t="s">
        <v>4832</v>
      </c>
      <c r="F206" t="s">
        <v>5187</v>
      </c>
      <c r="G206" t="s">
        <v>1241</v>
      </c>
      <c r="H206">
        <v>203</v>
      </c>
      <c r="I206" t="s">
        <v>5191</v>
      </c>
      <c r="J206">
        <v>122</v>
      </c>
      <c r="K206" t="s">
        <v>5192</v>
      </c>
      <c r="L206">
        <v>563.6</v>
      </c>
      <c r="M206" t="s">
        <v>4988</v>
      </c>
      <c r="N206" t="s">
        <v>4979</v>
      </c>
      <c r="O206" t="s">
        <v>4972</v>
      </c>
      <c r="P206" t="s">
        <v>4844</v>
      </c>
      <c r="R206">
        <v>2001</v>
      </c>
      <c r="S206">
        <v>1750</v>
      </c>
      <c r="U206" t="s">
        <v>4840</v>
      </c>
      <c r="V206">
        <v>2020</v>
      </c>
      <c r="W206">
        <v>39.901477829999997</v>
      </c>
      <c r="X206" s="89">
        <f>ABS(IF(Table2929[[#This Row],[performance_2]]&lt;&gt;"", IF(Table2929[[#This Row],[performance_1]]&lt;&gt;"",(Table2929[[#This Row],[performance_1]]-Table2929[[#This Row],[performance_2]])/Table2929[[#This Row],[performance_1]],""), ""))</f>
        <v>0.39901477832512317</v>
      </c>
      <c r="Y206" s="55">
        <f>Table2929[[#This Row],[total_cost]]/Table2929[[#This Row],[cfa_post]]</f>
        <v>0.32205714285714288</v>
      </c>
      <c r="Z206" s="55">
        <f>Table2929[[#This Row],[total_cost]]/INDEX(CPI!$A$3:$C$31,MATCH(Table2929[[#This Row],[start_year]],CPI!$A$3:$A$31,0),3)</f>
        <v>662.2517774343122</v>
      </c>
      <c r="AA206" s="55">
        <f>Table2929[[#This Row],[$/sqft]]/INDEX(CPI!$A$3:$C$31,MATCH(Table2929[[#This Row],[start_year]],CPI!$A$3:$A$31,0),3)</f>
        <v>0.37842958710532132</v>
      </c>
      <c r="AB206" s="55" t="s">
        <v>71</v>
      </c>
    </row>
    <row r="207" spans="1:28" x14ac:dyDescent="0.2">
      <c r="A207" t="s">
        <v>5303</v>
      </c>
      <c r="B207">
        <v>5127</v>
      </c>
      <c r="C207">
        <v>12774</v>
      </c>
      <c r="D207" t="s">
        <v>5186</v>
      </c>
      <c r="E207" t="s">
        <v>4832</v>
      </c>
      <c r="F207" t="s">
        <v>5187</v>
      </c>
      <c r="G207" t="s">
        <v>1241</v>
      </c>
      <c r="H207">
        <v>239</v>
      </c>
      <c r="I207" t="s">
        <v>5191</v>
      </c>
      <c r="J207">
        <v>138</v>
      </c>
      <c r="K207" t="s">
        <v>5192</v>
      </c>
      <c r="L207">
        <v>767.8</v>
      </c>
      <c r="M207" t="s">
        <v>4988</v>
      </c>
      <c r="N207" t="s">
        <v>4979</v>
      </c>
      <c r="O207" t="s">
        <v>4972</v>
      </c>
      <c r="P207" t="s">
        <v>4844</v>
      </c>
      <c r="R207">
        <v>2000</v>
      </c>
      <c r="S207">
        <v>1824</v>
      </c>
      <c r="U207" t="s">
        <v>4840</v>
      </c>
      <c r="V207">
        <v>2019</v>
      </c>
      <c r="W207">
        <v>42.259414229999997</v>
      </c>
      <c r="X207" s="89">
        <f>ABS(IF(Table2929[[#This Row],[performance_2]]&lt;&gt;"", IF(Table2929[[#This Row],[performance_1]]&lt;&gt;"",(Table2929[[#This Row],[performance_1]]-Table2929[[#This Row],[performance_2]])/Table2929[[#This Row],[performance_1]],""), ""))</f>
        <v>0.42259414225941422</v>
      </c>
      <c r="Y207" s="55">
        <f>Table2929[[#This Row],[total_cost]]/Table2929[[#This Row],[cfa_post]]</f>
        <v>0.42094298245614031</v>
      </c>
      <c r="Z207" s="55">
        <f>Table2929[[#This Row],[total_cost]]/INDEX(CPI!$A$3:$C$31,MATCH(Table2929[[#This Row],[start_year]],CPI!$A$3:$A$31,0),3)</f>
        <v>913.13249902229177</v>
      </c>
      <c r="AA207" s="55">
        <f>Table2929[[#This Row],[$/sqft]]/INDEX(CPI!$A$3:$C$31,MATCH(Table2929[[#This Row],[start_year]],CPI!$A$3:$A$31,0),3)</f>
        <v>0.5006208876218704</v>
      </c>
      <c r="AB207" s="55" t="s">
        <v>71</v>
      </c>
    </row>
    <row r="208" spans="1:28" x14ac:dyDescent="0.2">
      <c r="A208" t="s">
        <v>5303</v>
      </c>
      <c r="B208">
        <v>5164</v>
      </c>
      <c r="C208">
        <v>13001</v>
      </c>
      <c r="D208" t="s">
        <v>5186</v>
      </c>
      <c r="E208" t="s">
        <v>4832</v>
      </c>
      <c r="F208" t="s">
        <v>5187</v>
      </c>
      <c r="G208" t="s">
        <v>1241</v>
      </c>
      <c r="H208">
        <v>200</v>
      </c>
      <c r="I208" t="s">
        <v>5191</v>
      </c>
      <c r="J208">
        <v>113</v>
      </c>
      <c r="K208" t="s">
        <v>5192</v>
      </c>
      <c r="L208">
        <v>1185.3399999999999</v>
      </c>
      <c r="M208" t="s">
        <v>4984</v>
      </c>
      <c r="N208" t="s">
        <v>4979</v>
      </c>
      <c r="O208" t="s">
        <v>4972</v>
      </c>
      <c r="P208" t="s">
        <v>1241</v>
      </c>
      <c r="R208">
        <v>2000</v>
      </c>
      <c r="S208">
        <v>1900</v>
      </c>
      <c r="U208" t="s">
        <v>4840</v>
      </c>
      <c r="V208">
        <v>2018</v>
      </c>
      <c r="W208">
        <v>43.5</v>
      </c>
      <c r="X208" s="89">
        <f>ABS(IF(Table2929[[#This Row],[performance_2]]&lt;&gt;"", IF(Table2929[[#This Row],[performance_1]]&lt;&gt;"",(Table2929[[#This Row],[performance_1]]-Table2929[[#This Row],[performance_2]])/Table2929[[#This Row],[performance_1]],""), ""))</f>
        <v>0.435</v>
      </c>
      <c r="Y208" s="55">
        <f>Table2929[[#This Row],[total_cost]]/Table2929[[#This Row],[cfa_post]]</f>
        <v>0.62386315789473679</v>
      </c>
      <c r="Z208" s="55">
        <f>Table2929[[#This Row],[total_cost]]/INDEX(CPI!$A$3:$C$31,MATCH(Table2929[[#This Row],[start_year]],CPI!$A$3:$A$31,0),3)</f>
        <v>1435.5312385503785</v>
      </c>
      <c r="AA208" s="55">
        <f>Table2929[[#This Row],[$/sqft]]/INDEX(CPI!$A$3:$C$31,MATCH(Table2929[[#This Row],[start_year]],CPI!$A$3:$A$31,0),3)</f>
        <v>0.7555427571317781</v>
      </c>
      <c r="AB208" s="55" t="s">
        <v>71</v>
      </c>
    </row>
    <row r="209" spans="1:28" x14ac:dyDescent="0.2">
      <c r="A209" t="s">
        <v>5303</v>
      </c>
      <c r="B209">
        <v>1258</v>
      </c>
      <c r="C209">
        <v>3337</v>
      </c>
      <c r="D209" t="s">
        <v>5186</v>
      </c>
      <c r="E209" t="s">
        <v>4832</v>
      </c>
      <c r="F209" t="s">
        <v>5187</v>
      </c>
      <c r="G209" t="s">
        <v>1241</v>
      </c>
      <c r="H209">
        <v>32</v>
      </c>
      <c r="I209" t="s">
        <v>5188</v>
      </c>
      <c r="J209">
        <v>18</v>
      </c>
      <c r="K209" t="s">
        <v>5189</v>
      </c>
      <c r="L209">
        <v>706</v>
      </c>
      <c r="M209" t="s">
        <v>4848</v>
      </c>
      <c r="N209" t="s">
        <v>4837</v>
      </c>
      <c r="O209" t="s">
        <v>4838</v>
      </c>
      <c r="P209" t="s">
        <v>4844</v>
      </c>
      <c r="Q209" t="s">
        <v>4839</v>
      </c>
      <c r="R209">
        <v>1970</v>
      </c>
      <c r="S209">
        <v>1512</v>
      </c>
      <c r="T209">
        <v>1</v>
      </c>
      <c r="U209" t="s">
        <v>4840</v>
      </c>
      <c r="V209">
        <v>2010</v>
      </c>
      <c r="W209">
        <v>43.75</v>
      </c>
      <c r="X209" s="89">
        <f>ABS(IF(Table2929[[#This Row],[performance_2]]&lt;&gt;"", IF(Table2929[[#This Row],[performance_1]]&lt;&gt;"",(Table2929[[#This Row],[performance_1]]-Table2929[[#This Row],[performance_2]])/Table2929[[#This Row],[performance_1]],""), ""))</f>
        <v>0.4375</v>
      </c>
      <c r="Y209" s="55">
        <f>Table2929[[#This Row],[total_cost]]/Table2929[[#This Row],[cfa_post]]</f>
        <v>0.46693121693121692</v>
      </c>
      <c r="Z209" s="55">
        <f>Table2929[[#This Row],[total_cost]]/INDEX(CPI!$A$3:$C$31,MATCH(Table2929[[#This Row],[start_year]],CPI!$A$3:$A$31,0),3)</f>
        <v>984.58469384011448</v>
      </c>
      <c r="AA209" s="55">
        <f>Table2929[[#This Row],[$/sqft]]/INDEX(CPI!$A$3:$C$31,MATCH(Table2929[[#This Row],[start_year]],CPI!$A$3:$A$31,0),3)</f>
        <v>0.65118035306885869</v>
      </c>
      <c r="AB209" s="55" t="s">
        <v>71</v>
      </c>
    </row>
    <row r="210" spans="1:28" x14ac:dyDescent="0.2">
      <c r="A210" t="s">
        <v>5303</v>
      </c>
      <c r="B210">
        <v>5003</v>
      </c>
      <c r="C210">
        <v>12018</v>
      </c>
      <c r="D210" t="s">
        <v>5186</v>
      </c>
      <c r="E210" t="s">
        <v>4832</v>
      </c>
      <c r="F210" t="s">
        <v>5187</v>
      </c>
      <c r="G210" t="s">
        <v>1241</v>
      </c>
      <c r="H210">
        <v>216</v>
      </c>
      <c r="I210" t="s">
        <v>5191</v>
      </c>
      <c r="J210">
        <v>120</v>
      </c>
      <c r="K210" t="s">
        <v>5192</v>
      </c>
      <c r="L210">
        <v>456.5</v>
      </c>
      <c r="M210" t="s">
        <v>4981</v>
      </c>
      <c r="N210" t="s">
        <v>4979</v>
      </c>
      <c r="O210" t="s">
        <v>4972</v>
      </c>
      <c r="P210" t="s">
        <v>4844</v>
      </c>
      <c r="R210">
        <v>2000</v>
      </c>
      <c r="S210">
        <v>1560</v>
      </c>
      <c r="U210" t="s">
        <v>4840</v>
      </c>
      <c r="V210">
        <v>2017</v>
      </c>
      <c r="W210">
        <v>44.444444439999998</v>
      </c>
      <c r="X210" s="89">
        <f>ABS(IF(Table2929[[#This Row],[performance_2]]&lt;&gt;"", IF(Table2929[[#This Row],[performance_1]]&lt;&gt;"",(Table2929[[#This Row],[performance_1]]-Table2929[[#This Row],[performance_2]])/Table2929[[#This Row],[performance_1]],""), ""))</f>
        <v>0.44444444444444442</v>
      </c>
      <c r="Y210" s="55">
        <f>Table2929[[#This Row],[total_cost]]/Table2929[[#This Row],[cfa_post]]</f>
        <v>0.29262820512820514</v>
      </c>
      <c r="Z210" s="55">
        <f>Table2929[[#This Row],[total_cost]]/INDEX(CPI!$A$3:$C$31,MATCH(Table2929[[#This Row],[start_year]],CPI!$A$3:$A$31,0),3)</f>
        <v>566.38780089759291</v>
      </c>
      <c r="AA210" s="55">
        <f>Table2929[[#This Row],[$/sqft]]/INDEX(CPI!$A$3:$C$31,MATCH(Table2929[[#This Row],[start_year]],CPI!$A$3:$A$31,0),3)</f>
        <v>0.36306910313948265</v>
      </c>
      <c r="AB210" s="55" t="s">
        <v>71</v>
      </c>
    </row>
    <row r="211" spans="1:28" x14ac:dyDescent="0.2">
      <c r="A211" t="s">
        <v>5303</v>
      </c>
      <c r="B211">
        <v>5270</v>
      </c>
      <c r="C211">
        <v>13583</v>
      </c>
      <c r="D211" t="s">
        <v>5186</v>
      </c>
      <c r="E211" t="s">
        <v>4832</v>
      </c>
      <c r="F211" t="s">
        <v>5187</v>
      </c>
      <c r="G211" t="s">
        <v>1241</v>
      </c>
      <c r="H211">
        <v>203</v>
      </c>
      <c r="I211" t="s">
        <v>5191</v>
      </c>
      <c r="J211">
        <v>111</v>
      </c>
      <c r="K211" t="s">
        <v>5192</v>
      </c>
      <c r="L211">
        <v>1076.5</v>
      </c>
      <c r="M211" t="s">
        <v>4988</v>
      </c>
      <c r="N211" t="s">
        <v>4979</v>
      </c>
      <c r="O211" t="s">
        <v>4972</v>
      </c>
      <c r="P211" t="s">
        <v>4844</v>
      </c>
      <c r="R211">
        <v>1995</v>
      </c>
      <c r="S211">
        <v>1300</v>
      </c>
      <c r="U211" t="s">
        <v>4840</v>
      </c>
      <c r="V211">
        <v>2019</v>
      </c>
      <c r="W211">
        <v>45.320197039999996</v>
      </c>
      <c r="X211" s="89">
        <f>ABS(IF(Table2929[[#This Row],[performance_2]]&lt;&gt;"", IF(Table2929[[#This Row],[performance_1]]&lt;&gt;"",(Table2929[[#This Row],[performance_1]]-Table2929[[#This Row],[performance_2]])/Table2929[[#This Row],[performance_1]],""), ""))</f>
        <v>0.45320197044334976</v>
      </c>
      <c r="Y211" s="55">
        <f>Table2929[[#This Row],[total_cost]]/Table2929[[#This Row],[cfa_post]]</f>
        <v>0.82807692307692304</v>
      </c>
      <c r="Z211" s="55">
        <f>Table2929[[#This Row],[total_cost]]/INDEX(CPI!$A$3:$C$31,MATCH(Table2929[[#This Row],[start_year]],CPI!$A$3:$A$31,0),3)</f>
        <v>1280.2645678529527</v>
      </c>
      <c r="AA211" s="55">
        <f>Table2929[[#This Row],[$/sqft]]/INDEX(CPI!$A$3:$C$31,MATCH(Table2929[[#This Row],[start_year]],CPI!$A$3:$A$31,0),3)</f>
        <v>0.98481889834842518</v>
      </c>
      <c r="AB211" s="55" t="s">
        <v>71</v>
      </c>
    </row>
    <row r="212" spans="1:28" x14ac:dyDescent="0.2">
      <c r="A212" t="s">
        <v>5303</v>
      </c>
      <c r="B212">
        <v>5268</v>
      </c>
      <c r="C212">
        <v>13574</v>
      </c>
      <c r="D212" t="s">
        <v>5186</v>
      </c>
      <c r="E212" t="s">
        <v>4832</v>
      </c>
      <c r="F212" t="s">
        <v>5187</v>
      </c>
      <c r="G212" t="s">
        <v>1241</v>
      </c>
      <c r="H212">
        <v>300</v>
      </c>
      <c r="I212" t="s">
        <v>5191</v>
      </c>
      <c r="J212">
        <v>164</v>
      </c>
      <c r="K212" t="s">
        <v>5192</v>
      </c>
      <c r="L212">
        <v>710.05</v>
      </c>
      <c r="M212" t="s">
        <v>4900</v>
      </c>
      <c r="N212" t="s">
        <v>4979</v>
      </c>
      <c r="O212" t="s">
        <v>4972</v>
      </c>
      <c r="P212" t="s">
        <v>4844</v>
      </c>
      <c r="R212">
        <v>2005</v>
      </c>
      <c r="S212">
        <v>1900</v>
      </c>
      <c r="U212" t="s">
        <v>4840</v>
      </c>
      <c r="V212">
        <v>2019</v>
      </c>
      <c r="W212">
        <v>45.333333330000002</v>
      </c>
      <c r="X212" s="89">
        <f>ABS(IF(Table2929[[#This Row],[performance_2]]&lt;&gt;"", IF(Table2929[[#This Row],[performance_1]]&lt;&gt;"",(Table2929[[#This Row],[performance_1]]-Table2929[[#This Row],[performance_2]])/Table2929[[#This Row],[performance_1]],""), ""))</f>
        <v>0.45333333333333331</v>
      </c>
      <c r="Y212" s="55">
        <f>Table2929[[#This Row],[total_cost]]/Table2929[[#This Row],[cfa_post]]</f>
        <v>0.37371052631578944</v>
      </c>
      <c r="Z212" s="55">
        <f>Table2929[[#This Row],[total_cost]]/INDEX(CPI!$A$3:$C$31,MATCH(Table2929[[#This Row],[start_year]],CPI!$A$3:$A$31,0),3)</f>
        <v>844.45132968322253</v>
      </c>
      <c r="AA212" s="55">
        <f>Table2929[[#This Row],[$/sqft]]/INDEX(CPI!$A$3:$C$31,MATCH(Table2929[[#This Row],[start_year]],CPI!$A$3:$A$31,0),3)</f>
        <v>0.44444806825432764</v>
      </c>
      <c r="AB212" s="55" t="s">
        <v>71</v>
      </c>
    </row>
    <row r="213" spans="1:28" x14ac:dyDescent="0.2">
      <c r="A213" t="s">
        <v>5303</v>
      </c>
      <c r="B213">
        <v>5001</v>
      </c>
      <c r="C213">
        <v>12008</v>
      </c>
      <c r="D213" t="s">
        <v>5186</v>
      </c>
      <c r="E213" t="s">
        <v>4832</v>
      </c>
      <c r="F213" t="s">
        <v>5187</v>
      </c>
      <c r="G213" t="s">
        <v>1241</v>
      </c>
      <c r="H213">
        <v>661</v>
      </c>
      <c r="I213" t="s">
        <v>5191</v>
      </c>
      <c r="J213">
        <v>361</v>
      </c>
      <c r="K213" t="s">
        <v>5192</v>
      </c>
      <c r="L213">
        <v>842.96</v>
      </c>
      <c r="M213" t="s">
        <v>4980</v>
      </c>
      <c r="N213" t="s">
        <v>4979</v>
      </c>
      <c r="O213" t="s">
        <v>4838</v>
      </c>
      <c r="P213" t="s">
        <v>1241</v>
      </c>
      <c r="R213">
        <v>1978</v>
      </c>
      <c r="S213">
        <v>1375</v>
      </c>
      <c r="U213" t="s">
        <v>4840</v>
      </c>
      <c r="V213">
        <v>2017</v>
      </c>
      <c r="W213">
        <v>45.385779120000002</v>
      </c>
      <c r="X213" s="89">
        <f>ABS(IF(Table2929[[#This Row],[performance_2]]&lt;&gt;"", IF(Table2929[[#This Row],[performance_1]]&lt;&gt;"",(Table2929[[#This Row],[performance_1]]-Table2929[[#This Row],[performance_2]])/Table2929[[#This Row],[performance_1]],""), ""))</f>
        <v>0.45385779122541603</v>
      </c>
      <c r="Y213" s="55">
        <f>Table2929[[#This Row],[total_cost]]/Table2929[[#This Row],[cfa_post]]</f>
        <v>0.61306181818181826</v>
      </c>
      <c r="Z213" s="55">
        <f>Table2929[[#This Row],[total_cost]]/INDEX(CPI!$A$3:$C$31,MATCH(Table2929[[#This Row],[start_year]],CPI!$A$3:$A$31,0),3)</f>
        <v>1045.8757078743372</v>
      </c>
      <c r="AA213" s="55">
        <f>Table2929[[#This Row],[$/sqft]]/INDEX(CPI!$A$3:$C$31,MATCH(Table2929[[#This Row],[start_year]],CPI!$A$3:$A$31,0),3)</f>
        <v>0.76063687845406347</v>
      </c>
      <c r="AB213" s="55" t="s">
        <v>71</v>
      </c>
    </row>
    <row r="214" spans="1:28" x14ac:dyDescent="0.2">
      <c r="A214" t="s">
        <v>5303</v>
      </c>
      <c r="B214">
        <v>5221</v>
      </c>
      <c r="C214">
        <v>13317</v>
      </c>
      <c r="D214" t="s">
        <v>5186</v>
      </c>
      <c r="E214" t="s">
        <v>4832</v>
      </c>
      <c r="F214" t="s">
        <v>5187</v>
      </c>
      <c r="G214" t="s">
        <v>1241</v>
      </c>
      <c r="H214">
        <v>587</v>
      </c>
      <c r="I214" t="s">
        <v>5191</v>
      </c>
      <c r="J214">
        <v>320</v>
      </c>
      <c r="K214" t="s">
        <v>5192</v>
      </c>
      <c r="L214">
        <v>1224.33</v>
      </c>
      <c r="M214" t="s">
        <v>4987</v>
      </c>
      <c r="N214" t="s">
        <v>4979</v>
      </c>
      <c r="O214" t="s">
        <v>4972</v>
      </c>
      <c r="P214" t="s">
        <v>4844</v>
      </c>
      <c r="R214">
        <v>1998</v>
      </c>
      <c r="S214">
        <v>1357</v>
      </c>
      <c r="U214" t="s">
        <v>4840</v>
      </c>
      <c r="V214">
        <v>2018</v>
      </c>
      <c r="W214">
        <v>45.485519590000003</v>
      </c>
      <c r="X214" s="89">
        <f>ABS(IF(Table2929[[#This Row],[performance_2]]&lt;&gt;"", IF(Table2929[[#This Row],[performance_1]]&lt;&gt;"",(Table2929[[#This Row],[performance_1]]-Table2929[[#This Row],[performance_2]])/Table2929[[#This Row],[performance_1]],""), ""))</f>
        <v>0.45485519591141399</v>
      </c>
      <c r="Y214" s="55">
        <f>Table2929[[#This Row],[total_cost]]/Table2929[[#This Row],[cfa_post]]</f>
        <v>0.90223286661753865</v>
      </c>
      <c r="Z214" s="55">
        <f>Table2929[[#This Row],[total_cost]]/INDEX(CPI!$A$3:$C$31,MATCH(Table2929[[#This Row],[start_year]],CPI!$A$3:$A$31,0),3)</f>
        <v>1482.7509080047789</v>
      </c>
      <c r="AA214" s="55">
        <f>Table2929[[#This Row],[$/sqft]]/INDEX(CPI!$A$3:$C$31,MATCH(Table2929[[#This Row],[start_year]],CPI!$A$3:$A$31,0),3)</f>
        <v>1.0926683183528216</v>
      </c>
      <c r="AB214" s="55" t="s">
        <v>71</v>
      </c>
    </row>
    <row r="215" spans="1:28" x14ac:dyDescent="0.2">
      <c r="A215" t="s">
        <v>5303</v>
      </c>
      <c r="B215">
        <v>4036</v>
      </c>
      <c r="C215">
        <v>11156</v>
      </c>
      <c r="D215" t="s">
        <v>5186</v>
      </c>
      <c r="E215" t="s">
        <v>4832</v>
      </c>
      <c r="F215" t="s">
        <v>5187</v>
      </c>
      <c r="G215" t="s">
        <v>1241</v>
      </c>
      <c r="H215">
        <v>135</v>
      </c>
      <c r="I215" t="s">
        <v>5191</v>
      </c>
      <c r="J215">
        <v>72</v>
      </c>
      <c r="K215" t="s">
        <v>5192</v>
      </c>
      <c r="L215">
        <v>333.5</v>
      </c>
      <c r="M215" t="s">
        <v>4970</v>
      </c>
      <c r="N215" t="s">
        <v>4969</v>
      </c>
      <c r="O215" t="s">
        <v>4838</v>
      </c>
      <c r="P215" t="s">
        <v>1241</v>
      </c>
      <c r="R215">
        <v>1930</v>
      </c>
      <c r="S215">
        <v>1358</v>
      </c>
      <c r="U215" t="s">
        <v>4840</v>
      </c>
      <c r="V215">
        <v>2019</v>
      </c>
      <c r="W215">
        <v>46.666666669999998</v>
      </c>
      <c r="X215" s="89">
        <f>ABS(IF(Table2929[[#This Row],[performance_2]]&lt;&gt;"", IF(Table2929[[#This Row],[performance_1]]&lt;&gt;"",(Table2929[[#This Row],[performance_1]]-Table2929[[#This Row],[performance_2]])/Table2929[[#This Row],[performance_1]],""), ""))</f>
        <v>0.46666666666666667</v>
      </c>
      <c r="Y215" s="55">
        <f>Table2929[[#This Row],[total_cost]]/Table2929[[#This Row],[cfa_post]]</f>
        <v>0.24558173784977907</v>
      </c>
      <c r="Z215" s="55">
        <f>Table2929[[#This Row],[total_cost]]/INDEX(CPI!$A$3:$C$31,MATCH(Table2929[[#This Row],[start_year]],CPI!$A$3:$A$31,0),3)</f>
        <v>396.62631990614005</v>
      </c>
      <c r="AA215" s="55">
        <f>Table2929[[#This Row],[$/sqft]]/INDEX(CPI!$A$3:$C$31,MATCH(Table2929[[#This Row],[start_year]],CPI!$A$3:$A$31,0),3)</f>
        <v>0.29206650950378499</v>
      </c>
      <c r="AB215" s="55" t="s">
        <v>71</v>
      </c>
    </row>
    <row r="216" spans="1:28" x14ac:dyDescent="0.2">
      <c r="A216" t="s">
        <v>5303</v>
      </c>
      <c r="B216">
        <v>5244</v>
      </c>
      <c r="C216">
        <v>13444</v>
      </c>
      <c r="D216" t="s">
        <v>5186</v>
      </c>
      <c r="E216" t="s">
        <v>4832</v>
      </c>
      <c r="F216" t="s">
        <v>5187</v>
      </c>
      <c r="G216" t="s">
        <v>1241</v>
      </c>
      <c r="H216">
        <v>246</v>
      </c>
      <c r="I216" t="s">
        <v>5191</v>
      </c>
      <c r="J216">
        <v>130</v>
      </c>
      <c r="K216" t="s">
        <v>5192</v>
      </c>
      <c r="L216">
        <v>580.95000000000005</v>
      </c>
      <c r="M216" t="s">
        <v>4900</v>
      </c>
      <c r="N216" t="s">
        <v>4979</v>
      </c>
      <c r="O216" t="s">
        <v>4838</v>
      </c>
      <c r="P216" t="s">
        <v>4844</v>
      </c>
      <c r="R216">
        <v>1992</v>
      </c>
      <c r="S216">
        <v>1012</v>
      </c>
      <c r="U216" t="s">
        <v>4840</v>
      </c>
      <c r="V216">
        <v>2018</v>
      </c>
      <c r="W216">
        <v>47.154471540000003</v>
      </c>
      <c r="X216" s="89">
        <f>ABS(IF(Table2929[[#This Row],[performance_2]]&lt;&gt;"", IF(Table2929[[#This Row],[performance_1]]&lt;&gt;"",(Table2929[[#This Row],[performance_1]]-Table2929[[#This Row],[performance_2]])/Table2929[[#This Row],[performance_1]],""), ""))</f>
        <v>0.47154471544715448</v>
      </c>
      <c r="Y216" s="55">
        <f>Table2929[[#This Row],[total_cost]]/Table2929[[#This Row],[cfa_post]]</f>
        <v>0.57406126482213449</v>
      </c>
      <c r="Z216" s="55">
        <f>Table2929[[#This Row],[total_cost]]/INDEX(CPI!$A$3:$C$31,MATCH(Table2929[[#This Row],[start_year]],CPI!$A$3:$A$31,0),3)</f>
        <v>703.57186379928328</v>
      </c>
      <c r="AA216" s="55">
        <f>Table2929[[#This Row],[$/sqft]]/INDEX(CPI!$A$3:$C$31,MATCH(Table2929[[#This Row],[start_year]],CPI!$A$3:$A$31,0),3)</f>
        <v>0.6952291144261693</v>
      </c>
      <c r="AB216" s="55" t="s">
        <v>71</v>
      </c>
    </row>
    <row r="217" spans="1:28" x14ac:dyDescent="0.2">
      <c r="A217" t="s">
        <v>5303</v>
      </c>
      <c r="B217">
        <v>5081</v>
      </c>
      <c r="C217">
        <v>12493</v>
      </c>
      <c r="D217" t="s">
        <v>5186</v>
      </c>
      <c r="E217" t="s">
        <v>4832</v>
      </c>
      <c r="F217" t="s">
        <v>5187</v>
      </c>
      <c r="G217" t="s">
        <v>1241</v>
      </c>
      <c r="H217">
        <v>239</v>
      </c>
      <c r="I217" t="s">
        <v>5191</v>
      </c>
      <c r="J217">
        <v>124</v>
      </c>
      <c r="K217" t="s">
        <v>5192</v>
      </c>
      <c r="L217">
        <v>710.05</v>
      </c>
      <c r="M217" t="s">
        <v>4992</v>
      </c>
      <c r="N217" t="s">
        <v>4979</v>
      </c>
      <c r="O217" t="s">
        <v>4972</v>
      </c>
      <c r="P217" t="s">
        <v>1241</v>
      </c>
      <c r="R217">
        <v>1995</v>
      </c>
      <c r="S217">
        <v>1758</v>
      </c>
      <c r="U217" t="s">
        <v>4840</v>
      </c>
      <c r="V217">
        <v>2019</v>
      </c>
      <c r="W217">
        <v>48.117154810000002</v>
      </c>
      <c r="X217" s="89">
        <f>ABS(IF(Table2929[[#This Row],[performance_2]]&lt;&gt;"", IF(Table2929[[#This Row],[performance_1]]&lt;&gt;"",(Table2929[[#This Row],[performance_1]]-Table2929[[#This Row],[performance_2]])/Table2929[[#This Row],[performance_1]],""), ""))</f>
        <v>0.48117154811715479</v>
      </c>
      <c r="Y217" s="55">
        <f>Table2929[[#This Row],[total_cost]]/Table2929[[#This Row],[cfa_post]]</f>
        <v>0.40389647326507394</v>
      </c>
      <c r="Z217" s="55">
        <f>Table2929[[#This Row],[total_cost]]/INDEX(CPI!$A$3:$C$31,MATCH(Table2929[[#This Row],[start_year]],CPI!$A$3:$A$31,0),3)</f>
        <v>844.45132968322253</v>
      </c>
      <c r="AA217" s="55">
        <f>Table2929[[#This Row],[$/sqft]]/INDEX(CPI!$A$3:$C$31,MATCH(Table2929[[#This Row],[start_year]],CPI!$A$3:$A$31,0),3)</f>
        <v>0.48034774157179894</v>
      </c>
      <c r="AB217" s="55" t="s">
        <v>71</v>
      </c>
    </row>
    <row r="218" spans="1:28" x14ac:dyDescent="0.2">
      <c r="A218" t="s">
        <v>5303</v>
      </c>
      <c r="B218">
        <v>5047</v>
      </c>
      <c r="C218">
        <v>12291</v>
      </c>
      <c r="D218" t="s">
        <v>5186</v>
      </c>
      <c r="E218" t="s">
        <v>4832</v>
      </c>
      <c r="F218" t="s">
        <v>5187</v>
      </c>
      <c r="G218" t="s">
        <v>1241</v>
      </c>
      <c r="H218">
        <v>170</v>
      </c>
      <c r="I218" t="s">
        <v>5191</v>
      </c>
      <c r="J218">
        <v>88</v>
      </c>
      <c r="K218" t="s">
        <v>5192</v>
      </c>
      <c r="L218">
        <v>759.4</v>
      </c>
      <c r="M218" t="s">
        <v>4981</v>
      </c>
      <c r="N218" t="s">
        <v>4979</v>
      </c>
      <c r="O218" t="s">
        <v>4838</v>
      </c>
      <c r="P218" t="s">
        <v>4844</v>
      </c>
      <c r="R218">
        <v>1990</v>
      </c>
      <c r="S218">
        <v>1000</v>
      </c>
      <c r="U218" t="s">
        <v>4840</v>
      </c>
      <c r="V218">
        <v>2019</v>
      </c>
      <c r="W218">
        <v>48.235294119999999</v>
      </c>
      <c r="X218" s="89">
        <f>ABS(IF(Table2929[[#This Row],[performance_2]]&lt;&gt;"", IF(Table2929[[#This Row],[performance_1]]&lt;&gt;"",(Table2929[[#This Row],[performance_1]]-Table2929[[#This Row],[performance_2]])/Table2929[[#This Row],[performance_1]],""), ""))</f>
        <v>0.4823529411764706</v>
      </c>
      <c r="Y218" s="55">
        <f>Table2929[[#This Row],[total_cost]]/Table2929[[#This Row],[cfa_post]]</f>
        <v>0.75939999999999996</v>
      </c>
      <c r="Z218" s="55">
        <f>Table2929[[#This Row],[total_cost]]/INDEX(CPI!$A$3:$C$31,MATCH(Table2929[[#This Row],[start_year]],CPI!$A$3:$A$31,0),3)</f>
        <v>903.14251075479081</v>
      </c>
      <c r="AA218" s="55">
        <f>Table2929[[#This Row],[$/sqft]]/INDEX(CPI!$A$3:$C$31,MATCH(Table2929[[#This Row],[start_year]],CPI!$A$3:$A$31,0),3)</f>
        <v>0.90314251075479079</v>
      </c>
      <c r="AB218" s="55" t="s">
        <v>71</v>
      </c>
    </row>
    <row r="219" spans="1:28" x14ac:dyDescent="0.2">
      <c r="A219" t="s">
        <v>5303</v>
      </c>
      <c r="B219">
        <v>5179</v>
      </c>
      <c r="C219">
        <v>13091</v>
      </c>
      <c r="D219" t="s">
        <v>5186</v>
      </c>
      <c r="E219" t="s">
        <v>4832</v>
      </c>
      <c r="F219" t="s">
        <v>5187</v>
      </c>
      <c r="G219" t="s">
        <v>1241</v>
      </c>
      <c r="H219">
        <v>239</v>
      </c>
      <c r="I219" t="s">
        <v>5191</v>
      </c>
      <c r="J219">
        <v>122</v>
      </c>
      <c r="K219" t="s">
        <v>5192</v>
      </c>
      <c r="L219">
        <v>809.1</v>
      </c>
      <c r="M219" t="s">
        <v>4978</v>
      </c>
      <c r="N219" t="s">
        <v>4979</v>
      </c>
      <c r="O219" t="s">
        <v>4838</v>
      </c>
      <c r="P219" t="s">
        <v>4844</v>
      </c>
      <c r="R219">
        <v>1990</v>
      </c>
      <c r="S219">
        <v>4500</v>
      </c>
      <c r="U219" t="s">
        <v>4840</v>
      </c>
      <c r="V219">
        <v>2019</v>
      </c>
      <c r="W219">
        <v>48.953974899999999</v>
      </c>
      <c r="X219" s="89">
        <f>ABS(IF(Table2929[[#This Row],[performance_2]]&lt;&gt;"", IF(Table2929[[#This Row],[performance_1]]&lt;&gt;"",(Table2929[[#This Row],[performance_1]]-Table2929[[#This Row],[performance_2]])/Table2929[[#This Row],[performance_1]],""), ""))</f>
        <v>0.4895397489539749</v>
      </c>
      <c r="Y219" s="55">
        <f>Table2929[[#This Row],[total_cost]]/Table2929[[#This Row],[cfa_post]]</f>
        <v>0.17980000000000002</v>
      </c>
      <c r="Z219" s="55">
        <f>Table2929[[#This Row],[total_cost]]/INDEX(CPI!$A$3:$C$31,MATCH(Table2929[[#This Row],[start_year]],CPI!$A$3:$A$31,0),3)</f>
        <v>962.24994133750499</v>
      </c>
      <c r="AA219" s="55">
        <f>Table2929[[#This Row],[$/sqft]]/INDEX(CPI!$A$3:$C$31,MATCH(Table2929[[#This Row],[start_year]],CPI!$A$3:$A$31,0),3)</f>
        <v>0.21383332029722335</v>
      </c>
      <c r="AB219" s="55" t="s">
        <v>71</v>
      </c>
    </row>
    <row r="220" spans="1:28" x14ac:dyDescent="0.2">
      <c r="A220" t="s">
        <v>5303</v>
      </c>
      <c r="B220">
        <v>5006</v>
      </c>
      <c r="C220">
        <v>12037</v>
      </c>
      <c r="D220" t="s">
        <v>5186</v>
      </c>
      <c r="E220" t="s">
        <v>4832</v>
      </c>
      <c r="F220" t="s">
        <v>5187</v>
      </c>
      <c r="G220" t="s">
        <v>1241</v>
      </c>
      <c r="H220">
        <v>239</v>
      </c>
      <c r="I220" t="s">
        <v>5191</v>
      </c>
      <c r="J220">
        <v>121</v>
      </c>
      <c r="K220" t="s">
        <v>5192</v>
      </c>
      <c r="L220">
        <v>652.29999999999995</v>
      </c>
      <c r="M220" t="s">
        <v>4980</v>
      </c>
      <c r="N220" t="s">
        <v>4979</v>
      </c>
      <c r="O220" t="s">
        <v>4838</v>
      </c>
      <c r="P220" t="s">
        <v>4844</v>
      </c>
      <c r="R220">
        <v>2000</v>
      </c>
      <c r="S220">
        <v>1900</v>
      </c>
      <c r="U220" t="s">
        <v>4840</v>
      </c>
      <c r="V220">
        <v>2020</v>
      </c>
      <c r="W220">
        <v>49.372384940000003</v>
      </c>
      <c r="X220" s="89">
        <f>ABS(IF(Table2929[[#This Row],[performance_2]]&lt;&gt;"", IF(Table2929[[#This Row],[performance_1]]&lt;&gt;"",(Table2929[[#This Row],[performance_1]]-Table2929[[#This Row],[performance_2]])/Table2929[[#This Row],[performance_1]],""), ""))</f>
        <v>0.49372384937238495</v>
      </c>
      <c r="Y220" s="55">
        <f>Table2929[[#This Row],[total_cost]]/Table2929[[#This Row],[cfa_post]]</f>
        <v>0.34331578947368419</v>
      </c>
      <c r="Z220" s="55">
        <f>Table2929[[#This Row],[total_cost]]/INDEX(CPI!$A$3:$C$31,MATCH(Table2929[[#This Row],[start_year]],CPI!$A$3:$A$31,0),3)</f>
        <v>766.47770479134465</v>
      </c>
      <c r="AA220" s="55">
        <f>Table2929[[#This Row],[$/sqft]]/INDEX(CPI!$A$3:$C$31,MATCH(Table2929[[#This Row],[start_year]],CPI!$A$3:$A$31,0),3)</f>
        <v>0.403409318311234</v>
      </c>
      <c r="AB220" s="55" t="s">
        <v>71</v>
      </c>
    </row>
    <row r="221" spans="1:28" x14ac:dyDescent="0.2">
      <c r="A221" t="s">
        <v>5303</v>
      </c>
      <c r="B221">
        <v>5023</v>
      </c>
      <c r="C221">
        <v>12140</v>
      </c>
      <c r="D221" t="s">
        <v>5186</v>
      </c>
      <c r="E221" t="s">
        <v>4832</v>
      </c>
      <c r="F221" t="s">
        <v>5187</v>
      </c>
      <c r="G221" t="s">
        <v>1241</v>
      </c>
      <c r="H221">
        <v>203</v>
      </c>
      <c r="I221" t="s">
        <v>5191</v>
      </c>
      <c r="J221">
        <v>102</v>
      </c>
      <c r="K221" t="s">
        <v>5192</v>
      </c>
      <c r="L221">
        <v>611</v>
      </c>
      <c r="M221" t="s">
        <v>4982</v>
      </c>
      <c r="N221" t="s">
        <v>4979</v>
      </c>
      <c r="O221" t="s">
        <v>4972</v>
      </c>
      <c r="P221" t="s">
        <v>4844</v>
      </c>
      <c r="R221">
        <v>1999</v>
      </c>
      <c r="S221">
        <v>1500</v>
      </c>
      <c r="U221" t="s">
        <v>4840</v>
      </c>
      <c r="V221">
        <v>2019</v>
      </c>
      <c r="W221">
        <v>49.753694580000001</v>
      </c>
      <c r="X221" s="89">
        <f>ABS(IF(Table2929[[#This Row],[performance_2]]&lt;&gt;"", IF(Table2929[[#This Row],[performance_1]]&lt;&gt;"",(Table2929[[#This Row],[performance_1]]-Table2929[[#This Row],[performance_2]])/Table2929[[#This Row],[performance_1]],""), ""))</f>
        <v>0.49753694581280788</v>
      </c>
      <c r="Y221" s="55">
        <f>Table2929[[#This Row],[total_cost]]/Table2929[[#This Row],[cfa_post]]</f>
        <v>0.40733333333333333</v>
      </c>
      <c r="Z221" s="55">
        <f>Table2929[[#This Row],[total_cost]]/INDEX(CPI!$A$3:$C$31,MATCH(Table2929[[#This Row],[start_year]],CPI!$A$3:$A$31,0),3)</f>
        <v>726.65271802894017</v>
      </c>
      <c r="AA221" s="55">
        <f>Table2929[[#This Row],[$/sqft]]/INDEX(CPI!$A$3:$C$31,MATCH(Table2929[[#This Row],[start_year]],CPI!$A$3:$A$31,0),3)</f>
        <v>0.48443514535262677</v>
      </c>
      <c r="AB221" s="55" t="s">
        <v>71</v>
      </c>
    </row>
    <row r="222" spans="1:28" x14ac:dyDescent="0.2">
      <c r="A222" t="s">
        <v>5303</v>
      </c>
      <c r="B222">
        <v>5059</v>
      </c>
      <c r="C222">
        <v>12366</v>
      </c>
      <c r="D222" t="s">
        <v>5186</v>
      </c>
      <c r="E222" t="s">
        <v>4832</v>
      </c>
      <c r="F222" t="s">
        <v>5187</v>
      </c>
      <c r="G222" t="s">
        <v>1241</v>
      </c>
      <c r="H222">
        <v>360</v>
      </c>
      <c r="I222" t="s">
        <v>5191</v>
      </c>
      <c r="J222">
        <v>180</v>
      </c>
      <c r="K222" t="s">
        <v>5192</v>
      </c>
      <c r="L222">
        <v>660.6</v>
      </c>
      <c r="M222" t="s">
        <v>4986</v>
      </c>
      <c r="N222" t="s">
        <v>4979</v>
      </c>
      <c r="O222" t="s">
        <v>4972</v>
      </c>
      <c r="P222" t="s">
        <v>4844</v>
      </c>
      <c r="R222">
        <v>1998</v>
      </c>
      <c r="S222">
        <v>1820</v>
      </c>
      <c r="U222" t="s">
        <v>4840</v>
      </c>
      <c r="V222">
        <v>2017</v>
      </c>
      <c r="W222">
        <v>50</v>
      </c>
      <c r="X222" s="89">
        <f>ABS(IF(Table2929[[#This Row],[performance_2]]&lt;&gt;"", IF(Table2929[[#This Row],[performance_1]]&lt;&gt;"",(Table2929[[#This Row],[performance_1]]-Table2929[[#This Row],[performance_2]])/Table2929[[#This Row],[performance_1]],""), ""))</f>
        <v>0.5</v>
      </c>
      <c r="Y222" s="55">
        <f>Table2929[[#This Row],[total_cost]]/Table2929[[#This Row],[cfa_post]]</f>
        <v>0.36296703296703298</v>
      </c>
      <c r="Z222" s="55">
        <f>Table2929[[#This Row],[total_cost]]/INDEX(CPI!$A$3:$C$31,MATCH(Table2929[[#This Row],[start_year]],CPI!$A$3:$A$31,0),3)</f>
        <v>819.61835985312132</v>
      </c>
      <c r="AA222" s="55">
        <f>Table2929[[#This Row],[$/sqft]]/INDEX(CPI!$A$3:$C$31,MATCH(Table2929[[#This Row],[start_year]],CPI!$A$3:$A$31,0),3)</f>
        <v>0.45033975816105565</v>
      </c>
      <c r="AB222" s="55" t="s">
        <v>71</v>
      </c>
    </row>
    <row r="223" spans="1:28" x14ac:dyDescent="0.2">
      <c r="A223" t="s">
        <v>5303</v>
      </c>
      <c r="B223">
        <v>5222</v>
      </c>
      <c r="C223">
        <v>13323</v>
      </c>
      <c r="D223" t="s">
        <v>5186</v>
      </c>
      <c r="E223" t="s">
        <v>4832</v>
      </c>
      <c r="F223" t="s">
        <v>5187</v>
      </c>
      <c r="G223" t="s">
        <v>1241</v>
      </c>
      <c r="H223">
        <v>420</v>
      </c>
      <c r="I223" t="s">
        <v>5191</v>
      </c>
      <c r="J223">
        <v>210</v>
      </c>
      <c r="K223" t="s">
        <v>5192</v>
      </c>
      <c r="L223">
        <v>1459.33</v>
      </c>
      <c r="M223" t="s">
        <v>4997</v>
      </c>
      <c r="N223" t="s">
        <v>4979</v>
      </c>
      <c r="O223" t="s">
        <v>4972</v>
      </c>
      <c r="P223" t="s">
        <v>4844</v>
      </c>
      <c r="R223">
        <v>1999</v>
      </c>
      <c r="S223">
        <v>1344</v>
      </c>
      <c r="U223" t="s">
        <v>4840</v>
      </c>
      <c r="V223">
        <v>2018</v>
      </c>
      <c r="W223">
        <v>50</v>
      </c>
      <c r="X223" s="89">
        <f>ABS(IF(Table2929[[#This Row],[performance_2]]&lt;&gt;"", IF(Table2929[[#This Row],[performance_1]]&lt;&gt;"",(Table2929[[#This Row],[performance_1]]-Table2929[[#This Row],[performance_2]])/Table2929[[#This Row],[performance_1]],""), ""))</f>
        <v>0.5</v>
      </c>
      <c r="Y223" s="55">
        <f>Table2929[[#This Row],[total_cost]]/Table2929[[#This Row],[cfa_post]]</f>
        <v>1.0858110119047619</v>
      </c>
      <c r="Z223" s="55">
        <f>Table2929[[#This Row],[total_cost]]/INDEX(CPI!$A$3:$C$31,MATCH(Table2929[[#This Row],[start_year]],CPI!$A$3:$A$31,0),3)</f>
        <v>1767.3526602947034</v>
      </c>
      <c r="AA223" s="55">
        <f>Table2929[[#This Row],[$/sqft]]/INDEX(CPI!$A$3:$C$31,MATCH(Table2929[[#This Row],[start_year]],CPI!$A$3:$A$31,0),3)</f>
        <v>1.3149945389097497</v>
      </c>
      <c r="AB223" s="55" t="s">
        <v>71</v>
      </c>
    </row>
    <row r="224" spans="1:28" x14ac:dyDescent="0.2">
      <c r="A224" t="s">
        <v>5303</v>
      </c>
      <c r="B224">
        <v>5259</v>
      </c>
      <c r="C224">
        <v>13529</v>
      </c>
      <c r="D224" t="s">
        <v>5186</v>
      </c>
      <c r="E224" t="s">
        <v>4832</v>
      </c>
      <c r="F224" t="s">
        <v>5187</v>
      </c>
      <c r="G224" t="s">
        <v>1241</v>
      </c>
      <c r="H224">
        <v>360</v>
      </c>
      <c r="I224" t="s">
        <v>5191</v>
      </c>
      <c r="J224">
        <v>180</v>
      </c>
      <c r="K224" t="s">
        <v>5192</v>
      </c>
      <c r="L224">
        <v>291.42</v>
      </c>
      <c r="M224" t="s">
        <v>4984</v>
      </c>
      <c r="N224" t="s">
        <v>4979</v>
      </c>
      <c r="O224" t="s">
        <v>4972</v>
      </c>
      <c r="P224" t="s">
        <v>1241</v>
      </c>
      <c r="R224">
        <v>1999</v>
      </c>
      <c r="S224">
        <v>1135</v>
      </c>
      <c r="U224" t="s">
        <v>4840</v>
      </c>
      <c r="V224">
        <v>2017</v>
      </c>
      <c r="W224">
        <v>50</v>
      </c>
      <c r="X224" s="89">
        <f>ABS(IF(Table2929[[#This Row],[performance_2]]&lt;&gt;"", IF(Table2929[[#This Row],[performance_1]]&lt;&gt;"",(Table2929[[#This Row],[performance_1]]-Table2929[[#This Row],[performance_2]])/Table2929[[#This Row],[performance_1]],""), ""))</f>
        <v>0.5</v>
      </c>
      <c r="Y224" s="55">
        <f>Table2929[[#This Row],[total_cost]]/Table2929[[#This Row],[cfa_post]]</f>
        <v>0.25675770925110136</v>
      </c>
      <c r="Z224" s="55">
        <f>Table2929[[#This Row],[total_cost]]/INDEX(CPI!$A$3:$C$31,MATCH(Table2929[[#This Row],[start_year]],CPI!$A$3:$A$31,0),3)</f>
        <v>361.57006119951046</v>
      </c>
      <c r="AA224" s="55">
        <f>Table2929[[#This Row],[$/sqft]]/INDEX(CPI!$A$3:$C$31,MATCH(Table2929[[#This Row],[start_year]],CPI!$A$3:$A$31,0),3)</f>
        <v>0.31856393057225596</v>
      </c>
      <c r="AB224" s="55" t="s">
        <v>71</v>
      </c>
    </row>
    <row r="225" spans="1:28" x14ac:dyDescent="0.2">
      <c r="A225" t="s">
        <v>5303</v>
      </c>
      <c r="B225">
        <v>5212</v>
      </c>
      <c r="C225">
        <v>13268</v>
      </c>
      <c r="D225" t="s">
        <v>5186</v>
      </c>
      <c r="E225" t="s">
        <v>4832</v>
      </c>
      <c r="F225" t="s">
        <v>5187</v>
      </c>
      <c r="G225" t="s">
        <v>1241</v>
      </c>
      <c r="H225">
        <v>288</v>
      </c>
      <c r="I225" t="s">
        <v>5191</v>
      </c>
      <c r="J225">
        <v>142</v>
      </c>
      <c r="K225" t="s">
        <v>5192</v>
      </c>
      <c r="L225">
        <v>1084.48</v>
      </c>
      <c r="M225" t="s">
        <v>4982</v>
      </c>
      <c r="N225" t="s">
        <v>4979</v>
      </c>
      <c r="O225" t="s">
        <v>4972</v>
      </c>
      <c r="P225" t="s">
        <v>4844</v>
      </c>
      <c r="R225">
        <v>1998</v>
      </c>
      <c r="S225">
        <v>2181</v>
      </c>
      <c r="U225" t="s">
        <v>4840</v>
      </c>
      <c r="V225">
        <v>2018</v>
      </c>
      <c r="W225">
        <v>50.694444439999998</v>
      </c>
      <c r="X225" s="89">
        <f>ABS(IF(Table2929[[#This Row],[performance_2]]&lt;&gt;"", IF(Table2929[[#This Row],[performance_1]]&lt;&gt;"",(Table2929[[#This Row],[performance_1]]-Table2929[[#This Row],[performance_2]])/Table2929[[#This Row],[performance_1]],""), ""))</f>
        <v>0.50694444444444442</v>
      </c>
      <c r="Y225" s="55">
        <f>Table2929[[#This Row],[total_cost]]/Table2929[[#This Row],[cfa_post]]</f>
        <v>0.49723979825768</v>
      </c>
      <c r="Z225" s="55">
        <f>Table2929[[#This Row],[total_cost]]/INDEX(CPI!$A$3:$C$31,MATCH(Table2929[[#This Row],[start_year]],CPI!$A$3:$A$31,0),3)</f>
        <v>1313.3825886101156</v>
      </c>
      <c r="AA225" s="55">
        <f>Table2929[[#This Row],[$/sqft]]/INDEX(CPI!$A$3:$C$31,MATCH(Table2929[[#This Row],[start_year]],CPI!$A$3:$A$31,0),3)</f>
        <v>0.60219284209542212</v>
      </c>
      <c r="AB225" s="55" t="s">
        <v>71</v>
      </c>
    </row>
    <row r="226" spans="1:28" x14ac:dyDescent="0.2">
      <c r="A226" t="s">
        <v>5303</v>
      </c>
      <c r="B226">
        <v>5114</v>
      </c>
      <c r="C226">
        <v>12693</v>
      </c>
      <c r="D226" t="s">
        <v>5186</v>
      </c>
      <c r="E226" t="s">
        <v>4832</v>
      </c>
      <c r="F226" t="s">
        <v>5187</v>
      </c>
      <c r="G226" t="s">
        <v>1241</v>
      </c>
      <c r="H226">
        <v>1200</v>
      </c>
      <c r="I226" t="s">
        <v>5191</v>
      </c>
      <c r="J226">
        <v>576</v>
      </c>
      <c r="K226" t="s">
        <v>5192</v>
      </c>
      <c r="L226">
        <v>1403</v>
      </c>
      <c r="M226" t="s">
        <v>4900</v>
      </c>
      <c r="N226" t="s">
        <v>4979</v>
      </c>
      <c r="O226" t="s">
        <v>4913</v>
      </c>
      <c r="P226" t="s">
        <v>4844</v>
      </c>
      <c r="R226">
        <v>1981</v>
      </c>
      <c r="S226">
        <v>2370</v>
      </c>
      <c r="U226" t="s">
        <v>4840</v>
      </c>
      <c r="V226">
        <v>2017</v>
      </c>
      <c r="W226">
        <v>52</v>
      </c>
      <c r="X226" s="89">
        <f>ABS(IF(Table2929[[#This Row],[performance_2]]&lt;&gt;"", IF(Table2929[[#This Row],[performance_1]]&lt;&gt;"",(Table2929[[#This Row],[performance_1]]-Table2929[[#This Row],[performance_2]])/Table2929[[#This Row],[performance_1]],""), ""))</f>
        <v>0.52</v>
      </c>
      <c r="Y226" s="55">
        <f>Table2929[[#This Row],[total_cost]]/Table2929[[#This Row],[cfa_post]]</f>
        <v>0.59198312236286921</v>
      </c>
      <c r="Z226" s="55">
        <f>Table2929[[#This Row],[total_cost]]/INDEX(CPI!$A$3:$C$31,MATCH(Table2929[[#This Row],[start_year]],CPI!$A$3:$A$31,0),3)</f>
        <v>1740.7274581803347</v>
      </c>
      <c r="AA226" s="55">
        <f>Table2929[[#This Row],[$/sqft]]/INDEX(CPI!$A$3:$C$31,MATCH(Table2929[[#This Row],[start_year]],CPI!$A$3:$A$31,0),3)</f>
        <v>0.73448415956976154</v>
      </c>
      <c r="AB226" s="55" t="s">
        <v>71</v>
      </c>
    </row>
    <row r="227" spans="1:28" x14ac:dyDescent="0.2">
      <c r="A227" t="s">
        <v>5303</v>
      </c>
      <c r="B227">
        <v>1247</v>
      </c>
      <c r="C227">
        <v>3210</v>
      </c>
      <c r="D227" t="s">
        <v>5186</v>
      </c>
      <c r="E227" t="s">
        <v>4832</v>
      </c>
      <c r="F227" t="s">
        <v>5187</v>
      </c>
      <c r="G227" t="s">
        <v>1241</v>
      </c>
      <c r="H227">
        <v>39.799999999999997</v>
      </c>
      <c r="I227" t="s">
        <v>5188</v>
      </c>
      <c r="J227">
        <v>19</v>
      </c>
      <c r="K227" t="s">
        <v>5189</v>
      </c>
      <c r="L227">
        <v>600</v>
      </c>
      <c r="M227" t="s">
        <v>4836</v>
      </c>
      <c r="N227" t="s">
        <v>4837</v>
      </c>
      <c r="O227" t="s">
        <v>4838</v>
      </c>
      <c r="P227" t="s">
        <v>56</v>
      </c>
      <c r="Q227" t="s">
        <v>4839</v>
      </c>
      <c r="R227">
        <v>1977</v>
      </c>
      <c r="S227">
        <v>1092</v>
      </c>
      <c r="T227">
        <v>1</v>
      </c>
      <c r="U227" t="s">
        <v>4840</v>
      </c>
      <c r="V227">
        <v>2011</v>
      </c>
      <c r="W227">
        <v>52.261306529999999</v>
      </c>
      <c r="X227" s="89">
        <f>ABS(IF(Table2929[[#This Row],[performance_2]]&lt;&gt;"", IF(Table2929[[#This Row],[performance_1]]&lt;&gt;"",(Table2929[[#This Row],[performance_1]]-Table2929[[#This Row],[performance_2]])/Table2929[[#This Row],[performance_1]],""), ""))</f>
        <v>0.5226130653266331</v>
      </c>
      <c r="Y227" s="55">
        <f>Table2929[[#This Row],[total_cost]]/Table2929[[#This Row],[cfa_post]]</f>
        <v>0.5494505494505495</v>
      </c>
      <c r="Z227" s="55">
        <f>Table2929[[#This Row],[total_cost]]/INDEX(CPI!$A$3:$C$31,MATCH(Table2929[[#This Row],[start_year]],CPI!$A$3:$A$31,0),3)</f>
        <v>811.15324599113546</v>
      </c>
      <c r="AA227" s="55">
        <f>Table2929[[#This Row],[$/sqft]]/INDEX(CPI!$A$3:$C$31,MATCH(Table2929[[#This Row],[start_year]],CPI!$A$3:$A$31,0),3)</f>
        <v>0.74281432783071022</v>
      </c>
      <c r="AB227" s="55" t="s">
        <v>71</v>
      </c>
    </row>
    <row r="228" spans="1:28" x14ac:dyDescent="0.2">
      <c r="A228" t="s">
        <v>5303</v>
      </c>
      <c r="B228">
        <v>5233</v>
      </c>
      <c r="C228">
        <v>13383</v>
      </c>
      <c r="D228" t="s">
        <v>5186</v>
      </c>
      <c r="E228" t="s">
        <v>4832</v>
      </c>
      <c r="F228" t="s">
        <v>5187</v>
      </c>
      <c r="G228" t="s">
        <v>1241</v>
      </c>
      <c r="H228">
        <v>193</v>
      </c>
      <c r="I228" t="s">
        <v>5191</v>
      </c>
      <c r="J228">
        <v>92</v>
      </c>
      <c r="K228" t="s">
        <v>5192</v>
      </c>
      <c r="L228">
        <v>537.16</v>
      </c>
      <c r="M228" t="s">
        <v>4900</v>
      </c>
      <c r="N228" t="s">
        <v>4979</v>
      </c>
      <c r="O228" t="s">
        <v>4838</v>
      </c>
      <c r="P228" t="s">
        <v>1241</v>
      </c>
      <c r="R228">
        <v>1983</v>
      </c>
      <c r="S228">
        <v>1328</v>
      </c>
      <c r="U228" t="s">
        <v>4840</v>
      </c>
      <c r="V228">
        <v>2018</v>
      </c>
      <c r="W228">
        <v>52.331606219999998</v>
      </c>
      <c r="X228" s="89">
        <f>ABS(IF(Table2929[[#This Row],[performance_2]]&lt;&gt;"", IF(Table2929[[#This Row],[performance_1]]&lt;&gt;"",(Table2929[[#This Row],[performance_1]]-Table2929[[#This Row],[performance_2]])/Table2929[[#This Row],[performance_1]],""), ""))</f>
        <v>0.52331606217616577</v>
      </c>
      <c r="Y228" s="55">
        <f>Table2929[[#This Row],[total_cost]]/Table2929[[#This Row],[cfa_post]]</f>
        <v>0.40448795180722891</v>
      </c>
      <c r="Z228" s="55">
        <f>Table2929[[#This Row],[total_cost]]/INDEX(CPI!$A$3:$C$31,MATCH(Table2929[[#This Row],[start_year]],CPI!$A$3:$A$31,0),3)</f>
        <v>650.53905217045008</v>
      </c>
      <c r="AA228" s="55">
        <f>Table2929[[#This Row],[$/sqft]]/INDEX(CPI!$A$3:$C$31,MATCH(Table2929[[#This Row],[start_year]],CPI!$A$3:$A$31,0),3)</f>
        <v>0.48986374410425454</v>
      </c>
      <c r="AB228" s="55" t="s">
        <v>71</v>
      </c>
    </row>
    <row r="229" spans="1:28" x14ac:dyDescent="0.2">
      <c r="A229" t="s">
        <v>5303</v>
      </c>
      <c r="B229">
        <v>5134</v>
      </c>
      <c r="C229">
        <v>12812</v>
      </c>
      <c r="D229" t="s">
        <v>5186</v>
      </c>
      <c r="E229" t="s">
        <v>4832</v>
      </c>
      <c r="F229" t="s">
        <v>5187</v>
      </c>
      <c r="G229" t="s">
        <v>1241</v>
      </c>
      <c r="H229">
        <v>146</v>
      </c>
      <c r="I229" t="s">
        <v>5191</v>
      </c>
      <c r="J229">
        <v>69</v>
      </c>
      <c r="K229" t="s">
        <v>5192</v>
      </c>
      <c r="L229">
        <v>867.08</v>
      </c>
      <c r="M229" t="s">
        <v>4994</v>
      </c>
      <c r="N229" t="s">
        <v>4979</v>
      </c>
      <c r="O229" t="s">
        <v>4972</v>
      </c>
      <c r="P229" t="s">
        <v>1241</v>
      </c>
      <c r="R229">
        <v>1993</v>
      </c>
      <c r="S229">
        <v>1456</v>
      </c>
      <c r="U229" t="s">
        <v>4840</v>
      </c>
      <c r="V229">
        <v>2018</v>
      </c>
      <c r="W229">
        <v>52.73972603</v>
      </c>
      <c r="X229" s="89">
        <f>ABS(IF(Table2929[[#This Row],[performance_2]]&lt;&gt;"", IF(Table2929[[#This Row],[performance_1]]&lt;&gt;"",(Table2929[[#This Row],[performance_1]]-Table2929[[#This Row],[performance_2]])/Table2929[[#This Row],[performance_1]],""), ""))</f>
        <v>0.5273972602739726</v>
      </c>
      <c r="Y229" s="55">
        <f>Table2929[[#This Row],[total_cost]]/Table2929[[#This Row],[cfa_post]]</f>
        <v>0.59552197802197804</v>
      </c>
      <c r="Z229" s="55">
        <f>Table2929[[#This Row],[total_cost]]/INDEX(CPI!$A$3:$C$31,MATCH(Table2929[[#This Row],[start_year]],CPI!$A$3:$A$31,0),3)</f>
        <v>1050.0956909597771</v>
      </c>
      <c r="AA229" s="55">
        <f>Table2929[[#This Row],[$/sqft]]/INDEX(CPI!$A$3:$C$31,MATCH(Table2929[[#This Row],[start_year]],CPI!$A$3:$A$31,0),3)</f>
        <v>0.72121956796687992</v>
      </c>
      <c r="AB229" s="55" t="s">
        <v>71</v>
      </c>
    </row>
    <row r="230" spans="1:28" x14ac:dyDescent="0.2">
      <c r="A230" t="s">
        <v>5303</v>
      </c>
      <c r="B230">
        <v>5071</v>
      </c>
      <c r="C230">
        <v>12436</v>
      </c>
      <c r="D230" t="s">
        <v>5186</v>
      </c>
      <c r="E230" t="s">
        <v>4832</v>
      </c>
      <c r="F230" t="s">
        <v>5187</v>
      </c>
      <c r="G230" t="s">
        <v>1241</v>
      </c>
      <c r="H230">
        <v>204</v>
      </c>
      <c r="I230" t="s">
        <v>5191</v>
      </c>
      <c r="J230">
        <v>96</v>
      </c>
      <c r="K230" t="s">
        <v>5192</v>
      </c>
      <c r="L230">
        <v>719.66</v>
      </c>
      <c r="M230" t="s">
        <v>4990</v>
      </c>
      <c r="N230" t="s">
        <v>4979</v>
      </c>
      <c r="O230" t="s">
        <v>4838</v>
      </c>
      <c r="P230" t="s">
        <v>1241</v>
      </c>
      <c r="R230">
        <v>1967</v>
      </c>
      <c r="S230">
        <v>1450</v>
      </c>
      <c r="U230" t="s">
        <v>4840</v>
      </c>
      <c r="V230">
        <v>2018</v>
      </c>
      <c r="W230">
        <v>52.941176470000002</v>
      </c>
      <c r="X230" s="89">
        <f>ABS(IF(Table2929[[#This Row],[performance_2]]&lt;&gt;"", IF(Table2929[[#This Row],[performance_1]]&lt;&gt;"",(Table2929[[#This Row],[performance_1]]-Table2929[[#This Row],[performance_2]])/Table2929[[#This Row],[performance_1]],""), ""))</f>
        <v>0.52941176470588236</v>
      </c>
      <c r="Y230" s="55">
        <f>Table2929[[#This Row],[total_cost]]/Table2929[[#This Row],[cfa_post]]</f>
        <v>0.49631724137931033</v>
      </c>
      <c r="Z230" s="55">
        <f>Table2929[[#This Row],[total_cost]]/INDEX(CPI!$A$3:$C$31,MATCH(Table2929[[#This Row],[start_year]],CPI!$A$3:$A$31,0),3)</f>
        <v>871.55956192751898</v>
      </c>
      <c r="AA230" s="55">
        <f>Table2929[[#This Row],[$/sqft]]/INDEX(CPI!$A$3:$C$31,MATCH(Table2929[[#This Row],[start_year]],CPI!$A$3:$A$31,0),3)</f>
        <v>0.60107555995001305</v>
      </c>
      <c r="AB230" s="55" t="s">
        <v>71</v>
      </c>
    </row>
    <row r="231" spans="1:28" x14ac:dyDescent="0.2">
      <c r="A231" t="s">
        <v>5303</v>
      </c>
      <c r="B231">
        <v>5208</v>
      </c>
      <c r="C231">
        <v>13248</v>
      </c>
      <c r="D231" t="s">
        <v>5186</v>
      </c>
      <c r="E231" t="s">
        <v>4832</v>
      </c>
      <c r="F231" t="s">
        <v>5187</v>
      </c>
      <c r="G231" t="s">
        <v>1241</v>
      </c>
      <c r="H231">
        <v>317</v>
      </c>
      <c r="I231" t="s">
        <v>5191</v>
      </c>
      <c r="J231">
        <v>148</v>
      </c>
      <c r="K231" t="s">
        <v>5192</v>
      </c>
      <c r="L231">
        <v>468.09</v>
      </c>
      <c r="M231" t="s">
        <v>4981</v>
      </c>
      <c r="N231" t="s">
        <v>4979</v>
      </c>
      <c r="O231" t="s">
        <v>4838</v>
      </c>
      <c r="P231" t="s">
        <v>1241</v>
      </c>
      <c r="R231">
        <v>1983</v>
      </c>
      <c r="S231">
        <v>1400</v>
      </c>
      <c r="U231" t="s">
        <v>4840</v>
      </c>
      <c r="V231">
        <v>2018</v>
      </c>
      <c r="W231">
        <v>53.312302840000001</v>
      </c>
      <c r="X231" s="89">
        <f>ABS(IF(Table2929[[#This Row],[performance_2]]&lt;&gt;"", IF(Table2929[[#This Row],[performance_1]]&lt;&gt;"",(Table2929[[#This Row],[performance_1]]-Table2929[[#This Row],[performance_2]])/Table2929[[#This Row],[performance_1]],""), ""))</f>
        <v>0.53312302839116721</v>
      </c>
      <c r="Y231" s="55">
        <f>Table2929[[#This Row],[total_cost]]/Table2929[[#This Row],[cfa_post]]</f>
        <v>0.33434999999999998</v>
      </c>
      <c r="Z231" s="55">
        <f>Table2929[[#This Row],[total_cost]]/INDEX(CPI!$A$3:$C$31,MATCH(Table2929[[#This Row],[start_year]],CPI!$A$3:$A$31,0),3)</f>
        <v>566.89035842293913</v>
      </c>
      <c r="AA231" s="55">
        <f>Table2929[[#This Row],[$/sqft]]/INDEX(CPI!$A$3:$C$31,MATCH(Table2929[[#This Row],[start_year]],CPI!$A$3:$A$31,0),3)</f>
        <v>0.40492168458781364</v>
      </c>
      <c r="AB231" s="55" t="s">
        <v>71</v>
      </c>
    </row>
    <row r="232" spans="1:28" x14ac:dyDescent="0.2">
      <c r="A232" t="s">
        <v>5303</v>
      </c>
      <c r="B232">
        <v>5099</v>
      </c>
      <c r="C232">
        <v>12595</v>
      </c>
      <c r="D232" t="s">
        <v>5186</v>
      </c>
      <c r="E232" t="s">
        <v>4832</v>
      </c>
      <c r="F232" t="s">
        <v>5187</v>
      </c>
      <c r="G232" t="s">
        <v>1241</v>
      </c>
      <c r="H232">
        <v>180</v>
      </c>
      <c r="I232" t="s">
        <v>5191</v>
      </c>
      <c r="J232">
        <v>84</v>
      </c>
      <c r="K232" t="s">
        <v>5192</v>
      </c>
      <c r="L232">
        <v>793.9</v>
      </c>
      <c r="M232" t="s">
        <v>4981</v>
      </c>
      <c r="N232" t="s">
        <v>4979</v>
      </c>
      <c r="O232" t="s">
        <v>4972</v>
      </c>
      <c r="P232" t="s">
        <v>1241</v>
      </c>
      <c r="R232">
        <v>2002</v>
      </c>
      <c r="S232">
        <v>2052</v>
      </c>
      <c r="U232" t="s">
        <v>4840</v>
      </c>
      <c r="V232">
        <v>2019</v>
      </c>
      <c r="W232">
        <v>53.333333330000002</v>
      </c>
      <c r="X232" s="89">
        <f>ABS(IF(Table2929[[#This Row],[performance_2]]&lt;&gt;"", IF(Table2929[[#This Row],[performance_1]]&lt;&gt;"",(Table2929[[#This Row],[performance_1]]-Table2929[[#This Row],[performance_2]])/Table2929[[#This Row],[performance_1]],""), ""))</f>
        <v>0.53333333333333333</v>
      </c>
      <c r="Y232" s="55">
        <f>Table2929[[#This Row],[total_cost]]/Table2929[[#This Row],[cfa_post]]</f>
        <v>0.38689083820662767</v>
      </c>
      <c r="Z232" s="55">
        <f>Table2929[[#This Row],[total_cost]]/INDEX(CPI!$A$3:$C$31,MATCH(Table2929[[#This Row],[start_year]],CPI!$A$3:$A$31,0),3)</f>
        <v>944.17281971059833</v>
      </c>
      <c r="AA232" s="55">
        <f>Table2929[[#This Row],[$/sqft]]/INDEX(CPI!$A$3:$C$31,MATCH(Table2929[[#This Row],[start_year]],CPI!$A$3:$A$31,0),3)</f>
        <v>0.4601232064866464</v>
      </c>
      <c r="AB232" s="55" t="s">
        <v>71</v>
      </c>
    </row>
    <row r="233" spans="1:28" x14ac:dyDescent="0.2">
      <c r="A233" t="s">
        <v>5303</v>
      </c>
      <c r="B233">
        <v>4044</v>
      </c>
      <c r="C233">
        <v>11194</v>
      </c>
      <c r="D233" t="s">
        <v>5186</v>
      </c>
      <c r="E233" t="s">
        <v>4832</v>
      </c>
      <c r="F233" t="s">
        <v>5187</v>
      </c>
      <c r="G233" t="s">
        <v>1241</v>
      </c>
      <c r="H233">
        <v>190</v>
      </c>
      <c r="I233" t="s">
        <v>5191</v>
      </c>
      <c r="J233">
        <v>88</v>
      </c>
      <c r="K233" t="s">
        <v>5192</v>
      </c>
      <c r="L233">
        <v>198</v>
      </c>
      <c r="M233" t="s">
        <v>4971</v>
      </c>
      <c r="N233" t="s">
        <v>4969</v>
      </c>
      <c r="O233" t="s">
        <v>4838</v>
      </c>
      <c r="P233" t="s">
        <v>1241</v>
      </c>
      <c r="R233">
        <v>2000</v>
      </c>
      <c r="S233">
        <v>1222</v>
      </c>
      <c r="U233" t="s">
        <v>4840</v>
      </c>
      <c r="V233">
        <v>2019</v>
      </c>
      <c r="W233">
        <v>53.684210530000001</v>
      </c>
      <c r="X233" s="89">
        <f>ABS(IF(Table2929[[#This Row],[performance_2]]&lt;&gt;"", IF(Table2929[[#This Row],[performance_1]]&lt;&gt;"",(Table2929[[#This Row],[performance_1]]-Table2929[[#This Row],[performance_2]])/Table2929[[#This Row],[performance_1]],""), ""))</f>
        <v>0.5368421052631579</v>
      </c>
      <c r="Y233" s="55">
        <f>Table2929[[#This Row],[total_cost]]/Table2929[[#This Row],[cfa_post]]</f>
        <v>0.16202945990180032</v>
      </c>
      <c r="Z233" s="55">
        <f>Table2929[[#This Row],[total_cost]]/INDEX(CPI!$A$3:$C$31,MATCH(Table2929[[#This Row],[start_year]],CPI!$A$3:$A$31,0),3)</f>
        <v>235.47829487680877</v>
      </c>
      <c r="AA233" s="55">
        <f>Table2929[[#This Row],[$/sqft]]/INDEX(CPI!$A$3:$C$31,MATCH(Table2929[[#This Row],[start_year]],CPI!$A$3:$A$31,0),3)</f>
        <v>0.19269909564386969</v>
      </c>
      <c r="AB233" s="55" t="s">
        <v>71</v>
      </c>
    </row>
    <row r="234" spans="1:28" x14ac:dyDescent="0.2">
      <c r="A234" t="s">
        <v>5303</v>
      </c>
      <c r="B234">
        <v>5206</v>
      </c>
      <c r="C234">
        <v>13235</v>
      </c>
      <c r="D234" t="s">
        <v>5186</v>
      </c>
      <c r="E234" t="s">
        <v>4832</v>
      </c>
      <c r="F234" t="s">
        <v>5187</v>
      </c>
      <c r="G234" t="s">
        <v>1241</v>
      </c>
      <c r="H234">
        <v>173</v>
      </c>
      <c r="I234" t="s">
        <v>5191</v>
      </c>
      <c r="J234">
        <v>80</v>
      </c>
      <c r="K234" t="s">
        <v>5192</v>
      </c>
      <c r="L234">
        <v>286.87</v>
      </c>
      <c r="M234" t="s">
        <v>4981</v>
      </c>
      <c r="N234" t="s">
        <v>4979</v>
      </c>
      <c r="O234" t="s">
        <v>4838</v>
      </c>
      <c r="P234" t="s">
        <v>4844</v>
      </c>
      <c r="R234">
        <v>1974</v>
      </c>
      <c r="S234">
        <v>730</v>
      </c>
      <c r="U234" t="s">
        <v>4840</v>
      </c>
      <c r="V234">
        <v>2018</v>
      </c>
      <c r="W234">
        <v>53.757225429999998</v>
      </c>
      <c r="X234" s="89">
        <f>ABS(IF(Table2929[[#This Row],[performance_2]]&lt;&gt;"", IF(Table2929[[#This Row],[performance_1]]&lt;&gt;"",(Table2929[[#This Row],[performance_1]]-Table2929[[#This Row],[performance_2]])/Table2929[[#This Row],[performance_1]],""), ""))</f>
        <v>0.53757225433526012</v>
      </c>
      <c r="Y234" s="55">
        <f>Table2929[[#This Row],[total_cost]]/Table2929[[#This Row],[cfa_post]]</f>
        <v>0.39297260273972601</v>
      </c>
      <c r="Z234" s="55">
        <f>Table2929[[#This Row],[total_cost]]/INDEX(CPI!$A$3:$C$31,MATCH(Table2929[[#This Row],[start_year]],CPI!$A$3:$A$31,0),3)</f>
        <v>347.42001991238556</v>
      </c>
      <c r="AA234" s="55">
        <f>Table2929[[#This Row],[$/sqft]]/INDEX(CPI!$A$3:$C$31,MATCH(Table2929[[#This Row],[start_year]],CPI!$A$3:$A$31,0),3)</f>
        <v>0.47591783549641853</v>
      </c>
      <c r="AB234" s="55" t="s">
        <v>71</v>
      </c>
    </row>
    <row r="235" spans="1:28" x14ac:dyDescent="0.2">
      <c r="A235" t="s">
        <v>5303</v>
      </c>
      <c r="B235">
        <v>5043</v>
      </c>
      <c r="C235">
        <v>12264</v>
      </c>
      <c r="D235" t="s">
        <v>5186</v>
      </c>
      <c r="E235" t="s">
        <v>4832</v>
      </c>
      <c r="F235" t="s">
        <v>5187</v>
      </c>
      <c r="G235" t="s">
        <v>1241</v>
      </c>
      <c r="H235">
        <v>122</v>
      </c>
      <c r="I235" t="s">
        <v>5191</v>
      </c>
      <c r="J235">
        <v>56</v>
      </c>
      <c r="K235" t="s">
        <v>5192</v>
      </c>
      <c r="L235">
        <v>639.88</v>
      </c>
      <c r="M235" t="s">
        <v>4987</v>
      </c>
      <c r="N235" t="s">
        <v>4979</v>
      </c>
      <c r="O235" t="s">
        <v>4972</v>
      </c>
      <c r="P235" t="s">
        <v>1241</v>
      </c>
      <c r="R235">
        <v>2002</v>
      </c>
      <c r="S235">
        <v>1800</v>
      </c>
      <c r="U235" t="s">
        <v>4840</v>
      </c>
      <c r="V235">
        <v>2019</v>
      </c>
      <c r="W235">
        <v>54.098360659999997</v>
      </c>
      <c r="X235" s="89">
        <f>ABS(IF(Table2929[[#This Row],[performance_2]]&lt;&gt;"", IF(Table2929[[#This Row],[performance_1]]&lt;&gt;"",(Table2929[[#This Row],[performance_1]]-Table2929[[#This Row],[performance_2]])/Table2929[[#This Row],[performance_1]],""), ""))</f>
        <v>0.54098360655737709</v>
      </c>
      <c r="Y235" s="55">
        <f>Table2929[[#This Row],[total_cost]]/Table2929[[#This Row],[cfa_post]]</f>
        <v>0.35548888888888891</v>
      </c>
      <c r="Z235" s="55">
        <f>Table2929[[#This Row],[total_cost]]/INDEX(CPI!$A$3:$C$31,MATCH(Table2929[[#This Row],[start_year]],CPI!$A$3:$A$31,0),3)</f>
        <v>760.99924912006259</v>
      </c>
      <c r="AA235" s="55">
        <f>Table2929[[#This Row],[$/sqft]]/INDEX(CPI!$A$3:$C$31,MATCH(Table2929[[#This Row],[start_year]],CPI!$A$3:$A$31,0),3)</f>
        <v>0.42277736062225701</v>
      </c>
      <c r="AB235" s="55" t="s">
        <v>71</v>
      </c>
    </row>
    <row r="236" spans="1:28" x14ac:dyDescent="0.2">
      <c r="A236" t="s">
        <v>5303</v>
      </c>
      <c r="B236">
        <v>5122</v>
      </c>
      <c r="C236">
        <v>12741</v>
      </c>
      <c r="D236" t="s">
        <v>5186</v>
      </c>
      <c r="E236" t="s">
        <v>4832</v>
      </c>
      <c r="F236" t="s">
        <v>5187</v>
      </c>
      <c r="G236" t="s">
        <v>1241</v>
      </c>
      <c r="H236">
        <v>70</v>
      </c>
      <c r="I236" t="s">
        <v>5191</v>
      </c>
      <c r="J236">
        <v>32</v>
      </c>
      <c r="K236" t="s">
        <v>5192</v>
      </c>
      <c r="L236">
        <v>652.29999999999995</v>
      </c>
      <c r="M236" t="s">
        <v>4994</v>
      </c>
      <c r="N236" t="s">
        <v>4979</v>
      </c>
      <c r="O236" t="s">
        <v>4972</v>
      </c>
      <c r="P236" t="s">
        <v>1241</v>
      </c>
      <c r="R236">
        <v>1998</v>
      </c>
      <c r="S236">
        <v>1500</v>
      </c>
      <c r="U236" t="s">
        <v>4840</v>
      </c>
      <c r="V236">
        <v>2019</v>
      </c>
      <c r="W236">
        <v>54.285714290000001</v>
      </c>
      <c r="X236" s="89">
        <f>ABS(IF(Table2929[[#This Row],[performance_2]]&lt;&gt;"", IF(Table2929[[#This Row],[performance_1]]&lt;&gt;"",(Table2929[[#This Row],[performance_1]]-Table2929[[#This Row],[performance_2]])/Table2929[[#This Row],[performance_1]],""), ""))</f>
        <v>0.54285714285714282</v>
      </c>
      <c r="Y236" s="55">
        <f>Table2929[[#This Row],[total_cost]]/Table2929[[#This Row],[cfa_post]]</f>
        <v>0.43486666666666662</v>
      </c>
      <c r="Z236" s="55">
        <f>Table2929[[#This Row],[total_cost]]/INDEX(CPI!$A$3:$C$31,MATCH(Table2929[[#This Row],[start_year]],CPI!$A$3:$A$31,0),3)</f>
        <v>775.77016034415328</v>
      </c>
      <c r="AA236" s="55">
        <f>Table2929[[#This Row],[$/sqft]]/INDEX(CPI!$A$3:$C$31,MATCH(Table2929[[#This Row],[start_year]],CPI!$A$3:$A$31,0),3)</f>
        <v>0.51718010689610217</v>
      </c>
      <c r="AB236" s="55" t="s">
        <v>71</v>
      </c>
    </row>
    <row r="237" spans="1:28" x14ac:dyDescent="0.2">
      <c r="A237" t="s">
        <v>5303</v>
      </c>
      <c r="B237">
        <v>4040</v>
      </c>
      <c r="C237">
        <v>11178</v>
      </c>
      <c r="D237" t="s">
        <v>5186</v>
      </c>
      <c r="E237" t="s">
        <v>4832</v>
      </c>
      <c r="F237" t="s">
        <v>5187</v>
      </c>
      <c r="G237" t="s">
        <v>1241</v>
      </c>
      <c r="H237">
        <v>329</v>
      </c>
      <c r="I237" t="s">
        <v>5191</v>
      </c>
      <c r="J237">
        <v>150</v>
      </c>
      <c r="K237" t="s">
        <v>5192</v>
      </c>
      <c r="L237">
        <v>550</v>
      </c>
      <c r="M237" t="s">
        <v>4968</v>
      </c>
      <c r="N237" t="s">
        <v>4969</v>
      </c>
      <c r="O237" t="s">
        <v>4838</v>
      </c>
      <c r="P237" t="s">
        <v>1241</v>
      </c>
      <c r="R237">
        <v>1969</v>
      </c>
      <c r="S237">
        <v>1250</v>
      </c>
      <c r="U237" t="s">
        <v>4840</v>
      </c>
      <c r="V237">
        <v>2019</v>
      </c>
      <c r="W237">
        <v>54.407294829999998</v>
      </c>
      <c r="X237" s="89">
        <f>ABS(IF(Table2929[[#This Row],[performance_2]]&lt;&gt;"", IF(Table2929[[#This Row],[performance_1]]&lt;&gt;"",(Table2929[[#This Row],[performance_1]]-Table2929[[#This Row],[performance_2]])/Table2929[[#This Row],[performance_1]],""), ""))</f>
        <v>0.54407294832826747</v>
      </c>
      <c r="Y237" s="55">
        <f>Table2929[[#This Row],[total_cost]]/Table2929[[#This Row],[cfa_post]]</f>
        <v>0.44</v>
      </c>
      <c r="Z237" s="55">
        <f>Table2929[[#This Row],[total_cost]]/INDEX(CPI!$A$3:$C$31,MATCH(Table2929[[#This Row],[start_year]],CPI!$A$3:$A$31,0),3)</f>
        <v>654.10637465780212</v>
      </c>
      <c r="AA237" s="55">
        <f>Table2929[[#This Row],[$/sqft]]/INDEX(CPI!$A$3:$C$31,MATCH(Table2929[[#This Row],[start_year]],CPI!$A$3:$A$31,0),3)</f>
        <v>0.52328509972624171</v>
      </c>
      <c r="AB237" s="55" t="s">
        <v>71</v>
      </c>
    </row>
    <row r="238" spans="1:28" x14ac:dyDescent="0.2">
      <c r="A238" t="s">
        <v>5303</v>
      </c>
      <c r="B238">
        <v>5215</v>
      </c>
      <c r="C238">
        <v>13283</v>
      </c>
      <c r="D238" t="s">
        <v>5186</v>
      </c>
      <c r="E238" t="s">
        <v>4832</v>
      </c>
      <c r="F238" t="s">
        <v>5187</v>
      </c>
      <c r="G238" t="s">
        <v>1241</v>
      </c>
      <c r="H238">
        <v>216</v>
      </c>
      <c r="I238" t="s">
        <v>5191</v>
      </c>
      <c r="J238">
        <v>92</v>
      </c>
      <c r="K238" t="s">
        <v>5192</v>
      </c>
      <c r="L238">
        <v>400.15</v>
      </c>
      <c r="M238" t="s">
        <v>4981</v>
      </c>
      <c r="N238" t="s">
        <v>4979</v>
      </c>
      <c r="O238" t="s">
        <v>4972</v>
      </c>
      <c r="P238" t="s">
        <v>4844</v>
      </c>
      <c r="R238">
        <v>1998</v>
      </c>
      <c r="S238">
        <v>1976</v>
      </c>
      <c r="U238" t="s">
        <v>4840</v>
      </c>
      <c r="V238">
        <v>2018</v>
      </c>
      <c r="W238">
        <v>57.407407409999998</v>
      </c>
      <c r="X238" s="89">
        <f>ABS(IF(Table2929[[#This Row],[performance_2]]&lt;&gt;"", IF(Table2929[[#This Row],[performance_1]]&lt;&gt;"",(Table2929[[#This Row],[performance_1]]-Table2929[[#This Row],[performance_2]])/Table2929[[#This Row],[performance_1]],""), ""))</f>
        <v>0.57407407407407407</v>
      </c>
      <c r="Y238" s="55">
        <f>Table2929[[#This Row],[total_cost]]/Table2929[[#This Row],[cfa_post]]</f>
        <v>0.20250506072874494</v>
      </c>
      <c r="Z238" s="55">
        <f>Table2929[[#This Row],[total_cost]]/INDEX(CPI!$A$3:$C$31,MATCH(Table2929[[#This Row],[start_year]],CPI!$A$3:$A$31,0),3)</f>
        <v>484.61017522899243</v>
      </c>
      <c r="AA238" s="55">
        <f>Table2929[[#This Row],[$/sqft]]/INDEX(CPI!$A$3:$C$31,MATCH(Table2929[[#This Row],[start_year]],CPI!$A$3:$A$31,0),3)</f>
        <v>0.24524806438714195</v>
      </c>
      <c r="AB238" s="55" t="s">
        <v>71</v>
      </c>
    </row>
    <row r="239" spans="1:28" x14ac:dyDescent="0.2">
      <c r="A239" t="s">
        <v>5303</v>
      </c>
      <c r="B239">
        <v>5110</v>
      </c>
      <c r="C239">
        <v>12667</v>
      </c>
      <c r="D239" t="s">
        <v>5186</v>
      </c>
      <c r="E239" t="s">
        <v>4832</v>
      </c>
      <c r="F239" t="s">
        <v>5187</v>
      </c>
      <c r="G239" t="s">
        <v>1241</v>
      </c>
      <c r="H239">
        <v>62</v>
      </c>
      <c r="I239" t="s">
        <v>5191</v>
      </c>
      <c r="J239">
        <v>26</v>
      </c>
      <c r="K239" t="s">
        <v>5192</v>
      </c>
      <c r="L239">
        <v>572.20000000000005</v>
      </c>
      <c r="M239" t="s">
        <v>4985</v>
      </c>
      <c r="N239" t="s">
        <v>4979</v>
      </c>
      <c r="O239" t="s">
        <v>4972</v>
      </c>
      <c r="P239" t="s">
        <v>1241</v>
      </c>
      <c r="R239">
        <v>2007</v>
      </c>
      <c r="S239">
        <v>1500</v>
      </c>
      <c r="U239" t="s">
        <v>4840</v>
      </c>
      <c r="V239">
        <v>2018</v>
      </c>
      <c r="W239">
        <v>58.064516130000001</v>
      </c>
      <c r="X239" s="89">
        <f>ABS(IF(Table2929[[#This Row],[performance_2]]&lt;&gt;"", IF(Table2929[[#This Row],[performance_1]]&lt;&gt;"",(Table2929[[#This Row],[performance_1]]-Table2929[[#This Row],[performance_2]])/Table2929[[#This Row],[performance_1]],""), ""))</f>
        <v>0.58064516129032262</v>
      </c>
      <c r="Y239" s="55">
        <f>Table2929[[#This Row],[total_cost]]/Table2929[[#This Row],[cfa_post]]</f>
        <v>0.38146666666666668</v>
      </c>
      <c r="Z239" s="55">
        <f>Table2929[[#This Row],[total_cost]]/INDEX(CPI!$A$3:$C$31,MATCH(Table2929[[#This Row],[start_year]],CPI!$A$3:$A$31,0),3)</f>
        <v>692.97499004380734</v>
      </c>
      <c r="AA239" s="55">
        <f>Table2929[[#This Row],[$/sqft]]/INDEX(CPI!$A$3:$C$31,MATCH(Table2929[[#This Row],[start_year]],CPI!$A$3:$A$31,0),3)</f>
        <v>0.46198332669587155</v>
      </c>
      <c r="AB239" s="55" t="s">
        <v>71</v>
      </c>
    </row>
    <row r="240" spans="1:28" x14ac:dyDescent="0.2">
      <c r="A240" t="s">
        <v>5303</v>
      </c>
      <c r="B240">
        <v>5000</v>
      </c>
      <c r="C240">
        <v>12001</v>
      </c>
      <c r="D240" t="s">
        <v>5186</v>
      </c>
      <c r="E240" t="s">
        <v>4832</v>
      </c>
      <c r="F240" t="s">
        <v>5187</v>
      </c>
      <c r="G240" t="s">
        <v>1241</v>
      </c>
      <c r="H240">
        <v>432</v>
      </c>
      <c r="I240" t="s">
        <v>5191</v>
      </c>
      <c r="J240">
        <v>180</v>
      </c>
      <c r="K240" t="s">
        <v>5192</v>
      </c>
      <c r="L240">
        <v>1000</v>
      </c>
      <c r="M240" t="s">
        <v>4978</v>
      </c>
      <c r="N240" t="s">
        <v>4979</v>
      </c>
      <c r="O240" t="s">
        <v>4972</v>
      </c>
      <c r="P240" t="s">
        <v>1241</v>
      </c>
      <c r="R240">
        <v>1996</v>
      </c>
      <c r="S240">
        <v>988</v>
      </c>
      <c r="U240" t="s">
        <v>4840</v>
      </c>
      <c r="V240">
        <v>2017</v>
      </c>
      <c r="W240">
        <v>58.333333330000002</v>
      </c>
      <c r="X240" s="89">
        <f>ABS(IF(Table2929[[#This Row],[performance_2]]&lt;&gt;"", IF(Table2929[[#This Row],[performance_1]]&lt;&gt;"",(Table2929[[#This Row],[performance_1]]-Table2929[[#This Row],[performance_2]])/Table2929[[#This Row],[performance_1]],""), ""))</f>
        <v>0.58333333333333337</v>
      </c>
      <c r="Y240" s="55">
        <f>Table2929[[#This Row],[total_cost]]/Table2929[[#This Row],[cfa_post]]</f>
        <v>1.0121457489878543</v>
      </c>
      <c r="Z240" s="55">
        <f>Table2929[[#This Row],[total_cost]]/INDEX(CPI!$A$3:$C$31,MATCH(Table2929[[#This Row],[start_year]],CPI!$A$3:$A$31,0),3)</f>
        <v>1240.718074255406</v>
      </c>
      <c r="AA240" s="55">
        <f>Table2929[[#This Row],[$/sqft]]/INDEX(CPI!$A$3:$C$31,MATCH(Table2929[[#This Row],[start_year]],CPI!$A$3:$A$31,0),3)</f>
        <v>1.2557875245500061</v>
      </c>
      <c r="AB240" s="55" t="s">
        <v>71</v>
      </c>
    </row>
    <row r="241" spans="1:28" x14ac:dyDescent="0.2">
      <c r="A241" t="s">
        <v>5303</v>
      </c>
      <c r="B241">
        <v>5044</v>
      </c>
      <c r="C241">
        <v>12271</v>
      </c>
      <c r="D241" t="s">
        <v>5186</v>
      </c>
      <c r="E241" t="s">
        <v>4832</v>
      </c>
      <c r="F241" t="s">
        <v>5187</v>
      </c>
      <c r="G241" t="s">
        <v>1241</v>
      </c>
      <c r="H241">
        <v>394</v>
      </c>
      <c r="I241" t="s">
        <v>5191</v>
      </c>
      <c r="J241">
        <v>163</v>
      </c>
      <c r="K241" t="s">
        <v>5192</v>
      </c>
      <c r="L241">
        <v>1297.7</v>
      </c>
      <c r="M241" t="s">
        <v>4985</v>
      </c>
      <c r="N241" t="s">
        <v>4979</v>
      </c>
      <c r="O241" t="s">
        <v>4972</v>
      </c>
      <c r="P241" t="s">
        <v>1241</v>
      </c>
      <c r="R241">
        <v>1994</v>
      </c>
      <c r="S241">
        <v>2000</v>
      </c>
      <c r="U241" t="s">
        <v>4840</v>
      </c>
      <c r="V241">
        <v>2018</v>
      </c>
      <c r="W241">
        <v>58.629441620000001</v>
      </c>
      <c r="X241" s="89">
        <f>ABS(IF(Table2929[[#This Row],[performance_2]]&lt;&gt;"", IF(Table2929[[#This Row],[performance_1]]&lt;&gt;"",(Table2929[[#This Row],[performance_1]]-Table2929[[#This Row],[performance_2]])/Table2929[[#This Row],[performance_1]],""), ""))</f>
        <v>0.58629441624365486</v>
      </c>
      <c r="Y241" s="55">
        <f>Table2929[[#This Row],[total_cost]]/Table2929[[#This Row],[cfa_post]]</f>
        <v>0.64885000000000004</v>
      </c>
      <c r="Z241" s="55">
        <f>Table2929[[#This Row],[total_cost]]/INDEX(CPI!$A$3:$C$31,MATCH(Table2929[[#This Row],[start_year]],CPI!$A$3:$A$31,0),3)</f>
        <v>1571.6072082835526</v>
      </c>
      <c r="AA241" s="55">
        <f>Table2929[[#This Row],[$/sqft]]/INDEX(CPI!$A$3:$C$31,MATCH(Table2929[[#This Row],[start_year]],CPI!$A$3:$A$31,0),3)</f>
        <v>0.7858036041417763</v>
      </c>
      <c r="AB241" s="55" t="s">
        <v>71</v>
      </c>
    </row>
    <row r="242" spans="1:28" x14ac:dyDescent="0.2">
      <c r="A242" t="s">
        <v>5303</v>
      </c>
      <c r="B242">
        <v>4000</v>
      </c>
      <c r="C242">
        <v>11000</v>
      </c>
      <c r="D242" t="s">
        <v>5186</v>
      </c>
      <c r="E242" t="s">
        <v>4832</v>
      </c>
      <c r="F242" t="s">
        <v>5187</v>
      </c>
      <c r="G242" t="s">
        <v>1241</v>
      </c>
      <c r="H242">
        <v>225</v>
      </c>
      <c r="I242" t="s">
        <v>5191</v>
      </c>
      <c r="J242">
        <v>93</v>
      </c>
      <c r="K242" t="s">
        <v>5192</v>
      </c>
      <c r="L242">
        <v>421.7</v>
      </c>
      <c r="M242" t="s">
        <v>4974</v>
      </c>
      <c r="N242" t="s">
        <v>4969</v>
      </c>
      <c r="O242" t="s">
        <v>4972</v>
      </c>
      <c r="P242" t="s">
        <v>1241</v>
      </c>
      <c r="R242">
        <v>2004</v>
      </c>
      <c r="S242">
        <v>1881</v>
      </c>
      <c r="U242" t="s">
        <v>4840</v>
      </c>
      <c r="V242">
        <v>2019</v>
      </c>
      <c r="W242">
        <v>58.666666669999998</v>
      </c>
      <c r="X242" s="89">
        <f>ABS(IF(Table2929[[#This Row],[performance_2]]&lt;&gt;"", IF(Table2929[[#This Row],[performance_1]]&lt;&gt;"",(Table2929[[#This Row],[performance_1]]-Table2929[[#This Row],[performance_2]])/Table2929[[#This Row],[performance_1]],""), ""))</f>
        <v>0.58666666666666667</v>
      </c>
      <c r="Y242" s="55">
        <f>Table2929[[#This Row],[total_cost]]/Table2929[[#This Row],[cfa_post]]</f>
        <v>0.2241892610313663</v>
      </c>
      <c r="Z242" s="55">
        <f>Table2929[[#This Row],[total_cost]]/INDEX(CPI!$A$3:$C$31,MATCH(Table2929[[#This Row],[start_year]],CPI!$A$3:$A$31,0),3)</f>
        <v>501.52119671490027</v>
      </c>
      <c r="AA242" s="55">
        <f>Table2929[[#This Row],[$/sqft]]/INDEX(CPI!$A$3:$C$31,MATCH(Table2929[[#This Row],[start_year]],CPI!$A$3:$A$31,0),3)</f>
        <v>0.26662477230988851</v>
      </c>
      <c r="AB242" s="55" t="s">
        <v>71</v>
      </c>
    </row>
    <row r="243" spans="1:28" x14ac:dyDescent="0.2">
      <c r="A243" t="s">
        <v>5303</v>
      </c>
      <c r="B243">
        <v>5176</v>
      </c>
      <c r="C243">
        <v>13072</v>
      </c>
      <c r="D243" t="s">
        <v>5186</v>
      </c>
      <c r="E243" t="s">
        <v>4832</v>
      </c>
      <c r="F243" t="s">
        <v>5187</v>
      </c>
      <c r="G243" t="s">
        <v>1241</v>
      </c>
      <c r="H243">
        <v>179</v>
      </c>
      <c r="I243" t="s">
        <v>5191</v>
      </c>
      <c r="J243">
        <v>73</v>
      </c>
      <c r="K243" t="s">
        <v>5192</v>
      </c>
      <c r="L243">
        <v>1159.9000000000001</v>
      </c>
      <c r="M243" t="s">
        <v>4978</v>
      </c>
      <c r="N243" t="s">
        <v>4979</v>
      </c>
      <c r="O243" t="s">
        <v>4972</v>
      </c>
      <c r="P243" t="s">
        <v>4844</v>
      </c>
      <c r="R243">
        <v>1997</v>
      </c>
      <c r="S243">
        <v>1800</v>
      </c>
      <c r="U243" t="s">
        <v>4840</v>
      </c>
      <c r="V243">
        <v>2018</v>
      </c>
      <c r="W243">
        <v>59.217877090000002</v>
      </c>
      <c r="X243" s="89">
        <f>ABS(IF(Table2929[[#This Row],[performance_2]]&lt;&gt;"", IF(Table2929[[#This Row],[performance_1]]&lt;&gt;"",(Table2929[[#This Row],[performance_1]]-Table2929[[#This Row],[performance_2]])/Table2929[[#This Row],[performance_1]],""), ""))</f>
        <v>0.59217877094972071</v>
      </c>
      <c r="Y243" s="55">
        <f>Table2929[[#This Row],[total_cost]]/Table2929[[#This Row],[cfa_post]]</f>
        <v>0.6443888888888889</v>
      </c>
      <c r="Z243" s="55">
        <f>Table2929[[#This Row],[total_cost]]/INDEX(CPI!$A$3:$C$31,MATCH(Table2929[[#This Row],[start_year]],CPI!$A$3:$A$31,0),3)</f>
        <v>1404.7215850258863</v>
      </c>
      <c r="AA243" s="55">
        <f>Table2929[[#This Row],[$/sqft]]/INDEX(CPI!$A$3:$C$31,MATCH(Table2929[[#This Row],[start_year]],CPI!$A$3:$A$31,0),3)</f>
        <v>0.78040088056993684</v>
      </c>
      <c r="AB243" s="55" t="s">
        <v>71</v>
      </c>
    </row>
    <row r="244" spans="1:28" x14ac:dyDescent="0.2">
      <c r="A244" t="s">
        <v>5303</v>
      </c>
      <c r="B244">
        <v>5188</v>
      </c>
      <c r="C244">
        <v>13139</v>
      </c>
      <c r="D244" t="s">
        <v>5186</v>
      </c>
      <c r="E244" t="s">
        <v>4832</v>
      </c>
      <c r="F244" t="s">
        <v>5187</v>
      </c>
      <c r="G244" t="s">
        <v>1241</v>
      </c>
      <c r="H244">
        <v>239</v>
      </c>
      <c r="I244" t="s">
        <v>5191</v>
      </c>
      <c r="J244">
        <v>97</v>
      </c>
      <c r="K244" t="s">
        <v>5192</v>
      </c>
      <c r="L244">
        <v>569.70000000000005</v>
      </c>
      <c r="M244" t="s">
        <v>4978</v>
      </c>
      <c r="N244" t="s">
        <v>4979</v>
      </c>
      <c r="O244" t="s">
        <v>4972</v>
      </c>
      <c r="P244" t="s">
        <v>4844</v>
      </c>
      <c r="R244">
        <v>2002</v>
      </c>
      <c r="S244">
        <v>900</v>
      </c>
      <c r="U244" t="s">
        <v>4840</v>
      </c>
      <c r="V244">
        <v>2019</v>
      </c>
      <c r="W244">
        <v>59.414225940000001</v>
      </c>
      <c r="X244" s="89">
        <f>ABS(IF(Table2929[[#This Row],[performance_2]]&lt;&gt;"", IF(Table2929[[#This Row],[performance_1]]&lt;&gt;"",(Table2929[[#This Row],[performance_1]]-Table2929[[#This Row],[performance_2]])/Table2929[[#This Row],[performance_1]],""), ""))</f>
        <v>0.59414225941422594</v>
      </c>
      <c r="Y244" s="55">
        <f>Table2929[[#This Row],[total_cost]]/Table2929[[#This Row],[cfa_post]]</f>
        <v>0.63300000000000001</v>
      </c>
      <c r="Z244" s="55">
        <f>Table2929[[#This Row],[total_cost]]/INDEX(CPI!$A$3:$C$31,MATCH(Table2929[[#This Row],[start_year]],CPI!$A$3:$A$31,0),3)</f>
        <v>677.53527571372706</v>
      </c>
      <c r="AA244" s="55">
        <f>Table2929[[#This Row],[$/sqft]]/INDEX(CPI!$A$3:$C$31,MATCH(Table2929[[#This Row],[start_year]],CPI!$A$3:$A$31,0),3)</f>
        <v>0.7528169730152523</v>
      </c>
      <c r="AB244" s="55" t="s">
        <v>71</v>
      </c>
    </row>
    <row r="245" spans="1:28" x14ac:dyDescent="0.2">
      <c r="A245" t="s">
        <v>5303</v>
      </c>
      <c r="B245">
        <v>5195</v>
      </c>
      <c r="C245">
        <v>13181</v>
      </c>
      <c r="D245" t="s">
        <v>5186</v>
      </c>
      <c r="E245" t="s">
        <v>4832</v>
      </c>
      <c r="F245" t="s">
        <v>5187</v>
      </c>
      <c r="G245" t="s">
        <v>1241</v>
      </c>
      <c r="H245">
        <v>485</v>
      </c>
      <c r="I245" t="s">
        <v>5191</v>
      </c>
      <c r="J245">
        <v>196</v>
      </c>
      <c r="K245" t="s">
        <v>5192</v>
      </c>
      <c r="L245">
        <v>935.18</v>
      </c>
      <c r="M245" t="s">
        <v>4978</v>
      </c>
      <c r="N245" t="s">
        <v>4979</v>
      </c>
      <c r="O245" t="s">
        <v>4838</v>
      </c>
      <c r="P245" t="s">
        <v>4844</v>
      </c>
      <c r="R245">
        <v>1970</v>
      </c>
      <c r="S245">
        <v>1000</v>
      </c>
      <c r="U245" t="s">
        <v>4840</v>
      </c>
      <c r="V245">
        <v>2018</v>
      </c>
      <c r="W245">
        <v>59.587628870000003</v>
      </c>
      <c r="X245" s="89">
        <f>ABS(IF(Table2929[[#This Row],[performance_2]]&lt;&gt;"", IF(Table2929[[#This Row],[performance_1]]&lt;&gt;"",(Table2929[[#This Row],[performance_1]]-Table2929[[#This Row],[performance_2]])/Table2929[[#This Row],[performance_1]],""), ""))</f>
        <v>0.59587628865979381</v>
      </c>
      <c r="Y245" s="55">
        <f>Table2929[[#This Row],[total_cost]]/Table2929[[#This Row],[cfa_post]]</f>
        <v>0.9351799999999999</v>
      </c>
      <c r="Z245" s="55">
        <f>Table2929[[#This Row],[total_cost]]/INDEX(CPI!$A$3:$C$31,MATCH(Table2929[[#This Row],[start_year]],CPI!$A$3:$A$31,0),3)</f>
        <v>1132.569645559538</v>
      </c>
      <c r="AA245" s="55">
        <f>Table2929[[#This Row],[$/sqft]]/INDEX(CPI!$A$3:$C$31,MATCH(Table2929[[#This Row],[start_year]],CPI!$A$3:$A$31,0),3)</f>
        <v>1.132569645559538</v>
      </c>
      <c r="AB245" s="55" t="s">
        <v>71</v>
      </c>
    </row>
    <row r="246" spans="1:28" x14ac:dyDescent="0.2">
      <c r="A246" t="s">
        <v>5303</v>
      </c>
      <c r="B246">
        <v>5065</v>
      </c>
      <c r="C246">
        <v>12401</v>
      </c>
      <c r="D246" t="s">
        <v>5186</v>
      </c>
      <c r="E246" t="s">
        <v>4832</v>
      </c>
      <c r="F246" t="s">
        <v>5187</v>
      </c>
      <c r="G246" t="s">
        <v>1241</v>
      </c>
      <c r="H246">
        <v>574</v>
      </c>
      <c r="I246" t="s">
        <v>5191</v>
      </c>
      <c r="J246">
        <v>230</v>
      </c>
      <c r="K246" t="s">
        <v>5192</v>
      </c>
      <c r="L246">
        <v>1142.45</v>
      </c>
      <c r="M246" t="s">
        <v>4980</v>
      </c>
      <c r="N246" t="s">
        <v>4979</v>
      </c>
      <c r="O246" t="s">
        <v>4972</v>
      </c>
      <c r="P246" t="s">
        <v>4844</v>
      </c>
      <c r="R246">
        <v>2000</v>
      </c>
      <c r="S246">
        <v>1100</v>
      </c>
      <c r="U246" t="s">
        <v>4840</v>
      </c>
      <c r="V246">
        <v>2019</v>
      </c>
      <c r="W246">
        <v>59.930313589999997</v>
      </c>
      <c r="X246" s="89">
        <f>ABS(IF(Table2929[[#This Row],[performance_2]]&lt;&gt;"", IF(Table2929[[#This Row],[performance_1]]&lt;&gt;"",(Table2929[[#This Row],[performance_1]]-Table2929[[#This Row],[performance_2]])/Table2929[[#This Row],[performance_1]],""), ""))</f>
        <v>0.5993031358885017</v>
      </c>
      <c r="Y246" s="55">
        <f>Table2929[[#This Row],[total_cost]]/Table2929[[#This Row],[cfa_post]]</f>
        <v>1.0385909090909091</v>
      </c>
      <c r="Z246" s="55">
        <f>Table2929[[#This Row],[total_cost]]/INDEX(CPI!$A$3:$C$31,MATCH(Table2929[[#This Row],[start_year]],CPI!$A$3:$A$31,0),3)</f>
        <v>1358.6978685960112</v>
      </c>
      <c r="AA246" s="55">
        <f>Table2929[[#This Row],[$/sqft]]/INDEX(CPI!$A$3:$C$31,MATCH(Table2929[[#This Row],[start_year]],CPI!$A$3:$A$31,0),3)</f>
        <v>1.2351798805418281</v>
      </c>
      <c r="AB246" s="55" t="s">
        <v>71</v>
      </c>
    </row>
    <row r="247" spans="1:28" x14ac:dyDescent="0.2">
      <c r="A247" t="s">
        <v>5303</v>
      </c>
      <c r="B247">
        <v>5045</v>
      </c>
      <c r="C247">
        <v>12278</v>
      </c>
      <c r="D247" t="s">
        <v>5186</v>
      </c>
      <c r="E247" t="s">
        <v>4832</v>
      </c>
      <c r="F247" t="s">
        <v>5187</v>
      </c>
      <c r="G247" t="s">
        <v>1241</v>
      </c>
      <c r="H247">
        <v>180</v>
      </c>
      <c r="I247" t="s">
        <v>5191</v>
      </c>
      <c r="J247">
        <v>72</v>
      </c>
      <c r="K247" t="s">
        <v>5192</v>
      </c>
      <c r="L247">
        <v>377.69</v>
      </c>
      <c r="M247" t="s">
        <v>4988</v>
      </c>
      <c r="N247" t="s">
        <v>4979</v>
      </c>
      <c r="O247" t="s">
        <v>4972</v>
      </c>
      <c r="P247" t="s">
        <v>4844</v>
      </c>
      <c r="R247">
        <v>1989</v>
      </c>
      <c r="S247">
        <v>1625</v>
      </c>
      <c r="U247" t="s">
        <v>4840</v>
      </c>
      <c r="V247">
        <v>2017</v>
      </c>
      <c r="W247">
        <v>60</v>
      </c>
      <c r="X247" s="89">
        <f>ABS(IF(Table2929[[#This Row],[performance_2]]&lt;&gt;"", IF(Table2929[[#This Row],[performance_1]]&lt;&gt;"",(Table2929[[#This Row],[performance_1]]-Table2929[[#This Row],[performance_2]])/Table2929[[#This Row],[performance_1]],""), ""))</f>
        <v>0.6</v>
      </c>
      <c r="Y247" s="55">
        <f>Table2929[[#This Row],[total_cost]]/Table2929[[#This Row],[cfa_post]]</f>
        <v>0.2324246153846154</v>
      </c>
      <c r="Z247" s="55">
        <f>Table2929[[#This Row],[total_cost]]/INDEX(CPI!$A$3:$C$31,MATCH(Table2929[[#This Row],[start_year]],CPI!$A$3:$A$31,0),3)</f>
        <v>468.60680946552429</v>
      </c>
      <c r="AA247" s="55">
        <f>Table2929[[#This Row],[$/sqft]]/INDEX(CPI!$A$3:$C$31,MATCH(Table2929[[#This Row],[start_year]],CPI!$A$3:$A$31,0),3)</f>
        <v>0.28837342120955345</v>
      </c>
      <c r="AB247" s="55" t="s">
        <v>71</v>
      </c>
    </row>
    <row r="248" spans="1:28" x14ac:dyDescent="0.2">
      <c r="A248" t="s">
        <v>5303</v>
      </c>
      <c r="B248">
        <v>5078</v>
      </c>
      <c r="C248">
        <v>12477</v>
      </c>
      <c r="D248" t="s">
        <v>5186</v>
      </c>
      <c r="E248" t="s">
        <v>4832</v>
      </c>
      <c r="F248" t="s">
        <v>5187</v>
      </c>
      <c r="G248" t="s">
        <v>1241</v>
      </c>
      <c r="H248">
        <v>180</v>
      </c>
      <c r="I248" t="s">
        <v>5191</v>
      </c>
      <c r="J248">
        <v>72</v>
      </c>
      <c r="K248" t="s">
        <v>5192</v>
      </c>
      <c r="L248">
        <v>406.5</v>
      </c>
      <c r="M248" t="s">
        <v>4981</v>
      </c>
      <c r="N248" t="s">
        <v>4979</v>
      </c>
      <c r="O248" t="s">
        <v>4972</v>
      </c>
      <c r="P248" t="s">
        <v>4844</v>
      </c>
      <c r="R248">
        <v>1998</v>
      </c>
      <c r="S248">
        <v>1960</v>
      </c>
      <c r="U248" t="s">
        <v>4840</v>
      </c>
      <c r="V248">
        <v>2017</v>
      </c>
      <c r="W248">
        <v>60</v>
      </c>
      <c r="X248" s="89">
        <f>ABS(IF(Table2929[[#This Row],[performance_2]]&lt;&gt;"", IF(Table2929[[#This Row],[performance_1]]&lt;&gt;"",(Table2929[[#This Row],[performance_1]]-Table2929[[#This Row],[performance_2]])/Table2929[[#This Row],[performance_1]],""), ""))</f>
        <v>0.6</v>
      </c>
      <c r="Y248" s="55">
        <f>Table2929[[#This Row],[total_cost]]/Table2929[[#This Row],[cfa_post]]</f>
        <v>0.20739795918367346</v>
      </c>
      <c r="Z248" s="55">
        <f>Table2929[[#This Row],[total_cost]]/INDEX(CPI!$A$3:$C$31,MATCH(Table2929[[#This Row],[start_year]],CPI!$A$3:$A$31,0),3)</f>
        <v>504.35189718482258</v>
      </c>
      <c r="AA248" s="55">
        <f>Table2929[[#This Row],[$/sqft]]/INDEX(CPI!$A$3:$C$31,MATCH(Table2929[[#This Row],[start_year]],CPI!$A$3:$A$31,0),3)</f>
        <v>0.25732239652286865</v>
      </c>
      <c r="AB248" s="55" t="s">
        <v>71</v>
      </c>
    </row>
    <row r="249" spans="1:28" x14ac:dyDescent="0.2">
      <c r="A249" t="s">
        <v>5303</v>
      </c>
      <c r="B249">
        <v>5143</v>
      </c>
      <c r="C249">
        <v>12875</v>
      </c>
      <c r="D249" t="s">
        <v>5186</v>
      </c>
      <c r="E249" t="s">
        <v>4832</v>
      </c>
      <c r="F249" t="s">
        <v>5187</v>
      </c>
      <c r="G249" t="s">
        <v>1241</v>
      </c>
      <c r="H249">
        <v>410</v>
      </c>
      <c r="I249" t="s">
        <v>5191</v>
      </c>
      <c r="J249">
        <v>164</v>
      </c>
      <c r="K249" t="s">
        <v>5192</v>
      </c>
      <c r="L249">
        <v>872.45</v>
      </c>
      <c r="M249" t="s">
        <v>4997</v>
      </c>
      <c r="N249" t="s">
        <v>4979</v>
      </c>
      <c r="O249" t="s">
        <v>4838</v>
      </c>
      <c r="P249" t="s">
        <v>1241</v>
      </c>
      <c r="R249">
        <v>1939</v>
      </c>
      <c r="S249">
        <v>2200</v>
      </c>
      <c r="U249" t="s">
        <v>4840</v>
      </c>
      <c r="V249">
        <v>2018</v>
      </c>
      <c r="W249">
        <v>60</v>
      </c>
      <c r="X249" s="89">
        <f>ABS(IF(Table2929[[#This Row],[performance_2]]&lt;&gt;"", IF(Table2929[[#This Row],[performance_1]]&lt;&gt;"",(Table2929[[#This Row],[performance_1]]-Table2929[[#This Row],[performance_2]])/Table2929[[#This Row],[performance_1]],""), ""))</f>
        <v>0.6</v>
      </c>
      <c r="Y249" s="55">
        <f>Table2929[[#This Row],[total_cost]]/Table2929[[#This Row],[cfa_post]]</f>
        <v>0.39656818181818182</v>
      </c>
      <c r="Z249" s="55">
        <f>Table2929[[#This Row],[total_cost]]/INDEX(CPI!$A$3:$C$31,MATCH(Table2929[[#This Row],[start_year]],CPI!$A$3:$A$31,0),3)</f>
        <v>1056.5991437674236</v>
      </c>
      <c r="AA249" s="55">
        <f>Table2929[[#This Row],[$/sqft]]/INDEX(CPI!$A$3:$C$31,MATCH(Table2929[[#This Row],[start_year]],CPI!$A$3:$A$31,0),3)</f>
        <v>0.48027233807610153</v>
      </c>
      <c r="AB249" s="55" t="s">
        <v>71</v>
      </c>
    </row>
    <row r="250" spans="1:28" x14ac:dyDescent="0.2">
      <c r="A250" t="s">
        <v>5303</v>
      </c>
      <c r="B250">
        <v>5238</v>
      </c>
      <c r="C250">
        <v>13410</v>
      </c>
      <c r="D250" t="s">
        <v>5186</v>
      </c>
      <c r="E250" t="s">
        <v>4832</v>
      </c>
      <c r="F250" t="s">
        <v>5187</v>
      </c>
      <c r="G250" t="s">
        <v>1241</v>
      </c>
      <c r="H250">
        <v>350</v>
      </c>
      <c r="I250" t="s">
        <v>5191</v>
      </c>
      <c r="J250">
        <v>140</v>
      </c>
      <c r="K250" t="s">
        <v>5192</v>
      </c>
      <c r="L250">
        <v>1213</v>
      </c>
      <c r="M250" t="s">
        <v>4998</v>
      </c>
      <c r="N250" t="s">
        <v>4979</v>
      </c>
      <c r="O250" t="s">
        <v>4972</v>
      </c>
      <c r="P250" t="s">
        <v>1241</v>
      </c>
      <c r="R250">
        <v>1997</v>
      </c>
      <c r="S250">
        <v>1755</v>
      </c>
      <c r="U250" t="s">
        <v>4840</v>
      </c>
      <c r="V250">
        <v>2017</v>
      </c>
      <c r="W250">
        <v>60</v>
      </c>
      <c r="X250" s="89">
        <f>ABS(IF(Table2929[[#This Row],[performance_2]]&lt;&gt;"", IF(Table2929[[#This Row],[performance_1]]&lt;&gt;"",(Table2929[[#This Row],[performance_1]]-Table2929[[#This Row],[performance_2]])/Table2929[[#This Row],[performance_1]],""), ""))</f>
        <v>0.6</v>
      </c>
      <c r="Y250" s="55">
        <f>Table2929[[#This Row],[total_cost]]/Table2929[[#This Row],[cfa_post]]</f>
        <v>0.69116809116809119</v>
      </c>
      <c r="Z250" s="55">
        <f>Table2929[[#This Row],[total_cost]]/INDEX(CPI!$A$3:$C$31,MATCH(Table2929[[#This Row],[start_year]],CPI!$A$3:$A$31,0),3)</f>
        <v>1504.9910240718075</v>
      </c>
      <c r="AA250" s="55">
        <f>Table2929[[#This Row],[$/sqft]]/INDEX(CPI!$A$3:$C$31,MATCH(Table2929[[#This Row],[start_year]],CPI!$A$3:$A$31,0),3)</f>
        <v>0.85754474306085904</v>
      </c>
      <c r="AB250" s="55" t="s">
        <v>71</v>
      </c>
    </row>
    <row r="251" spans="1:28" x14ac:dyDescent="0.2">
      <c r="A251" t="s">
        <v>5303</v>
      </c>
      <c r="B251">
        <v>5264</v>
      </c>
      <c r="C251">
        <v>13553</v>
      </c>
      <c r="D251" t="s">
        <v>5186</v>
      </c>
      <c r="E251" t="s">
        <v>4832</v>
      </c>
      <c r="F251" t="s">
        <v>5187</v>
      </c>
      <c r="G251" t="s">
        <v>1241</v>
      </c>
      <c r="H251">
        <v>240</v>
      </c>
      <c r="I251" t="s">
        <v>5191</v>
      </c>
      <c r="J251">
        <v>96</v>
      </c>
      <c r="K251" t="s">
        <v>5192</v>
      </c>
      <c r="L251">
        <v>300</v>
      </c>
      <c r="M251" t="s">
        <v>4997</v>
      </c>
      <c r="N251" t="s">
        <v>4979</v>
      </c>
      <c r="O251" t="s">
        <v>4972</v>
      </c>
      <c r="P251" t="s">
        <v>4844</v>
      </c>
      <c r="R251">
        <v>2001</v>
      </c>
      <c r="S251">
        <v>2184</v>
      </c>
      <c r="U251" t="s">
        <v>4840</v>
      </c>
      <c r="V251">
        <v>2017</v>
      </c>
      <c r="W251">
        <v>60</v>
      </c>
      <c r="X251" s="89">
        <f>ABS(IF(Table2929[[#This Row],[performance_2]]&lt;&gt;"", IF(Table2929[[#This Row],[performance_1]]&lt;&gt;"",(Table2929[[#This Row],[performance_1]]-Table2929[[#This Row],[performance_2]])/Table2929[[#This Row],[performance_1]],""), ""))</f>
        <v>0.6</v>
      </c>
      <c r="Y251" s="55">
        <f>Table2929[[#This Row],[total_cost]]/Table2929[[#This Row],[cfa_post]]</f>
        <v>0.13736263736263737</v>
      </c>
      <c r="Z251" s="55">
        <f>Table2929[[#This Row],[total_cost]]/INDEX(CPI!$A$3:$C$31,MATCH(Table2929[[#This Row],[start_year]],CPI!$A$3:$A$31,0),3)</f>
        <v>372.21542227662184</v>
      </c>
      <c r="AA251" s="55">
        <f>Table2929[[#This Row],[$/sqft]]/INDEX(CPI!$A$3:$C$31,MATCH(Table2929[[#This Row],[start_year]],CPI!$A$3:$A$31,0),3)</f>
        <v>0.17042830690321514</v>
      </c>
      <c r="AB251" s="55" t="s">
        <v>71</v>
      </c>
    </row>
    <row r="252" spans="1:28" x14ac:dyDescent="0.2">
      <c r="A252" t="s">
        <v>5303</v>
      </c>
      <c r="B252">
        <v>5211</v>
      </c>
      <c r="C252">
        <v>13263</v>
      </c>
      <c r="D252" t="s">
        <v>5186</v>
      </c>
      <c r="E252" t="s">
        <v>4832</v>
      </c>
      <c r="F252" t="s">
        <v>5187</v>
      </c>
      <c r="G252" t="s">
        <v>1241</v>
      </c>
      <c r="H252">
        <v>203</v>
      </c>
      <c r="I252" t="s">
        <v>5191</v>
      </c>
      <c r="J252">
        <v>80</v>
      </c>
      <c r="K252" t="s">
        <v>5192</v>
      </c>
      <c r="L252">
        <v>756.7</v>
      </c>
      <c r="M252" t="s">
        <v>4900</v>
      </c>
      <c r="N252" t="s">
        <v>4979</v>
      </c>
      <c r="O252" t="s">
        <v>4838</v>
      </c>
      <c r="P252" t="s">
        <v>4844</v>
      </c>
      <c r="R252">
        <v>1971</v>
      </c>
      <c r="S252">
        <v>1200</v>
      </c>
      <c r="U252" t="s">
        <v>4840</v>
      </c>
      <c r="V252">
        <v>2018</v>
      </c>
      <c r="W252">
        <v>60.591132999999999</v>
      </c>
      <c r="X252" s="89">
        <f>ABS(IF(Table2929[[#This Row],[performance_2]]&lt;&gt;"", IF(Table2929[[#This Row],[performance_1]]&lt;&gt;"",(Table2929[[#This Row],[performance_1]]-Table2929[[#This Row],[performance_2]])/Table2929[[#This Row],[performance_1]],""), ""))</f>
        <v>0.60591133004926112</v>
      </c>
      <c r="Y252" s="55">
        <f>Table2929[[#This Row],[total_cost]]/Table2929[[#This Row],[cfa_post]]</f>
        <v>0.63058333333333338</v>
      </c>
      <c r="Z252" s="55">
        <f>Table2929[[#This Row],[total_cost]]/INDEX(CPI!$A$3:$C$31,MATCH(Table2929[[#This Row],[start_year]],CPI!$A$3:$A$31,0),3)</f>
        <v>916.41764237355653</v>
      </c>
      <c r="AA252" s="55">
        <f>Table2929[[#This Row],[$/sqft]]/INDEX(CPI!$A$3:$C$31,MATCH(Table2929[[#This Row],[start_year]],CPI!$A$3:$A$31,0),3)</f>
        <v>0.76368136864463043</v>
      </c>
      <c r="AB252" s="55" t="s">
        <v>71</v>
      </c>
    </row>
    <row r="253" spans="1:28" x14ac:dyDescent="0.2">
      <c r="A253" t="s">
        <v>5303</v>
      </c>
      <c r="B253">
        <v>5190</v>
      </c>
      <c r="C253">
        <v>13152</v>
      </c>
      <c r="D253" t="s">
        <v>5186</v>
      </c>
      <c r="E253" t="s">
        <v>4832</v>
      </c>
      <c r="F253" t="s">
        <v>5187</v>
      </c>
      <c r="G253" t="s">
        <v>1241</v>
      </c>
      <c r="H253">
        <v>248</v>
      </c>
      <c r="I253" t="s">
        <v>5191</v>
      </c>
      <c r="J253">
        <v>97</v>
      </c>
      <c r="K253" t="s">
        <v>5192</v>
      </c>
      <c r="L253">
        <v>885.34</v>
      </c>
      <c r="M253" t="s">
        <v>4988</v>
      </c>
      <c r="N253" t="s">
        <v>4979</v>
      </c>
      <c r="O253" t="s">
        <v>4838</v>
      </c>
      <c r="P253" t="s">
        <v>4844</v>
      </c>
      <c r="R253">
        <v>1978</v>
      </c>
      <c r="S253">
        <v>1000</v>
      </c>
      <c r="U253" t="s">
        <v>4840</v>
      </c>
      <c r="V253">
        <v>2017</v>
      </c>
      <c r="W253">
        <v>60.887096769999999</v>
      </c>
      <c r="X253" s="89">
        <f>ABS(IF(Table2929[[#This Row],[performance_2]]&lt;&gt;"", IF(Table2929[[#This Row],[performance_1]]&lt;&gt;"",(Table2929[[#This Row],[performance_1]]-Table2929[[#This Row],[performance_2]])/Table2929[[#This Row],[performance_1]],""), ""))</f>
        <v>0.6088709677419355</v>
      </c>
      <c r="Y253" s="55">
        <f>Table2929[[#This Row],[total_cost]]/Table2929[[#This Row],[cfa_post]]</f>
        <v>0.88534000000000002</v>
      </c>
      <c r="Z253" s="55">
        <f>Table2929[[#This Row],[total_cost]]/INDEX(CPI!$A$3:$C$31,MATCH(Table2929[[#This Row],[start_year]],CPI!$A$3:$A$31,0),3)</f>
        <v>1098.4573398612813</v>
      </c>
      <c r="AA253" s="55">
        <f>Table2929[[#This Row],[$/sqft]]/INDEX(CPI!$A$3:$C$31,MATCH(Table2929[[#This Row],[start_year]],CPI!$A$3:$A$31,0),3)</f>
        <v>1.0984573398612811</v>
      </c>
      <c r="AB253" s="55" t="s">
        <v>71</v>
      </c>
    </row>
    <row r="254" spans="1:28" x14ac:dyDescent="0.2">
      <c r="A254" t="s">
        <v>5303</v>
      </c>
      <c r="B254">
        <v>5169</v>
      </c>
      <c r="C254">
        <v>13032</v>
      </c>
      <c r="D254" t="s">
        <v>5186</v>
      </c>
      <c r="E254" t="s">
        <v>4832</v>
      </c>
      <c r="F254" t="s">
        <v>5187</v>
      </c>
      <c r="G254" t="s">
        <v>1241</v>
      </c>
      <c r="H254">
        <v>394</v>
      </c>
      <c r="I254" t="s">
        <v>5191</v>
      </c>
      <c r="J254">
        <v>154</v>
      </c>
      <c r="K254" t="s">
        <v>5192</v>
      </c>
      <c r="L254">
        <v>710.05</v>
      </c>
      <c r="M254" t="s">
        <v>4997</v>
      </c>
      <c r="N254" t="s">
        <v>4979</v>
      </c>
      <c r="O254" t="s">
        <v>4972</v>
      </c>
      <c r="P254" t="s">
        <v>4844</v>
      </c>
      <c r="R254">
        <v>2001</v>
      </c>
      <c r="S254">
        <v>1700</v>
      </c>
      <c r="U254" t="s">
        <v>4840</v>
      </c>
      <c r="V254">
        <v>2019</v>
      </c>
      <c r="W254">
        <v>60.913705579999998</v>
      </c>
      <c r="X254" s="89">
        <f>ABS(IF(Table2929[[#This Row],[performance_2]]&lt;&gt;"", IF(Table2929[[#This Row],[performance_1]]&lt;&gt;"",(Table2929[[#This Row],[performance_1]]-Table2929[[#This Row],[performance_2]])/Table2929[[#This Row],[performance_1]],""), ""))</f>
        <v>0.6091370558375635</v>
      </c>
      <c r="Y254" s="55">
        <f>Table2929[[#This Row],[total_cost]]/Table2929[[#This Row],[cfa_post]]</f>
        <v>0.41767647058823526</v>
      </c>
      <c r="Z254" s="55">
        <f>Table2929[[#This Row],[total_cost]]/INDEX(CPI!$A$3:$C$31,MATCH(Table2929[[#This Row],[start_year]],CPI!$A$3:$A$31,0),3)</f>
        <v>844.45132968322253</v>
      </c>
      <c r="AA254" s="55">
        <f>Table2929[[#This Row],[$/sqft]]/INDEX(CPI!$A$3:$C$31,MATCH(Table2929[[#This Row],[start_year]],CPI!$A$3:$A$31,0),3)</f>
        <v>0.49673607628424854</v>
      </c>
      <c r="AB254" s="55" t="s">
        <v>71</v>
      </c>
    </row>
    <row r="255" spans="1:28" x14ac:dyDescent="0.2">
      <c r="A255" t="s">
        <v>5303</v>
      </c>
      <c r="B255">
        <v>5148</v>
      </c>
      <c r="C255">
        <v>12903</v>
      </c>
      <c r="D255" t="s">
        <v>5186</v>
      </c>
      <c r="E255" t="s">
        <v>4832</v>
      </c>
      <c r="F255" t="s">
        <v>5187</v>
      </c>
      <c r="G255" t="s">
        <v>1241</v>
      </c>
      <c r="H255">
        <v>270</v>
      </c>
      <c r="I255" t="s">
        <v>5191</v>
      </c>
      <c r="J255">
        <v>105</v>
      </c>
      <c r="K255" t="s">
        <v>5192</v>
      </c>
      <c r="L255">
        <v>1236.1500000000001</v>
      </c>
      <c r="M255" t="s">
        <v>4998</v>
      </c>
      <c r="N255" t="s">
        <v>4979</v>
      </c>
      <c r="O255" t="s">
        <v>4838</v>
      </c>
      <c r="P255" t="s">
        <v>4844</v>
      </c>
      <c r="R255">
        <v>1976</v>
      </c>
      <c r="S255">
        <v>900</v>
      </c>
      <c r="U255" t="s">
        <v>4840</v>
      </c>
      <c r="V255">
        <v>2019</v>
      </c>
      <c r="W255">
        <v>61.111111110000003</v>
      </c>
      <c r="X255" s="89">
        <f>ABS(IF(Table2929[[#This Row],[performance_2]]&lt;&gt;"", IF(Table2929[[#This Row],[performance_1]]&lt;&gt;"",(Table2929[[#This Row],[performance_1]]-Table2929[[#This Row],[performance_2]])/Table2929[[#This Row],[performance_1]],""), ""))</f>
        <v>0.61111111111111116</v>
      </c>
      <c r="Y255" s="55">
        <f>Table2929[[#This Row],[total_cost]]/Table2929[[#This Row],[cfa_post]]</f>
        <v>1.3735000000000002</v>
      </c>
      <c r="Z255" s="55">
        <f>Table2929[[#This Row],[total_cost]]/INDEX(CPI!$A$3:$C$31,MATCH(Table2929[[#This Row],[start_year]],CPI!$A$3:$A$31,0),3)</f>
        <v>1470.1338091513494</v>
      </c>
      <c r="AA255" s="55">
        <f>Table2929[[#This Row],[$/sqft]]/INDEX(CPI!$A$3:$C$31,MATCH(Table2929[[#This Row],[start_year]],CPI!$A$3:$A$31,0),3)</f>
        <v>1.6334820101681662</v>
      </c>
      <c r="AB255" s="55" t="s">
        <v>71</v>
      </c>
    </row>
    <row r="256" spans="1:28" x14ac:dyDescent="0.2">
      <c r="A256" t="s">
        <v>5303</v>
      </c>
      <c r="B256">
        <v>4016</v>
      </c>
      <c r="C256">
        <v>11069</v>
      </c>
      <c r="D256" t="s">
        <v>5186</v>
      </c>
      <c r="E256" t="s">
        <v>4832</v>
      </c>
      <c r="F256" t="s">
        <v>5187</v>
      </c>
      <c r="G256" t="s">
        <v>1241</v>
      </c>
      <c r="H256">
        <v>352</v>
      </c>
      <c r="I256" t="s">
        <v>5191</v>
      </c>
      <c r="J256">
        <v>135</v>
      </c>
      <c r="K256" t="s">
        <v>5192</v>
      </c>
      <c r="L256">
        <v>684.9</v>
      </c>
      <c r="M256" t="s">
        <v>4968</v>
      </c>
      <c r="N256" t="s">
        <v>4969</v>
      </c>
      <c r="O256" t="s">
        <v>4838</v>
      </c>
      <c r="P256" t="s">
        <v>4844</v>
      </c>
      <c r="R256">
        <v>1982</v>
      </c>
      <c r="S256">
        <v>1940</v>
      </c>
      <c r="U256" t="s">
        <v>4840</v>
      </c>
      <c r="V256">
        <v>2019</v>
      </c>
      <c r="W256">
        <v>61.647727269999997</v>
      </c>
      <c r="X256" s="89">
        <f>ABS(IF(Table2929[[#This Row],[performance_2]]&lt;&gt;"", IF(Table2929[[#This Row],[performance_1]]&lt;&gt;"",(Table2929[[#This Row],[performance_1]]-Table2929[[#This Row],[performance_2]])/Table2929[[#This Row],[performance_1]],""), ""))</f>
        <v>0.61647727272727271</v>
      </c>
      <c r="Y256" s="55">
        <f>Table2929[[#This Row],[total_cost]]/Table2929[[#This Row],[cfa_post]]</f>
        <v>0.35304123711340207</v>
      </c>
      <c r="Z256" s="55">
        <f>Table2929[[#This Row],[total_cost]]/INDEX(CPI!$A$3:$C$31,MATCH(Table2929[[#This Row],[start_year]],CPI!$A$3:$A$31,0),3)</f>
        <v>814.54082909659758</v>
      </c>
      <c r="AA256" s="55">
        <f>Table2929[[#This Row],[$/sqft]]/INDEX(CPI!$A$3:$C$31,MATCH(Table2929[[#This Row],[start_year]],CPI!$A$3:$A$31,0),3)</f>
        <v>0.41986640675082354</v>
      </c>
      <c r="AB256" s="55" t="s">
        <v>71</v>
      </c>
    </row>
    <row r="257" spans="1:28" x14ac:dyDescent="0.2">
      <c r="A257" t="s">
        <v>5303</v>
      </c>
      <c r="B257">
        <v>5260</v>
      </c>
      <c r="C257">
        <v>13533</v>
      </c>
      <c r="D257" t="s">
        <v>5186</v>
      </c>
      <c r="E257" t="s">
        <v>4832</v>
      </c>
      <c r="F257" t="s">
        <v>5187</v>
      </c>
      <c r="G257" t="s">
        <v>1241</v>
      </c>
      <c r="H257">
        <v>396</v>
      </c>
      <c r="I257" t="s">
        <v>5191</v>
      </c>
      <c r="J257">
        <v>151</v>
      </c>
      <c r="K257" t="s">
        <v>5192</v>
      </c>
      <c r="L257">
        <v>418.51</v>
      </c>
      <c r="M257" t="s">
        <v>4988</v>
      </c>
      <c r="N257" t="s">
        <v>4979</v>
      </c>
      <c r="O257" t="s">
        <v>4972</v>
      </c>
      <c r="P257" t="s">
        <v>4844</v>
      </c>
      <c r="R257">
        <v>2004</v>
      </c>
      <c r="S257">
        <v>1200</v>
      </c>
      <c r="U257" t="s">
        <v>4840</v>
      </c>
      <c r="V257">
        <v>2018</v>
      </c>
      <c r="W257">
        <v>61.868686869999998</v>
      </c>
      <c r="X257" s="89">
        <f>ABS(IF(Table2929[[#This Row],[performance_2]]&lt;&gt;"", IF(Table2929[[#This Row],[performance_1]]&lt;&gt;"",(Table2929[[#This Row],[performance_1]]-Table2929[[#This Row],[performance_2]])/Table2929[[#This Row],[performance_1]],""), ""))</f>
        <v>0.61868686868686873</v>
      </c>
      <c r="Y257" s="55">
        <f>Table2929[[#This Row],[total_cost]]/Table2929[[#This Row],[cfa_post]]</f>
        <v>0.34875833333333334</v>
      </c>
      <c r="Z257" s="55">
        <f>Table2929[[#This Row],[total_cost]]/INDEX(CPI!$A$3:$C$31,MATCH(Table2929[[#This Row],[start_year]],CPI!$A$3:$A$31,0),3)</f>
        <v>506.84544404619675</v>
      </c>
      <c r="AA257" s="55">
        <f>Table2929[[#This Row],[$/sqft]]/INDEX(CPI!$A$3:$C$31,MATCH(Table2929[[#This Row],[start_year]],CPI!$A$3:$A$31,0),3)</f>
        <v>0.42237120337183065</v>
      </c>
      <c r="AB257" s="55" t="s">
        <v>71</v>
      </c>
    </row>
    <row r="258" spans="1:28" x14ac:dyDescent="0.2">
      <c r="A258" t="s">
        <v>5303</v>
      </c>
      <c r="B258">
        <v>5229</v>
      </c>
      <c r="C258">
        <v>13361</v>
      </c>
      <c r="D258" t="s">
        <v>5186</v>
      </c>
      <c r="E258" t="s">
        <v>4832</v>
      </c>
      <c r="F258" t="s">
        <v>5187</v>
      </c>
      <c r="G258" t="s">
        <v>1241</v>
      </c>
      <c r="H258">
        <v>426</v>
      </c>
      <c r="I258" t="s">
        <v>5191</v>
      </c>
      <c r="J258">
        <v>162</v>
      </c>
      <c r="K258" t="s">
        <v>5192</v>
      </c>
      <c r="L258">
        <v>630.75</v>
      </c>
      <c r="M258" t="s">
        <v>4900</v>
      </c>
      <c r="N258" t="s">
        <v>4979</v>
      </c>
      <c r="O258" t="s">
        <v>4838</v>
      </c>
      <c r="P258" t="s">
        <v>4844</v>
      </c>
      <c r="R258">
        <v>2007</v>
      </c>
      <c r="S258">
        <v>2128</v>
      </c>
      <c r="U258" t="s">
        <v>4840</v>
      </c>
      <c r="V258">
        <v>2018</v>
      </c>
      <c r="W258">
        <v>61.971830990000001</v>
      </c>
      <c r="X258" s="89">
        <f>ABS(IF(Table2929[[#This Row],[performance_2]]&lt;&gt;"", IF(Table2929[[#This Row],[performance_1]]&lt;&gt;"",(Table2929[[#This Row],[performance_1]]-Table2929[[#This Row],[performance_2]])/Table2929[[#This Row],[performance_1]],""), ""))</f>
        <v>0.61971830985915488</v>
      </c>
      <c r="Y258" s="55">
        <f>Table2929[[#This Row],[total_cost]]/Table2929[[#This Row],[cfa_post]]</f>
        <v>0.29640507518796994</v>
      </c>
      <c r="Z258" s="55">
        <f>Table2929[[#This Row],[total_cost]]/INDEX(CPI!$A$3:$C$31,MATCH(Table2929[[#This Row],[start_year]],CPI!$A$3:$A$31,0),3)</f>
        <v>763.88321385902043</v>
      </c>
      <c r="AA258" s="55">
        <f>Table2929[[#This Row],[$/sqft]]/INDEX(CPI!$A$3:$C$31,MATCH(Table2929[[#This Row],[start_year]],CPI!$A$3:$A$31,0),3)</f>
        <v>0.35896767568562987</v>
      </c>
      <c r="AB258" s="55" t="s">
        <v>71</v>
      </c>
    </row>
    <row r="259" spans="1:28" x14ac:dyDescent="0.2">
      <c r="A259" t="s">
        <v>5303</v>
      </c>
      <c r="B259">
        <v>5141</v>
      </c>
      <c r="C259">
        <v>12863</v>
      </c>
      <c r="D259" t="s">
        <v>5186</v>
      </c>
      <c r="E259" t="s">
        <v>4832</v>
      </c>
      <c r="F259" t="s">
        <v>5187</v>
      </c>
      <c r="G259" t="s">
        <v>1241</v>
      </c>
      <c r="H259">
        <v>237</v>
      </c>
      <c r="I259" t="s">
        <v>5191</v>
      </c>
      <c r="J259">
        <v>90</v>
      </c>
      <c r="K259" t="s">
        <v>5192</v>
      </c>
      <c r="L259">
        <v>1166</v>
      </c>
      <c r="M259" t="s">
        <v>4988</v>
      </c>
      <c r="N259" t="s">
        <v>4979</v>
      </c>
      <c r="O259" t="s">
        <v>4972</v>
      </c>
      <c r="P259" t="s">
        <v>4844</v>
      </c>
      <c r="R259">
        <v>1993</v>
      </c>
      <c r="S259">
        <v>1792</v>
      </c>
      <c r="U259" t="s">
        <v>4840</v>
      </c>
      <c r="V259">
        <v>2018</v>
      </c>
      <c r="W259">
        <v>62.025316459999999</v>
      </c>
      <c r="X259" s="89">
        <f>ABS(IF(Table2929[[#This Row],[performance_2]]&lt;&gt;"", IF(Table2929[[#This Row],[performance_1]]&lt;&gt;"",(Table2929[[#This Row],[performance_1]]-Table2929[[#This Row],[performance_2]])/Table2929[[#This Row],[performance_1]],""), ""))</f>
        <v>0.620253164556962</v>
      </c>
      <c r="Y259" s="55">
        <f>Table2929[[#This Row],[total_cost]]/Table2929[[#This Row],[cfa_post]]</f>
        <v>0.6506696428571429</v>
      </c>
      <c r="Z259" s="55">
        <f>Table2929[[#This Row],[total_cost]]/INDEX(CPI!$A$3:$C$31,MATCH(Table2929[[#This Row],[start_year]],CPI!$A$3:$A$31,0),3)</f>
        <v>1412.1091198725608</v>
      </c>
      <c r="AA259" s="55">
        <f>Table2929[[#This Row],[$/sqft]]/INDEX(CPI!$A$3:$C$31,MATCH(Table2929[[#This Row],[start_year]],CPI!$A$3:$A$31,0),3)</f>
        <v>0.78800732135745588</v>
      </c>
      <c r="AB259" s="55" t="s">
        <v>71</v>
      </c>
    </row>
    <row r="260" spans="1:28" x14ac:dyDescent="0.2">
      <c r="A260" t="s">
        <v>5303</v>
      </c>
      <c r="B260">
        <v>4024</v>
      </c>
      <c r="C260">
        <v>11099</v>
      </c>
      <c r="D260" t="s">
        <v>5186</v>
      </c>
      <c r="E260" t="s">
        <v>4832</v>
      </c>
      <c r="F260" t="s">
        <v>5187</v>
      </c>
      <c r="G260" t="s">
        <v>1241</v>
      </c>
      <c r="H260">
        <v>262</v>
      </c>
      <c r="I260" t="s">
        <v>5191</v>
      </c>
      <c r="J260">
        <v>99</v>
      </c>
      <c r="K260" t="s">
        <v>5192</v>
      </c>
      <c r="L260">
        <v>941.55</v>
      </c>
      <c r="M260" t="s">
        <v>4977</v>
      </c>
      <c r="N260" t="s">
        <v>4969</v>
      </c>
      <c r="O260" t="s">
        <v>4838</v>
      </c>
      <c r="P260" t="s">
        <v>4844</v>
      </c>
      <c r="R260">
        <v>2004</v>
      </c>
      <c r="S260">
        <v>1420</v>
      </c>
      <c r="U260" t="s">
        <v>4840</v>
      </c>
      <c r="V260">
        <v>2019</v>
      </c>
      <c r="W260">
        <v>62.213740459999997</v>
      </c>
      <c r="X260" s="89">
        <f>ABS(IF(Table2929[[#This Row],[performance_2]]&lt;&gt;"", IF(Table2929[[#This Row],[performance_1]]&lt;&gt;"",(Table2929[[#This Row],[performance_1]]-Table2929[[#This Row],[performance_2]])/Table2929[[#This Row],[performance_1]],""), ""))</f>
        <v>0.62213740458015265</v>
      </c>
      <c r="Y260" s="55">
        <f>Table2929[[#This Row],[total_cost]]/Table2929[[#This Row],[cfa_post]]</f>
        <v>0.6630633802816901</v>
      </c>
      <c r="Z260" s="55">
        <f>Table2929[[#This Row],[total_cost]]/INDEX(CPI!$A$3:$C$31,MATCH(Table2929[[#This Row],[start_year]],CPI!$A$3:$A$31,0),3)</f>
        <v>1119.7706491982792</v>
      </c>
      <c r="AA260" s="55">
        <f>Table2929[[#This Row],[$/sqft]]/INDEX(CPI!$A$3:$C$31,MATCH(Table2929[[#This Row],[start_year]],CPI!$A$3:$A$31,0),3)</f>
        <v>0.78857087971709805</v>
      </c>
      <c r="AB260" s="55" t="s">
        <v>71</v>
      </c>
    </row>
    <row r="261" spans="1:28" x14ac:dyDescent="0.2">
      <c r="A261" t="s">
        <v>5303</v>
      </c>
      <c r="B261">
        <v>5024</v>
      </c>
      <c r="C261">
        <v>12147</v>
      </c>
      <c r="D261" t="s">
        <v>5186</v>
      </c>
      <c r="E261" t="s">
        <v>4832</v>
      </c>
      <c r="F261" t="s">
        <v>5187</v>
      </c>
      <c r="G261" t="s">
        <v>1241</v>
      </c>
      <c r="H261">
        <v>239</v>
      </c>
      <c r="I261" t="s">
        <v>5191</v>
      </c>
      <c r="J261">
        <v>90</v>
      </c>
      <c r="K261" t="s">
        <v>5192</v>
      </c>
      <c r="L261">
        <v>652.29999999999995</v>
      </c>
      <c r="M261" t="s">
        <v>4960</v>
      </c>
      <c r="N261" t="s">
        <v>4979</v>
      </c>
      <c r="O261" t="s">
        <v>4972</v>
      </c>
      <c r="P261" t="s">
        <v>4844</v>
      </c>
      <c r="R261">
        <v>2006</v>
      </c>
      <c r="S261">
        <v>1630</v>
      </c>
      <c r="U261" t="s">
        <v>4840</v>
      </c>
      <c r="V261">
        <v>2020</v>
      </c>
      <c r="W261">
        <v>62.34309623</v>
      </c>
      <c r="X261" s="89">
        <f>ABS(IF(Table2929[[#This Row],[performance_2]]&lt;&gt;"", IF(Table2929[[#This Row],[performance_1]]&lt;&gt;"",(Table2929[[#This Row],[performance_1]]-Table2929[[#This Row],[performance_2]])/Table2929[[#This Row],[performance_1]],""), ""))</f>
        <v>0.62343096234309625</v>
      </c>
      <c r="Y261" s="55">
        <f>Table2929[[#This Row],[total_cost]]/Table2929[[#This Row],[cfa_post]]</f>
        <v>0.40018404907975458</v>
      </c>
      <c r="Z261" s="55">
        <f>Table2929[[#This Row],[total_cost]]/INDEX(CPI!$A$3:$C$31,MATCH(Table2929[[#This Row],[start_year]],CPI!$A$3:$A$31,0),3)</f>
        <v>766.47770479134465</v>
      </c>
      <c r="AA261" s="55">
        <f>Table2929[[#This Row],[$/sqft]]/INDEX(CPI!$A$3:$C$31,MATCH(Table2929[[#This Row],[start_year]],CPI!$A$3:$A$31,0),3)</f>
        <v>0.47023172073088626</v>
      </c>
      <c r="AB261" s="55" t="s">
        <v>71</v>
      </c>
    </row>
    <row r="262" spans="1:28" x14ac:dyDescent="0.2">
      <c r="A262" t="s">
        <v>5303</v>
      </c>
      <c r="B262">
        <v>5237</v>
      </c>
      <c r="C262">
        <v>13404</v>
      </c>
      <c r="D262" t="s">
        <v>5186</v>
      </c>
      <c r="E262" t="s">
        <v>4832</v>
      </c>
      <c r="F262" t="s">
        <v>5187</v>
      </c>
      <c r="G262" t="s">
        <v>1241</v>
      </c>
      <c r="H262">
        <v>550</v>
      </c>
      <c r="I262" t="s">
        <v>5191</v>
      </c>
      <c r="J262">
        <v>207</v>
      </c>
      <c r="K262" t="s">
        <v>5192</v>
      </c>
      <c r="L262">
        <v>608.77</v>
      </c>
      <c r="M262" t="s">
        <v>4981</v>
      </c>
      <c r="N262" t="s">
        <v>4979</v>
      </c>
      <c r="O262" t="s">
        <v>4838</v>
      </c>
      <c r="P262" t="s">
        <v>4844</v>
      </c>
      <c r="R262">
        <v>2010</v>
      </c>
      <c r="S262">
        <v>2272</v>
      </c>
      <c r="U262" t="s">
        <v>4840</v>
      </c>
      <c r="V262">
        <v>2018</v>
      </c>
      <c r="W262">
        <v>62.363636360000001</v>
      </c>
      <c r="X262" s="89">
        <f>ABS(IF(Table2929[[#This Row],[performance_2]]&lt;&gt;"", IF(Table2929[[#This Row],[performance_1]]&lt;&gt;"",(Table2929[[#This Row],[performance_1]]-Table2929[[#This Row],[performance_2]])/Table2929[[#This Row],[performance_1]],""), ""))</f>
        <v>0.62363636363636366</v>
      </c>
      <c r="Y262" s="55">
        <f>Table2929[[#This Row],[total_cost]]/Table2929[[#This Row],[cfa_post]]</f>
        <v>0.2679445422535211</v>
      </c>
      <c r="Z262" s="55">
        <f>Table2929[[#This Row],[total_cost]]/INDEX(CPI!$A$3:$C$31,MATCH(Table2929[[#This Row],[start_year]],CPI!$A$3:$A$31,0),3)</f>
        <v>737.26386698526483</v>
      </c>
      <c r="AA262" s="55">
        <f>Table2929[[#This Row],[$/sqft]]/INDEX(CPI!$A$3:$C$31,MATCH(Table2929[[#This Row],[start_year]],CPI!$A$3:$A$31,0),3)</f>
        <v>0.32449994145478206</v>
      </c>
      <c r="AB262" s="55" t="s">
        <v>71</v>
      </c>
    </row>
    <row r="263" spans="1:28" x14ac:dyDescent="0.2">
      <c r="A263" t="s">
        <v>5303</v>
      </c>
      <c r="B263">
        <v>5254</v>
      </c>
      <c r="C263">
        <v>13500</v>
      </c>
      <c r="D263" t="s">
        <v>5186</v>
      </c>
      <c r="E263" t="s">
        <v>4832</v>
      </c>
      <c r="F263" t="s">
        <v>5187</v>
      </c>
      <c r="G263" t="s">
        <v>1241</v>
      </c>
      <c r="H263">
        <v>214</v>
      </c>
      <c r="I263" t="s">
        <v>5191</v>
      </c>
      <c r="J263">
        <v>80</v>
      </c>
      <c r="K263" t="s">
        <v>5192</v>
      </c>
      <c r="L263">
        <v>287.69</v>
      </c>
      <c r="M263" t="s">
        <v>5000</v>
      </c>
      <c r="N263" t="s">
        <v>4979</v>
      </c>
      <c r="O263" t="s">
        <v>4972</v>
      </c>
      <c r="P263" t="s">
        <v>1241</v>
      </c>
      <c r="R263">
        <v>2000</v>
      </c>
      <c r="S263">
        <v>890</v>
      </c>
      <c r="U263" t="s">
        <v>4840</v>
      </c>
      <c r="V263">
        <v>2017</v>
      </c>
      <c r="W263">
        <v>62.616822429999999</v>
      </c>
      <c r="X263" s="89">
        <f>ABS(IF(Table2929[[#This Row],[performance_2]]&lt;&gt;"", IF(Table2929[[#This Row],[performance_1]]&lt;&gt;"",(Table2929[[#This Row],[performance_1]]-Table2929[[#This Row],[performance_2]])/Table2929[[#This Row],[performance_1]],""), ""))</f>
        <v>0.62616822429906538</v>
      </c>
      <c r="Y263" s="55">
        <f>Table2929[[#This Row],[total_cost]]/Table2929[[#This Row],[cfa_post]]</f>
        <v>0.32324719101123595</v>
      </c>
      <c r="Z263" s="55">
        <f>Table2929[[#This Row],[total_cost]]/INDEX(CPI!$A$3:$C$31,MATCH(Table2929[[#This Row],[start_year]],CPI!$A$3:$A$31,0),3)</f>
        <v>356.94218278253777</v>
      </c>
      <c r="AA263" s="55">
        <f>Table2929[[#This Row],[$/sqft]]/INDEX(CPI!$A$3:$C$31,MATCH(Table2929[[#This Row],[start_year]],CPI!$A$3:$A$31,0),3)</f>
        <v>0.40105863233993005</v>
      </c>
      <c r="AB263" s="55" t="s">
        <v>71</v>
      </c>
    </row>
    <row r="264" spans="1:28" x14ac:dyDescent="0.2">
      <c r="A264" t="s">
        <v>5303</v>
      </c>
      <c r="B264">
        <v>5136</v>
      </c>
      <c r="C264">
        <v>12828</v>
      </c>
      <c r="D264" t="s">
        <v>5186</v>
      </c>
      <c r="E264" t="s">
        <v>4832</v>
      </c>
      <c r="F264" t="s">
        <v>5187</v>
      </c>
      <c r="G264" t="s">
        <v>1241</v>
      </c>
      <c r="H264">
        <v>194</v>
      </c>
      <c r="I264" t="s">
        <v>5191</v>
      </c>
      <c r="J264">
        <v>72</v>
      </c>
      <c r="K264" t="s">
        <v>5192</v>
      </c>
      <c r="L264">
        <v>655.52</v>
      </c>
      <c r="M264" t="s">
        <v>4900</v>
      </c>
      <c r="N264" t="s">
        <v>4979</v>
      </c>
      <c r="O264" t="s">
        <v>4838</v>
      </c>
      <c r="P264" t="s">
        <v>4844</v>
      </c>
      <c r="R264">
        <v>1985</v>
      </c>
      <c r="S264">
        <v>1035</v>
      </c>
      <c r="U264" t="s">
        <v>4840</v>
      </c>
      <c r="V264">
        <v>2018</v>
      </c>
      <c r="W264">
        <v>62.886597940000001</v>
      </c>
      <c r="X264" s="89">
        <f>ABS(IF(Table2929[[#This Row],[performance_2]]&lt;&gt;"", IF(Table2929[[#This Row],[performance_1]]&lt;&gt;"",(Table2929[[#This Row],[performance_1]]-Table2929[[#This Row],[performance_2]])/Table2929[[#This Row],[performance_1]],""), ""))</f>
        <v>0.62886597938144329</v>
      </c>
      <c r="Y264" s="55">
        <f>Table2929[[#This Row],[total_cost]]/Table2929[[#This Row],[cfa_post]]</f>
        <v>0.6333526570048309</v>
      </c>
      <c r="Z264" s="55">
        <f>Table2929[[#This Row],[total_cost]]/INDEX(CPI!$A$3:$C$31,MATCH(Table2929[[#This Row],[start_year]],CPI!$A$3:$A$31,0),3)</f>
        <v>793.88144962166473</v>
      </c>
      <c r="AA264" s="55">
        <f>Table2929[[#This Row],[$/sqft]]/INDEX(CPI!$A$3:$C$31,MATCH(Table2929[[#This Row],[start_year]],CPI!$A$3:$A$31,0),3)</f>
        <v>0.76703521702576305</v>
      </c>
      <c r="AB264" s="55" t="s">
        <v>71</v>
      </c>
    </row>
    <row r="265" spans="1:28" x14ac:dyDescent="0.2">
      <c r="A265" t="s">
        <v>5303</v>
      </c>
      <c r="B265">
        <v>4007</v>
      </c>
      <c r="C265">
        <v>11034</v>
      </c>
      <c r="D265" t="s">
        <v>5186</v>
      </c>
      <c r="E265" t="s">
        <v>4832</v>
      </c>
      <c r="F265" t="s">
        <v>5187</v>
      </c>
      <c r="G265" t="s">
        <v>1241</v>
      </c>
      <c r="H265">
        <v>324</v>
      </c>
      <c r="I265" t="s">
        <v>5191</v>
      </c>
      <c r="J265">
        <v>120</v>
      </c>
      <c r="K265" t="s">
        <v>5192</v>
      </c>
      <c r="L265">
        <v>799.1</v>
      </c>
      <c r="M265" t="s">
        <v>4973</v>
      </c>
      <c r="N265" t="s">
        <v>4969</v>
      </c>
      <c r="O265" t="s">
        <v>4838</v>
      </c>
      <c r="P265" t="s">
        <v>1241</v>
      </c>
      <c r="R265">
        <v>1964</v>
      </c>
      <c r="S265">
        <v>1470</v>
      </c>
      <c r="U265" t="s">
        <v>4840</v>
      </c>
      <c r="V265">
        <v>2019</v>
      </c>
      <c r="W265">
        <v>62.962962959999999</v>
      </c>
      <c r="X265" s="89">
        <f>ABS(IF(Table2929[[#This Row],[performance_2]]&lt;&gt;"", IF(Table2929[[#This Row],[performance_1]]&lt;&gt;"",(Table2929[[#This Row],[performance_1]]-Table2929[[#This Row],[performance_2]])/Table2929[[#This Row],[performance_1]],""), ""))</f>
        <v>0.62962962962962965</v>
      </c>
      <c r="Y265" s="55">
        <f>Table2929[[#This Row],[total_cost]]/Table2929[[#This Row],[cfa_post]]</f>
        <v>0.54360544217687079</v>
      </c>
      <c r="Z265" s="55">
        <f>Table2929[[#This Row],[total_cost]]/INDEX(CPI!$A$3:$C$31,MATCH(Table2929[[#This Row],[start_year]],CPI!$A$3:$A$31,0),3)</f>
        <v>950.35709816190854</v>
      </c>
      <c r="AA265" s="55">
        <f>Table2929[[#This Row],[$/sqft]]/INDEX(CPI!$A$3:$C$31,MATCH(Table2929[[#This Row],[start_year]],CPI!$A$3:$A$31,0),3)</f>
        <v>0.64650142732102622</v>
      </c>
      <c r="AB265" s="55" t="s">
        <v>71</v>
      </c>
    </row>
    <row r="266" spans="1:28" x14ac:dyDescent="0.2">
      <c r="A266" t="s">
        <v>5303</v>
      </c>
      <c r="B266">
        <v>5255</v>
      </c>
      <c r="C266">
        <v>13507</v>
      </c>
      <c r="D266" t="s">
        <v>5186</v>
      </c>
      <c r="E266" t="s">
        <v>4832</v>
      </c>
      <c r="F266" t="s">
        <v>5187</v>
      </c>
      <c r="G266" t="s">
        <v>1241</v>
      </c>
      <c r="H266">
        <v>312</v>
      </c>
      <c r="I266" t="s">
        <v>5191</v>
      </c>
      <c r="J266">
        <v>115</v>
      </c>
      <c r="K266" t="s">
        <v>5192</v>
      </c>
      <c r="L266">
        <v>499.59</v>
      </c>
      <c r="M266" t="s">
        <v>4987</v>
      </c>
      <c r="N266" t="s">
        <v>4979</v>
      </c>
      <c r="O266" t="s">
        <v>4838</v>
      </c>
      <c r="P266" t="s">
        <v>4844</v>
      </c>
      <c r="R266">
        <v>1973</v>
      </c>
      <c r="S266">
        <v>1005</v>
      </c>
      <c r="U266" t="s">
        <v>4840</v>
      </c>
      <c r="V266">
        <v>2018</v>
      </c>
      <c r="W266">
        <v>63.141025640000002</v>
      </c>
      <c r="X266" s="89">
        <f>ABS(IF(Table2929[[#This Row],[performance_2]]&lt;&gt;"", IF(Table2929[[#This Row],[performance_1]]&lt;&gt;"",(Table2929[[#This Row],[performance_1]]-Table2929[[#This Row],[performance_2]])/Table2929[[#This Row],[performance_1]],""), ""))</f>
        <v>0.63141025641025639</v>
      </c>
      <c r="Y266" s="55">
        <f>Table2929[[#This Row],[total_cost]]/Table2929[[#This Row],[cfa_post]]</f>
        <v>0.49710447761194027</v>
      </c>
      <c r="Z266" s="55">
        <f>Table2929[[#This Row],[total_cost]]/INDEX(CPI!$A$3:$C$31,MATCH(Table2929[[#This Row],[start_year]],CPI!$A$3:$A$31,0),3)</f>
        <v>605.03910394265233</v>
      </c>
      <c r="AA266" s="55">
        <f>Table2929[[#This Row],[$/sqft]]/INDEX(CPI!$A$3:$C$31,MATCH(Table2929[[#This Row],[start_year]],CPI!$A$3:$A$31,0),3)</f>
        <v>0.60202895914691779</v>
      </c>
      <c r="AB266" s="55" t="s">
        <v>71</v>
      </c>
    </row>
    <row r="267" spans="1:28" x14ac:dyDescent="0.2">
      <c r="A267" t="s">
        <v>5303</v>
      </c>
      <c r="B267">
        <v>5028</v>
      </c>
      <c r="C267">
        <v>12174</v>
      </c>
      <c r="D267" t="s">
        <v>5186</v>
      </c>
      <c r="E267" t="s">
        <v>4832</v>
      </c>
      <c r="F267" t="s">
        <v>5187</v>
      </c>
      <c r="G267" t="s">
        <v>1241</v>
      </c>
      <c r="H267">
        <v>513</v>
      </c>
      <c r="I267" t="s">
        <v>5191</v>
      </c>
      <c r="J267">
        <v>187</v>
      </c>
      <c r="K267" t="s">
        <v>5192</v>
      </c>
      <c r="L267">
        <v>807.1</v>
      </c>
      <c r="M267" t="s">
        <v>4981</v>
      </c>
      <c r="N267" t="s">
        <v>4979</v>
      </c>
      <c r="O267" t="s">
        <v>4972</v>
      </c>
      <c r="P267" t="s">
        <v>4844</v>
      </c>
      <c r="R267">
        <v>1989</v>
      </c>
      <c r="S267">
        <v>1200</v>
      </c>
      <c r="U267" t="s">
        <v>4840</v>
      </c>
      <c r="V267">
        <v>2018</v>
      </c>
      <c r="W267">
        <v>63.547758279999996</v>
      </c>
      <c r="X267" s="89">
        <f>ABS(IF(Table2929[[#This Row],[performance_2]]&lt;&gt;"", IF(Table2929[[#This Row],[performance_1]]&lt;&gt;"",(Table2929[[#This Row],[performance_1]]-Table2929[[#This Row],[performance_2]])/Table2929[[#This Row],[performance_1]],""), ""))</f>
        <v>0.63547758284600386</v>
      </c>
      <c r="Y267" s="55">
        <f>Table2929[[#This Row],[total_cost]]/Table2929[[#This Row],[cfa_post]]</f>
        <v>0.67258333333333331</v>
      </c>
      <c r="Z267" s="55">
        <f>Table2929[[#This Row],[total_cost]]/INDEX(CPI!$A$3:$C$31,MATCH(Table2929[[#This Row],[start_year]],CPI!$A$3:$A$31,0),3)</f>
        <v>977.45563520509768</v>
      </c>
      <c r="AA267" s="55">
        <f>Table2929[[#This Row],[$/sqft]]/INDEX(CPI!$A$3:$C$31,MATCH(Table2929[[#This Row],[start_year]],CPI!$A$3:$A$31,0),3)</f>
        <v>0.81454636267091474</v>
      </c>
      <c r="AB267" s="55" t="s">
        <v>71</v>
      </c>
    </row>
    <row r="268" spans="1:28" x14ac:dyDescent="0.2">
      <c r="A268" t="s">
        <v>5303</v>
      </c>
      <c r="B268">
        <v>5251</v>
      </c>
      <c r="C268">
        <v>13484</v>
      </c>
      <c r="D268" t="s">
        <v>5186</v>
      </c>
      <c r="E268" t="s">
        <v>4832</v>
      </c>
      <c r="F268" t="s">
        <v>5187</v>
      </c>
      <c r="G268" t="s">
        <v>1241</v>
      </c>
      <c r="H268">
        <v>215</v>
      </c>
      <c r="I268" t="s">
        <v>5191</v>
      </c>
      <c r="J268">
        <v>78</v>
      </c>
      <c r="K268" t="s">
        <v>5192</v>
      </c>
      <c r="L268">
        <v>416.68</v>
      </c>
      <c r="M268" t="s">
        <v>4982</v>
      </c>
      <c r="N268" t="s">
        <v>4979</v>
      </c>
      <c r="O268" t="s">
        <v>4972</v>
      </c>
      <c r="P268" t="s">
        <v>4844</v>
      </c>
      <c r="R268">
        <v>1997</v>
      </c>
      <c r="S268">
        <v>1242</v>
      </c>
      <c r="U268" t="s">
        <v>4840</v>
      </c>
      <c r="V268">
        <v>2018</v>
      </c>
      <c r="W268">
        <v>63.72093023</v>
      </c>
      <c r="X268" s="89">
        <f>ABS(IF(Table2929[[#This Row],[performance_2]]&lt;&gt;"", IF(Table2929[[#This Row],[performance_1]]&lt;&gt;"",(Table2929[[#This Row],[performance_1]]-Table2929[[#This Row],[performance_2]])/Table2929[[#This Row],[performance_1]],""), ""))</f>
        <v>0.63720930232558137</v>
      </c>
      <c r="Y268" s="55">
        <f>Table2929[[#This Row],[total_cost]]/Table2929[[#This Row],[cfa_post]]</f>
        <v>0.33549114331723029</v>
      </c>
      <c r="Z268" s="55">
        <f>Table2929[[#This Row],[total_cost]]/INDEX(CPI!$A$3:$C$31,MATCH(Table2929[[#This Row],[start_year]],CPI!$A$3:$A$31,0),3)</f>
        <v>504.62918359219441</v>
      </c>
      <c r="AA268" s="55">
        <f>Table2929[[#This Row],[$/sqft]]/INDEX(CPI!$A$3:$C$31,MATCH(Table2929[[#This Row],[start_year]],CPI!$A$3:$A$31,0),3)</f>
        <v>0.40630369049291015</v>
      </c>
      <c r="AB268" s="55" t="s">
        <v>71</v>
      </c>
    </row>
    <row r="269" spans="1:28" x14ac:dyDescent="0.2">
      <c r="A269" t="s">
        <v>5303</v>
      </c>
      <c r="B269">
        <v>5242</v>
      </c>
      <c r="C269">
        <v>13433</v>
      </c>
      <c r="D269" t="s">
        <v>5186</v>
      </c>
      <c r="E269" t="s">
        <v>4832</v>
      </c>
      <c r="F269" t="s">
        <v>5187</v>
      </c>
      <c r="G269" t="s">
        <v>1241</v>
      </c>
      <c r="H269">
        <v>332</v>
      </c>
      <c r="I269" t="s">
        <v>5191</v>
      </c>
      <c r="J269">
        <v>120</v>
      </c>
      <c r="K269" t="s">
        <v>5192</v>
      </c>
      <c r="L269">
        <v>489.7</v>
      </c>
      <c r="M269" t="s">
        <v>5000</v>
      </c>
      <c r="N269" t="s">
        <v>4979</v>
      </c>
      <c r="O269" t="s">
        <v>4838</v>
      </c>
      <c r="P269" t="s">
        <v>4844</v>
      </c>
      <c r="R269">
        <v>1983</v>
      </c>
      <c r="S269">
        <v>1300</v>
      </c>
      <c r="U269" t="s">
        <v>4840</v>
      </c>
      <c r="V269">
        <v>2018</v>
      </c>
      <c r="W269">
        <v>63.85542169</v>
      </c>
      <c r="X269" s="89">
        <f>ABS(IF(Table2929[[#This Row],[performance_2]]&lt;&gt;"", IF(Table2929[[#This Row],[performance_1]]&lt;&gt;"",(Table2929[[#This Row],[performance_1]]-Table2929[[#This Row],[performance_2]])/Table2929[[#This Row],[performance_1]],""), ""))</f>
        <v>0.63855421686746983</v>
      </c>
      <c r="Y269" s="55">
        <f>Table2929[[#This Row],[total_cost]]/Table2929[[#This Row],[cfa_post]]</f>
        <v>0.37669230769230766</v>
      </c>
      <c r="Z269" s="55">
        <f>Table2929[[#This Row],[total_cost]]/INDEX(CPI!$A$3:$C$31,MATCH(Table2929[[#This Row],[start_year]],CPI!$A$3:$A$31,0),3)</f>
        <v>593.06160892074877</v>
      </c>
      <c r="AA269" s="55">
        <f>Table2929[[#This Row],[$/sqft]]/INDEX(CPI!$A$3:$C$31,MATCH(Table2929[[#This Row],[start_year]],CPI!$A$3:$A$31,0),3)</f>
        <v>0.45620123763134518</v>
      </c>
      <c r="AB269" s="55" t="s">
        <v>71</v>
      </c>
    </row>
    <row r="270" spans="1:28" x14ac:dyDescent="0.2">
      <c r="A270" t="s">
        <v>5303</v>
      </c>
      <c r="B270">
        <v>4045</v>
      </c>
      <c r="C270">
        <v>11198</v>
      </c>
      <c r="D270" t="s">
        <v>5186</v>
      </c>
      <c r="E270" t="s">
        <v>4832</v>
      </c>
      <c r="F270" t="s">
        <v>5187</v>
      </c>
      <c r="G270" t="s">
        <v>1241</v>
      </c>
      <c r="H270">
        <v>223</v>
      </c>
      <c r="I270" t="s">
        <v>5191</v>
      </c>
      <c r="J270">
        <v>79</v>
      </c>
      <c r="K270" t="s">
        <v>5192</v>
      </c>
      <c r="L270">
        <v>1412.75</v>
      </c>
      <c r="M270" t="s">
        <v>4976</v>
      </c>
      <c r="N270" t="s">
        <v>4969</v>
      </c>
      <c r="O270" t="s">
        <v>4972</v>
      </c>
      <c r="P270" t="s">
        <v>1241</v>
      </c>
      <c r="R270">
        <v>1994</v>
      </c>
      <c r="S270">
        <v>1690</v>
      </c>
      <c r="U270" t="s">
        <v>4840</v>
      </c>
      <c r="V270">
        <v>2019</v>
      </c>
      <c r="W270">
        <v>64.573991030000002</v>
      </c>
      <c r="X270" s="89">
        <f>ABS(IF(Table2929[[#This Row],[performance_2]]&lt;&gt;"", IF(Table2929[[#This Row],[performance_1]]&lt;&gt;"",(Table2929[[#This Row],[performance_1]]-Table2929[[#This Row],[performance_2]])/Table2929[[#This Row],[performance_1]],""), ""))</f>
        <v>0.64573991031390132</v>
      </c>
      <c r="Y270" s="55">
        <f>Table2929[[#This Row],[total_cost]]/Table2929[[#This Row],[cfa_post]]</f>
        <v>0.83594674556213022</v>
      </c>
      <c r="Z270" s="55">
        <f>Table2929[[#This Row],[total_cost]]/INDEX(CPI!$A$3:$C$31,MATCH(Table2929[[#This Row],[start_year]],CPI!$A$3:$A$31,0),3)</f>
        <v>1680.1614196323817</v>
      </c>
      <c r="AA270" s="55">
        <f>Table2929[[#This Row],[$/sqft]]/INDEX(CPI!$A$3:$C$31,MATCH(Table2929[[#This Row],[start_year]],CPI!$A$3:$A$31,0),3)</f>
        <v>0.99417835481206029</v>
      </c>
      <c r="AB270" s="55" t="s">
        <v>71</v>
      </c>
    </row>
    <row r="271" spans="1:28" x14ac:dyDescent="0.2">
      <c r="A271" t="s">
        <v>5303</v>
      </c>
      <c r="B271">
        <v>5021</v>
      </c>
      <c r="C271">
        <v>12126</v>
      </c>
      <c r="D271" t="s">
        <v>5186</v>
      </c>
      <c r="E271" t="s">
        <v>4832</v>
      </c>
      <c r="F271" t="s">
        <v>5187</v>
      </c>
      <c r="G271" t="s">
        <v>1241</v>
      </c>
      <c r="H271">
        <v>394</v>
      </c>
      <c r="I271" t="s">
        <v>5191</v>
      </c>
      <c r="J271">
        <v>138</v>
      </c>
      <c r="K271" t="s">
        <v>5192</v>
      </c>
      <c r="L271">
        <v>652.29999999999995</v>
      </c>
      <c r="M271" t="s">
        <v>4982</v>
      </c>
      <c r="N271" t="s">
        <v>4979</v>
      </c>
      <c r="O271" t="s">
        <v>4972</v>
      </c>
      <c r="P271" t="s">
        <v>4844</v>
      </c>
      <c r="R271">
        <v>2006</v>
      </c>
      <c r="S271">
        <v>1700</v>
      </c>
      <c r="U271" t="s">
        <v>4840</v>
      </c>
      <c r="V271">
        <v>2020</v>
      </c>
      <c r="W271">
        <v>64.974619290000007</v>
      </c>
      <c r="X271" s="89">
        <f>ABS(IF(Table2929[[#This Row],[performance_2]]&lt;&gt;"", IF(Table2929[[#This Row],[performance_1]]&lt;&gt;"",(Table2929[[#This Row],[performance_1]]-Table2929[[#This Row],[performance_2]])/Table2929[[#This Row],[performance_1]],""), ""))</f>
        <v>0.64974619289340096</v>
      </c>
      <c r="Y271" s="55">
        <f>Table2929[[#This Row],[total_cost]]/Table2929[[#This Row],[cfa_post]]</f>
        <v>0.38370588235294117</v>
      </c>
      <c r="Z271" s="55">
        <f>Table2929[[#This Row],[total_cost]]/INDEX(CPI!$A$3:$C$31,MATCH(Table2929[[#This Row],[start_year]],CPI!$A$3:$A$31,0),3)</f>
        <v>766.47770479134465</v>
      </c>
      <c r="AA271" s="55">
        <f>Table2929[[#This Row],[$/sqft]]/INDEX(CPI!$A$3:$C$31,MATCH(Table2929[[#This Row],[start_year]],CPI!$A$3:$A$31,0),3)</f>
        <v>0.45086923811255569</v>
      </c>
      <c r="AB271" s="55" t="s">
        <v>71</v>
      </c>
    </row>
    <row r="272" spans="1:28" x14ac:dyDescent="0.2">
      <c r="A272" t="s">
        <v>5303</v>
      </c>
      <c r="B272">
        <v>1237</v>
      </c>
      <c r="C272">
        <v>3112</v>
      </c>
      <c r="D272" t="s">
        <v>5186</v>
      </c>
      <c r="E272" t="s">
        <v>4832</v>
      </c>
      <c r="F272" t="s">
        <v>5187</v>
      </c>
      <c r="G272" t="s">
        <v>1241</v>
      </c>
      <c r="H272">
        <v>10.6</v>
      </c>
      <c r="I272" t="s">
        <v>5188</v>
      </c>
      <c r="J272">
        <v>3.7</v>
      </c>
      <c r="K272" t="s">
        <v>5189</v>
      </c>
      <c r="L272">
        <v>400</v>
      </c>
      <c r="M272" t="s">
        <v>4845</v>
      </c>
      <c r="N272" t="s">
        <v>4837</v>
      </c>
      <c r="O272" t="s">
        <v>4838</v>
      </c>
      <c r="P272" t="s">
        <v>56</v>
      </c>
      <c r="Q272" t="s">
        <v>4839</v>
      </c>
      <c r="R272">
        <v>1995</v>
      </c>
      <c r="S272">
        <v>1217</v>
      </c>
      <c r="T272">
        <v>1</v>
      </c>
      <c r="U272" t="s">
        <v>4840</v>
      </c>
      <c r="V272">
        <v>2011</v>
      </c>
      <c r="W272">
        <v>65.09433962</v>
      </c>
      <c r="X272" s="89">
        <f>ABS(IF(Table2929[[#This Row],[performance_2]]&lt;&gt;"", IF(Table2929[[#This Row],[performance_1]]&lt;&gt;"",(Table2929[[#This Row],[performance_1]]-Table2929[[#This Row],[performance_2]])/Table2929[[#This Row],[performance_1]],""), ""))</f>
        <v>0.65094339622641506</v>
      </c>
      <c r="Y272" s="55">
        <f>Table2929[[#This Row],[total_cost]]/Table2929[[#This Row],[cfa_post]]</f>
        <v>0.32867707477403452</v>
      </c>
      <c r="Z272" s="55">
        <f>Table2929[[#This Row],[total_cost]]/INDEX(CPI!$A$3:$C$31,MATCH(Table2929[[#This Row],[start_year]],CPI!$A$3:$A$31,0),3)</f>
        <v>540.76883066075698</v>
      </c>
      <c r="AA272" s="55">
        <f>Table2929[[#This Row],[$/sqft]]/INDEX(CPI!$A$3:$C$31,MATCH(Table2929[[#This Row],[start_year]],CPI!$A$3:$A$31,0),3)</f>
        <v>0.44434579347638203</v>
      </c>
      <c r="AB272" s="55" t="s">
        <v>71</v>
      </c>
    </row>
    <row r="273" spans="1:28" x14ac:dyDescent="0.2">
      <c r="A273" t="s">
        <v>5303</v>
      </c>
      <c r="B273">
        <v>5187</v>
      </c>
      <c r="C273">
        <v>13133</v>
      </c>
      <c r="D273" t="s">
        <v>5186</v>
      </c>
      <c r="E273" t="s">
        <v>4832</v>
      </c>
      <c r="F273" t="s">
        <v>5187</v>
      </c>
      <c r="G273" t="s">
        <v>1241</v>
      </c>
      <c r="H273">
        <v>361</v>
      </c>
      <c r="I273" t="s">
        <v>5191</v>
      </c>
      <c r="J273">
        <v>125</v>
      </c>
      <c r="K273" t="s">
        <v>5192</v>
      </c>
      <c r="L273">
        <v>1050.3399999999999</v>
      </c>
      <c r="M273" t="s">
        <v>4900</v>
      </c>
      <c r="N273" t="s">
        <v>4979</v>
      </c>
      <c r="O273" t="s">
        <v>4972</v>
      </c>
      <c r="P273" t="s">
        <v>1241</v>
      </c>
      <c r="R273">
        <v>2003</v>
      </c>
      <c r="S273">
        <v>1620</v>
      </c>
      <c r="U273" t="s">
        <v>4840</v>
      </c>
      <c r="V273">
        <v>2018</v>
      </c>
      <c r="W273">
        <v>65.373961219999998</v>
      </c>
      <c r="X273" s="89">
        <f>ABS(IF(Table2929[[#This Row],[performance_2]]&lt;&gt;"", IF(Table2929[[#This Row],[performance_1]]&lt;&gt;"",(Table2929[[#This Row],[performance_1]]-Table2929[[#This Row],[performance_2]])/Table2929[[#This Row],[performance_1]],""), ""))</f>
        <v>0.65373961218836563</v>
      </c>
      <c r="Y273" s="55">
        <f>Table2929[[#This Row],[total_cost]]/Table2929[[#This Row],[cfa_post]]</f>
        <v>0.64835802469135795</v>
      </c>
      <c r="Z273" s="55">
        <f>Table2929[[#This Row],[total_cost]]/INDEX(CPI!$A$3:$C$31,MATCH(Table2929[[#This Row],[start_year]],CPI!$A$3:$A$31,0),3)</f>
        <v>1272.0366148944643</v>
      </c>
      <c r="AA273" s="55">
        <f>Table2929[[#This Row],[$/sqft]]/INDEX(CPI!$A$3:$C$31,MATCH(Table2929[[#This Row],[start_year]],CPI!$A$3:$A$31,0),3)</f>
        <v>0.78520778697189153</v>
      </c>
      <c r="AB273" s="55" t="s">
        <v>71</v>
      </c>
    </row>
    <row r="274" spans="1:28" hidden="1" x14ac:dyDescent="0.2">
      <c r="A274" t="s">
        <v>5303</v>
      </c>
      <c r="B274">
        <v>5117</v>
      </c>
      <c r="C274">
        <v>12711</v>
      </c>
      <c r="D274" t="s">
        <v>5186</v>
      </c>
      <c r="E274" t="s">
        <v>4832</v>
      </c>
      <c r="F274" t="s">
        <v>5187</v>
      </c>
      <c r="G274" t="s">
        <v>1241</v>
      </c>
      <c r="H274">
        <v>900</v>
      </c>
      <c r="I274" t="s">
        <v>5191</v>
      </c>
      <c r="J274">
        <v>73</v>
      </c>
      <c r="K274" t="s">
        <v>5192</v>
      </c>
      <c r="L274">
        <v>5191.5</v>
      </c>
      <c r="M274" t="s">
        <v>4900</v>
      </c>
      <c r="N274" t="s">
        <v>4979</v>
      </c>
      <c r="O274" t="s">
        <v>4838</v>
      </c>
      <c r="P274" t="s">
        <v>1241</v>
      </c>
      <c r="R274">
        <v>1975</v>
      </c>
      <c r="S274">
        <v>1500</v>
      </c>
      <c r="U274" t="s">
        <v>4840</v>
      </c>
      <c r="V274">
        <v>2018</v>
      </c>
      <c r="W274">
        <v>91.888888890000004</v>
      </c>
      <c r="X274" s="89">
        <f>ABS(IF(Table2929[[#This Row],[performance_2]]&lt;&gt;"", IF(Table2929[[#This Row],[performance_1]]&lt;&gt;"",(Table2929[[#This Row],[performance_1]]-Table2929[[#This Row],[performance_2]])/Table2929[[#This Row],[performance_1]],""), ""))</f>
        <v>0.91888888888888887</v>
      </c>
      <c r="Y274" s="55">
        <f>Table2929[[#This Row],[total_cost]]/Table2929[[#This Row],[cfa_post]]</f>
        <v>3.4609999999999999</v>
      </c>
      <c r="Z274" s="55">
        <f>Table2929[[#This Row],[total_cost]]/INDEX(CPI!$A$3:$C$31,MATCH(Table2929[[#This Row],[start_year]],CPI!$A$3:$A$31,0),3)</f>
        <v>6287.276583034648</v>
      </c>
      <c r="AA274" s="55">
        <f>Table2929[[#This Row],[$/sqft]]/INDEX(CPI!$A$3:$C$31,MATCH(Table2929[[#This Row],[start_year]],CPI!$A$3:$A$31,0),3)</f>
        <v>4.1915177220230984</v>
      </c>
      <c r="AB274" s="55" t="s">
        <v>72</v>
      </c>
    </row>
    <row r="275" spans="1:28" x14ac:dyDescent="0.2">
      <c r="A275" t="s">
        <v>5303</v>
      </c>
      <c r="B275">
        <v>5106</v>
      </c>
      <c r="C275">
        <v>12644</v>
      </c>
      <c r="D275" t="s">
        <v>5186</v>
      </c>
      <c r="E275" t="s">
        <v>4832</v>
      </c>
      <c r="F275" t="s">
        <v>5187</v>
      </c>
      <c r="G275" t="s">
        <v>1241</v>
      </c>
      <c r="H275">
        <v>270</v>
      </c>
      <c r="I275" t="s">
        <v>5191</v>
      </c>
      <c r="J275">
        <v>93</v>
      </c>
      <c r="K275" t="s">
        <v>5192</v>
      </c>
      <c r="L275">
        <v>586.15</v>
      </c>
      <c r="M275" t="s">
        <v>4900</v>
      </c>
      <c r="N275" t="s">
        <v>4979</v>
      </c>
      <c r="O275" t="s">
        <v>4838</v>
      </c>
      <c r="P275" t="s">
        <v>4844</v>
      </c>
      <c r="R275">
        <v>1967</v>
      </c>
      <c r="S275">
        <v>900</v>
      </c>
      <c r="U275" t="s">
        <v>4840</v>
      </c>
      <c r="V275">
        <v>2019</v>
      </c>
      <c r="W275">
        <v>65.555555560000002</v>
      </c>
      <c r="X275" s="89">
        <f>ABS(IF(Table2929[[#This Row],[performance_2]]&lt;&gt;"", IF(Table2929[[#This Row],[performance_1]]&lt;&gt;"",(Table2929[[#This Row],[performance_1]]-Table2929[[#This Row],[performance_2]])/Table2929[[#This Row],[performance_1]],""), ""))</f>
        <v>0.65555555555555556</v>
      </c>
      <c r="Y275" s="55">
        <f>Table2929[[#This Row],[total_cost]]/Table2929[[#This Row],[cfa_post]]</f>
        <v>0.65127777777777773</v>
      </c>
      <c r="Z275" s="55">
        <f>Table2929[[#This Row],[total_cost]]/INDEX(CPI!$A$3:$C$31,MATCH(Table2929[[#This Row],[start_year]],CPI!$A$3:$A$31,0),3)</f>
        <v>697.09900273758308</v>
      </c>
      <c r="AA275" s="55">
        <f>Table2929[[#This Row],[$/sqft]]/INDEX(CPI!$A$3:$C$31,MATCH(Table2929[[#This Row],[start_year]],CPI!$A$3:$A$31,0),3)</f>
        <v>0.77455444748620339</v>
      </c>
      <c r="AB275" s="55" t="s">
        <v>71</v>
      </c>
    </row>
    <row r="276" spans="1:28" x14ac:dyDescent="0.2">
      <c r="A276" t="s">
        <v>5303</v>
      </c>
      <c r="B276">
        <v>5236</v>
      </c>
      <c r="C276">
        <v>13400</v>
      </c>
      <c r="D276" t="s">
        <v>5186</v>
      </c>
      <c r="E276" t="s">
        <v>4832</v>
      </c>
      <c r="F276" t="s">
        <v>5187</v>
      </c>
      <c r="G276" t="s">
        <v>1241</v>
      </c>
      <c r="H276">
        <v>700</v>
      </c>
      <c r="I276" t="s">
        <v>5191</v>
      </c>
      <c r="J276">
        <v>238</v>
      </c>
      <c r="K276" t="s">
        <v>5192</v>
      </c>
      <c r="L276">
        <v>657.42</v>
      </c>
      <c r="M276" t="s">
        <v>4978</v>
      </c>
      <c r="N276" t="s">
        <v>4979</v>
      </c>
      <c r="O276" t="s">
        <v>4972</v>
      </c>
      <c r="P276" t="s">
        <v>1241</v>
      </c>
      <c r="R276">
        <v>1998</v>
      </c>
      <c r="S276">
        <v>1750</v>
      </c>
      <c r="U276" t="s">
        <v>4840</v>
      </c>
      <c r="V276">
        <v>2018</v>
      </c>
      <c r="W276">
        <v>66</v>
      </c>
      <c r="X276" s="89">
        <f>ABS(IF(Table2929[[#This Row],[performance_2]]&lt;&gt;"", IF(Table2929[[#This Row],[performance_1]]&lt;&gt;"",(Table2929[[#This Row],[performance_1]]-Table2929[[#This Row],[performance_2]])/Table2929[[#This Row],[performance_1]],""), ""))</f>
        <v>0.66</v>
      </c>
      <c r="Y276" s="55">
        <f>Table2929[[#This Row],[total_cost]]/Table2929[[#This Row],[cfa_post]]</f>
        <v>0.37566857142857141</v>
      </c>
      <c r="Z276" s="55">
        <f>Table2929[[#This Row],[total_cost]]/INDEX(CPI!$A$3:$C$31,MATCH(Table2929[[#This Row],[start_year]],CPI!$A$3:$A$31,0),3)</f>
        <v>796.18248506571092</v>
      </c>
      <c r="AA276" s="55">
        <f>Table2929[[#This Row],[$/sqft]]/INDEX(CPI!$A$3:$C$31,MATCH(Table2929[[#This Row],[start_year]],CPI!$A$3:$A$31,0),3)</f>
        <v>0.45496142003754908</v>
      </c>
      <c r="AB276" s="55" t="s">
        <v>71</v>
      </c>
    </row>
    <row r="277" spans="1:28" x14ac:dyDescent="0.2">
      <c r="A277" t="s">
        <v>5303</v>
      </c>
      <c r="B277">
        <v>5034</v>
      </c>
      <c r="C277">
        <v>12212</v>
      </c>
      <c r="D277" t="s">
        <v>5186</v>
      </c>
      <c r="E277" t="s">
        <v>4832</v>
      </c>
      <c r="F277" t="s">
        <v>5187</v>
      </c>
      <c r="G277" t="s">
        <v>1241</v>
      </c>
      <c r="H277">
        <v>300</v>
      </c>
      <c r="I277" t="s">
        <v>5191</v>
      </c>
      <c r="J277">
        <v>101</v>
      </c>
      <c r="K277" t="s">
        <v>5192</v>
      </c>
      <c r="L277">
        <v>620.65</v>
      </c>
      <c r="M277" t="s">
        <v>4982</v>
      </c>
      <c r="N277" t="s">
        <v>4979</v>
      </c>
      <c r="O277" t="s">
        <v>4972</v>
      </c>
      <c r="P277" t="s">
        <v>4844</v>
      </c>
      <c r="R277">
        <v>2002</v>
      </c>
      <c r="S277">
        <v>1600</v>
      </c>
      <c r="U277" t="s">
        <v>4840</v>
      </c>
      <c r="V277">
        <v>2018</v>
      </c>
      <c r="W277">
        <v>66.333333330000002</v>
      </c>
      <c r="X277" s="89">
        <f>ABS(IF(Table2929[[#This Row],[performance_2]]&lt;&gt;"", IF(Table2929[[#This Row],[performance_1]]&lt;&gt;"",(Table2929[[#This Row],[performance_1]]-Table2929[[#This Row],[performance_2]])/Table2929[[#This Row],[performance_1]],""), ""))</f>
        <v>0.66333333333333333</v>
      </c>
      <c r="Y277" s="55">
        <f>Table2929[[#This Row],[total_cost]]/Table2929[[#This Row],[cfa_post]]</f>
        <v>0.38790625000000001</v>
      </c>
      <c r="Z277" s="55">
        <f>Table2929[[#This Row],[total_cost]]/INDEX(CPI!$A$3:$C$31,MATCH(Table2929[[#This Row],[start_year]],CPI!$A$3:$A$31,0),3)</f>
        <v>751.65139386698536</v>
      </c>
      <c r="AA277" s="55">
        <f>Table2929[[#This Row],[$/sqft]]/INDEX(CPI!$A$3:$C$31,MATCH(Table2929[[#This Row],[start_year]],CPI!$A$3:$A$31,0),3)</f>
        <v>0.46978212116686585</v>
      </c>
      <c r="AB277" s="55" t="s">
        <v>71</v>
      </c>
    </row>
    <row r="278" spans="1:28" x14ac:dyDescent="0.2">
      <c r="A278" t="s">
        <v>5303</v>
      </c>
      <c r="B278">
        <v>5002</v>
      </c>
      <c r="C278">
        <v>12013</v>
      </c>
      <c r="D278" t="s">
        <v>5186</v>
      </c>
      <c r="E278" t="s">
        <v>4832</v>
      </c>
      <c r="F278" t="s">
        <v>5187</v>
      </c>
      <c r="G278" t="s">
        <v>1241</v>
      </c>
      <c r="H278">
        <v>420</v>
      </c>
      <c r="I278" t="s">
        <v>5191</v>
      </c>
      <c r="J278">
        <v>140</v>
      </c>
      <c r="K278" t="s">
        <v>5192</v>
      </c>
      <c r="L278">
        <v>1000</v>
      </c>
      <c r="M278" t="s">
        <v>4981</v>
      </c>
      <c r="N278" t="s">
        <v>4979</v>
      </c>
      <c r="O278" t="s">
        <v>4972</v>
      </c>
      <c r="P278" t="s">
        <v>4844</v>
      </c>
      <c r="R278">
        <v>1998</v>
      </c>
      <c r="S278">
        <v>1771</v>
      </c>
      <c r="U278" t="s">
        <v>4840</v>
      </c>
      <c r="V278">
        <v>2017</v>
      </c>
      <c r="W278">
        <v>66.666666669999998</v>
      </c>
      <c r="X278" s="89">
        <f>ABS(IF(Table2929[[#This Row],[performance_2]]&lt;&gt;"", IF(Table2929[[#This Row],[performance_1]]&lt;&gt;"",(Table2929[[#This Row],[performance_1]]-Table2929[[#This Row],[performance_2]])/Table2929[[#This Row],[performance_1]],""), ""))</f>
        <v>0.66666666666666663</v>
      </c>
      <c r="Y278" s="55">
        <f>Table2929[[#This Row],[total_cost]]/Table2929[[#This Row],[cfa_post]]</f>
        <v>0.56465273856578202</v>
      </c>
      <c r="Z278" s="55">
        <f>Table2929[[#This Row],[total_cost]]/INDEX(CPI!$A$3:$C$31,MATCH(Table2929[[#This Row],[start_year]],CPI!$A$3:$A$31,0),3)</f>
        <v>1240.718074255406</v>
      </c>
      <c r="AA278" s="55">
        <f>Table2929[[#This Row],[$/sqft]]/INDEX(CPI!$A$3:$C$31,MATCH(Table2929[[#This Row],[start_year]],CPI!$A$3:$A$31,0),3)</f>
        <v>0.70057485841637834</v>
      </c>
      <c r="AB278" s="55" t="s">
        <v>71</v>
      </c>
    </row>
    <row r="279" spans="1:28" x14ac:dyDescent="0.2">
      <c r="A279" t="s">
        <v>5303</v>
      </c>
      <c r="B279">
        <v>5016</v>
      </c>
      <c r="C279">
        <v>12096</v>
      </c>
      <c r="D279" t="s">
        <v>5186</v>
      </c>
      <c r="E279" t="s">
        <v>4832</v>
      </c>
      <c r="F279" t="s">
        <v>5187</v>
      </c>
      <c r="G279" t="s">
        <v>1241</v>
      </c>
      <c r="H279">
        <v>129</v>
      </c>
      <c r="I279" t="s">
        <v>5191</v>
      </c>
      <c r="J279">
        <v>43</v>
      </c>
      <c r="K279" t="s">
        <v>5192</v>
      </c>
      <c r="L279">
        <v>1359.58</v>
      </c>
      <c r="M279" t="s">
        <v>4982</v>
      </c>
      <c r="N279" t="s">
        <v>4979</v>
      </c>
      <c r="O279" t="s">
        <v>4972</v>
      </c>
      <c r="P279" t="s">
        <v>1241</v>
      </c>
      <c r="R279">
        <v>1996</v>
      </c>
      <c r="S279">
        <v>2000</v>
      </c>
      <c r="U279" t="s">
        <v>4840</v>
      </c>
      <c r="V279">
        <v>2018</v>
      </c>
      <c r="W279">
        <v>66.666666669999998</v>
      </c>
      <c r="X279" s="89">
        <f>ABS(IF(Table2929[[#This Row],[performance_2]]&lt;&gt;"", IF(Table2929[[#This Row],[performance_1]]&lt;&gt;"",(Table2929[[#This Row],[performance_1]]-Table2929[[#This Row],[performance_2]])/Table2929[[#This Row],[performance_1]],""), ""))</f>
        <v>0.66666666666666663</v>
      </c>
      <c r="Y279" s="55">
        <f>Table2929[[#This Row],[total_cost]]/Table2929[[#This Row],[cfa_post]]</f>
        <v>0.67979000000000001</v>
      </c>
      <c r="Z279" s="55">
        <f>Table2929[[#This Row],[total_cost]]/INDEX(CPI!$A$3:$C$31,MATCH(Table2929[[#This Row],[start_year]],CPI!$A$3:$A$31,0),3)</f>
        <v>1646.548299482278</v>
      </c>
      <c r="AA279" s="55">
        <f>Table2929[[#This Row],[$/sqft]]/INDEX(CPI!$A$3:$C$31,MATCH(Table2929[[#This Row],[start_year]],CPI!$A$3:$A$31,0),3)</f>
        <v>0.82327414974113911</v>
      </c>
      <c r="AB279" s="55" t="s">
        <v>71</v>
      </c>
    </row>
    <row r="280" spans="1:28" x14ac:dyDescent="0.2">
      <c r="A280" t="s">
        <v>5303</v>
      </c>
      <c r="B280">
        <v>5165</v>
      </c>
      <c r="C280">
        <v>13008</v>
      </c>
      <c r="D280" t="s">
        <v>5186</v>
      </c>
      <c r="E280" t="s">
        <v>4832</v>
      </c>
      <c r="F280" t="s">
        <v>5187</v>
      </c>
      <c r="G280" t="s">
        <v>1241</v>
      </c>
      <c r="H280">
        <v>360</v>
      </c>
      <c r="I280" t="s">
        <v>5191</v>
      </c>
      <c r="J280">
        <v>120</v>
      </c>
      <c r="K280" t="s">
        <v>5192</v>
      </c>
      <c r="L280">
        <v>868.51</v>
      </c>
      <c r="M280" t="s">
        <v>5000</v>
      </c>
      <c r="N280" t="s">
        <v>4979</v>
      </c>
      <c r="O280" t="s">
        <v>4972</v>
      </c>
      <c r="P280" t="s">
        <v>4844</v>
      </c>
      <c r="R280">
        <v>1989</v>
      </c>
      <c r="S280">
        <v>1376</v>
      </c>
      <c r="U280" t="s">
        <v>4840</v>
      </c>
      <c r="V280">
        <v>2017</v>
      </c>
      <c r="W280">
        <v>66.666666669999998</v>
      </c>
      <c r="X280" s="89">
        <f>ABS(IF(Table2929[[#This Row],[performance_2]]&lt;&gt;"", IF(Table2929[[#This Row],[performance_1]]&lt;&gt;"",(Table2929[[#This Row],[performance_1]]-Table2929[[#This Row],[performance_2]])/Table2929[[#This Row],[performance_1]],""), ""))</f>
        <v>0.66666666666666663</v>
      </c>
      <c r="Y280" s="55">
        <f>Table2929[[#This Row],[total_cost]]/Table2929[[#This Row],[cfa_post]]</f>
        <v>0.6311845930232558</v>
      </c>
      <c r="Z280" s="55">
        <f>Table2929[[#This Row],[total_cost]]/INDEX(CPI!$A$3:$C$31,MATCH(Table2929[[#This Row],[start_year]],CPI!$A$3:$A$31,0),3)</f>
        <v>1077.5760546715628</v>
      </c>
      <c r="AA280" s="55">
        <f>Table2929[[#This Row],[$/sqft]]/INDEX(CPI!$A$3:$C$31,MATCH(Table2929[[#This Row],[start_year]],CPI!$A$3:$A$31,0),3)</f>
        <v>0.78312213275549614</v>
      </c>
      <c r="AB280" s="55" t="s">
        <v>71</v>
      </c>
    </row>
    <row r="281" spans="1:28" x14ac:dyDescent="0.2">
      <c r="A281" t="s">
        <v>5303</v>
      </c>
      <c r="B281">
        <v>5177</v>
      </c>
      <c r="C281">
        <v>13079</v>
      </c>
      <c r="D281" t="s">
        <v>5186</v>
      </c>
      <c r="E281" t="s">
        <v>4832</v>
      </c>
      <c r="F281" t="s">
        <v>5187</v>
      </c>
      <c r="G281" t="s">
        <v>1241</v>
      </c>
      <c r="H281">
        <v>360</v>
      </c>
      <c r="I281" t="s">
        <v>5191</v>
      </c>
      <c r="J281">
        <v>120</v>
      </c>
      <c r="K281" t="s">
        <v>5192</v>
      </c>
      <c r="L281">
        <v>427.69</v>
      </c>
      <c r="M281" t="s">
        <v>4978</v>
      </c>
      <c r="N281" t="s">
        <v>4979</v>
      </c>
      <c r="O281" t="s">
        <v>4972</v>
      </c>
      <c r="P281" t="s">
        <v>4844</v>
      </c>
      <c r="R281">
        <v>1993</v>
      </c>
      <c r="S281">
        <v>1568</v>
      </c>
      <c r="U281" t="s">
        <v>4840</v>
      </c>
      <c r="V281">
        <v>2017</v>
      </c>
      <c r="W281">
        <v>66.666666669999998</v>
      </c>
      <c r="X281" s="89">
        <f>ABS(IF(Table2929[[#This Row],[performance_2]]&lt;&gt;"", IF(Table2929[[#This Row],[performance_1]]&lt;&gt;"",(Table2929[[#This Row],[performance_1]]-Table2929[[#This Row],[performance_2]])/Table2929[[#This Row],[performance_1]],""), ""))</f>
        <v>0.66666666666666663</v>
      </c>
      <c r="Y281" s="55">
        <f>Table2929[[#This Row],[total_cost]]/Table2929[[#This Row],[cfa_post]]</f>
        <v>0.27276147959183672</v>
      </c>
      <c r="Z281" s="55">
        <f>Table2929[[#This Row],[total_cost]]/INDEX(CPI!$A$3:$C$31,MATCH(Table2929[[#This Row],[start_year]],CPI!$A$3:$A$31,0),3)</f>
        <v>530.64271317829457</v>
      </c>
      <c r="AA281" s="55">
        <f>Table2929[[#This Row],[$/sqft]]/INDEX(CPI!$A$3:$C$31,MATCH(Table2929[[#This Row],[start_year]],CPI!$A$3:$A$31,0),3)</f>
        <v>0.3384200976902389</v>
      </c>
      <c r="AB281" s="55" t="s">
        <v>71</v>
      </c>
    </row>
    <row r="282" spans="1:28" hidden="1" x14ac:dyDescent="0.2">
      <c r="A282" t="s">
        <v>5303</v>
      </c>
      <c r="B282">
        <v>5131</v>
      </c>
      <c r="C282">
        <v>12794</v>
      </c>
      <c r="D282" t="s">
        <v>5186</v>
      </c>
      <c r="E282" t="s">
        <v>4832</v>
      </c>
      <c r="F282" t="s">
        <v>5187</v>
      </c>
      <c r="G282" t="s">
        <v>1241</v>
      </c>
      <c r="H282">
        <v>150</v>
      </c>
      <c r="I282" t="s">
        <v>5191</v>
      </c>
      <c r="J282">
        <v>93</v>
      </c>
      <c r="K282" t="s">
        <v>5192</v>
      </c>
      <c r="L282">
        <v>3420.33</v>
      </c>
      <c r="M282" t="s">
        <v>4900</v>
      </c>
      <c r="N282" t="s">
        <v>4979</v>
      </c>
      <c r="O282" t="s">
        <v>4838</v>
      </c>
      <c r="P282" t="s">
        <v>4844</v>
      </c>
      <c r="R282">
        <v>1973</v>
      </c>
      <c r="S282">
        <v>1200</v>
      </c>
      <c r="U282" t="s">
        <v>4840</v>
      </c>
      <c r="V282">
        <v>2018</v>
      </c>
      <c r="W282">
        <v>38</v>
      </c>
      <c r="X282" s="89">
        <f>ABS(IF(Table2929[[#This Row],[performance_2]]&lt;&gt;"", IF(Table2929[[#This Row],[performance_1]]&lt;&gt;"",(Table2929[[#This Row],[performance_1]]-Table2929[[#This Row],[performance_2]])/Table2929[[#This Row],[performance_1]],""), ""))</f>
        <v>0.38</v>
      </c>
      <c r="Y282" s="55">
        <f>Table2929[[#This Row],[total_cost]]/Table2929[[#This Row],[cfa_post]]</f>
        <v>2.8502749999999999</v>
      </c>
      <c r="Z282" s="55">
        <f>Table2929[[#This Row],[total_cost]]/INDEX(CPI!$A$3:$C$31,MATCH(Table2929[[#This Row],[start_year]],CPI!$A$3:$A$31,0),3)</f>
        <v>4142.2634528076469</v>
      </c>
      <c r="AA282" s="55">
        <f>Table2929[[#This Row],[$/sqft]]/INDEX(CPI!$A$3:$C$31,MATCH(Table2929[[#This Row],[start_year]],CPI!$A$3:$A$31,0),3)</f>
        <v>3.451886210673039</v>
      </c>
      <c r="AB282" s="55" t="s">
        <v>72</v>
      </c>
    </row>
    <row r="283" spans="1:28" x14ac:dyDescent="0.2">
      <c r="A283" t="s">
        <v>5303</v>
      </c>
      <c r="B283">
        <v>5241</v>
      </c>
      <c r="C283">
        <v>13426</v>
      </c>
      <c r="D283" t="s">
        <v>5186</v>
      </c>
      <c r="E283" t="s">
        <v>4832</v>
      </c>
      <c r="F283" t="s">
        <v>5187</v>
      </c>
      <c r="G283" t="s">
        <v>1241</v>
      </c>
      <c r="H283">
        <v>180</v>
      </c>
      <c r="I283" t="s">
        <v>5191</v>
      </c>
      <c r="J283">
        <v>60</v>
      </c>
      <c r="K283" t="s">
        <v>5192</v>
      </c>
      <c r="L283">
        <v>636.88</v>
      </c>
      <c r="M283" t="s">
        <v>4997</v>
      </c>
      <c r="N283" t="s">
        <v>4979</v>
      </c>
      <c r="O283" t="s">
        <v>4972</v>
      </c>
      <c r="P283" t="s">
        <v>4844</v>
      </c>
      <c r="R283">
        <v>2003</v>
      </c>
      <c r="S283">
        <v>1342</v>
      </c>
      <c r="U283" t="s">
        <v>4840</v>
      </c>
      <c r="V283">
        <v>2018</v>
      </c>
      <c r="W283">
        <v>66.666666669999998</v>
      </c>
      <c r="X283" s="89">
        <f>ABS(IF(Table2929[[#This Row],[performance_2]]&lt;&gt;"", IF(Table2929[[#This Row],[performance_1]]&lt;&gt;"",(Table2929[[#This Row],[performance_1]]-Table2929[[#This Row],[performance_2]])/Table2929[[#This Row],[performance_1]],""), ""))</f>
        <v>0.66666666666666663</v>
      </c>
      <c r="Y283" s="55">
        <f>Table2929[[#This Row],[total_cost]]/Table2929[[#This Row],[cfa_post]]</f>
        <v>0.47457526080476897</v>
      </c>
      <c r="Z283" s="55">
        <f>Table2929[[#This Row],[total_cost]]/INDEX(CPI!$A$3:$C$31,MATCH(Table2929[[#This Row],[start_year]],CPI!$A$3:$A$31,0),3)</f>
        <v>771.30708084428522</v>
      </c>
      <c r="AA283" s="55">
        <f>Table2929[[#This Row],[$/sqft]]/INDEX(CPI!$A$3:$C$31,MATCH(Table2929[[#This Row],[start_year]],CPI!$A$3:$A$31,0),3)</f>
        <v>0.57474447156802178</v>
      </c>
      <c r="AB283" s="55" t="s">
        <v>71</v>
      </c>
    </row>
    <row r="284" spans="1:28" hidden="1" x14ac:dyDescent="0.2">
      <c r="A284" t="s">
        <v>5303</v>
      </c>
      <c r="B284">
        <v>5133</v>
      </c>
      <c r="C284">
        <v>12806</v>
      </c>
      <c r="D284" t="s">
        <v>5186</v>
      </c>
      <c r="E284" t="s">
        <v>4832</v>
      </c>
      <c r="F284" t="s">
        <v>5187</v>
      </c>
      <c r="G284" t="s">
        <v>1241</v>
      </c>
      <c r="H284">
        <v>1120</v>
      </c>
      <c r="I284" t="s">
        <v>5191</v>
      </c>
      <c r="J284">
        <v>74</v>
      </c>
      <c r="K284" t="s">
        <v>5192</v>
      </c>
      <c r="L284">
        <v>3433</v>
      </c>
      <c r="M284" t="s">
        <v>4988</v>
      </c>
      <c r="N284" t="s">
        <v>4979</v>
      </c>
      <c r="O284" t="s">
        <v>4838</v>
      </c>
      <c r="P284" t="s">
        <v>1241</v>
      </c>
      <c r="R284">
        <v>1968</v>
      </c>
      <c r="S284">
        <v>1900</v>
      </c>
      <c r="U284" t="s">
        <v>4840</v>
      </c>
      <c r="V284">
        <v>2018</v>
      </c>
      <c r="W284">
        <v>93.392857140000004</v>
      </c>
      <c r="X284" s="89">
        <f>ABS(IF(Table2929[[#This Row],[performance_2]]&lt;&gt;"", IF(Table2929[[#This Row],[performance_1]]&lt;&gt;"",(Table2929[[#This Row],[performance_1]]-Table2929[[#This Row],[performance_2]])/Table2929[[#This Row],[performance_1]],""), ""))</f>
        <v>0.93392857142857144</v>
      </c>
      <c r="Y284" s="55">
        <f>Table2929[[#This Row],[total_cost]]/Table2929[[#This Row],[cfa_post]]</f>
        <v>1.8068421052631578</v>
      </c>
      <c r="Z284" s="55">
        <f>Table2929[[#This Row],[total_cost]]/INDEX(CPI!$A$3:$C$31,MATCH(Table2929[[#This Row],[start_year]],CPI!$A$3:$A$31,0),3)</f>
        <v>4157.6077260055754</v>
      </c>
      <c r="AA284" s="55">
        <f>Table2929[[#This Row],[$/sqft]]/INDEX(CPI!$A$3:$C$31,MATCH(Table2929[[#This Row],[start_year]],CPI!$A$3:$A$31,0),3)</f>
        <v>2.1882145926345133</v>
      </c>
      <c r="AB284" s="55" t="s">
        <v>72</v>
      </c>
    </row>
    <row r="285" spans="1:28" x14ac:dyDescent="0.2">
      <c r="A285" t="s">
        <v>5303</v>
      </c>
      <c r="B285">
        <v>5261</v>
      </c>
      <c r="C285">
        <v>13539</v>
      </c>
      <c r="D285" t="s">
        <v>5186</v>
      </c>
      <c r="E285" t="s">
        <v>4832</v>
      </c>
      <c r="F285" t="s">
        <v>5187</v>
      </c>
      <c r="G285" t="s">
        <v>1241</v>
      </c>
      <c r="H285">
        <v>420</v>
      </c>
      <c r="I285" t="s">
        <v>5191</v>
      </c>
      <c r="J285">
        <v>140</v>
      </c>
      <c r="K285" t="s">
        <v>5192</v>
      </c>
      <c r="L285">
        <v>572.16</v>
      </c>
      <c r="M285" t="s">
        <v>4978</v>
      </c>
      <c r="N285" t="s">
        <v>4979</v>
      </c>
      <c r="O285" t="s">
        <v>4972</v>
      </c>
      <c r="P285" t="s">
        <v>4844</v>
      </c>
      <c r="R285">
        <v>1996</v>
      </c>
      <c r="S285">
        <v>1430</v>
      </c>
      <c r="U285" t="s">
        <v>4840</v>
      </c>
      <c r="V285">
        <v>2018</v>
      </c>
      <c r="W285">
        <v>66.666666669999998</v>
      </c>
      <c r="X285" s="89">
        <f>ABS(IF(Table2929[[#This Row],[performance_2]]&lt;&gt;"", IF(Table2929[[#This Row],[performance_1]]&lt;&gt;"",(Table2929[[#This Row],[performance_1]]-Table2929[[#This Row],[performance_2]])/Table2929[[#This Row],[performance_1]],""), ""))</f>
        <v>0.66666666666666663</v>
      </c>
      <c r="Y285" s="55">
        <f>Table2929[[#This Row],[total_cost]]/Table2929[[#This Row],[cfa_post]]</f>
        <v>0.40011188811188808</v>
      </c>
      <c r="Z285" s="55">
        <f>Table2929[[#This Row],[total_cost]]/INDEX(CPI!$A$3:$C$31,MATCH(Table2929[[#This Row],[start_year]],CPI!$A$3:$A$31,0),3)</f>
        <v>692.92654719235372</v>
      </c>
      <c r="AA285" s="55">
        <f>Table2929[[#This Row],[$/sqft]]/INDEX(CPI!$A$3:$C$31,MATCH(Table2929[[#This Row],[start_year]],CPI!$A$3:$A$31,0),3)</f>
        <v>0.4845640190156319</v>
      </c>
      <c r="AB285" s="55" t="s">
        <v>71</v>
      </c>
    </row>
    <row r="286" spans="1:28" x14ac:dyDescent="0.2">
      <c r="A286" t="s">
        <v>5303</v>
      </c>
      <c r="B286">
        <v>4039</v>
      </c>
      <c r="C286">
        <v>11172</v>
      </c>
      <c r="D286" t="s">
        <v>5186</v>
      </c>
      <c r="E286" t="s">
        <v>4832</v>
      </c>
      <c r="F286" t="s">
        <v>5187</v>
      </c>
      <c r="G286" t="s">
        <v>1241</v>
      </c>
      <c r="H286">
        <v>252</v>
      </c>
      <c r="I286" t="s">
        <v>5191</v>
      </c>
      <c r="J286">
        <v>80</v>
      </c>
      <c r="K286" t="s">
        <v>5192</v>
      </c>
      <c r="L286">
        <v>836.05</v>
      </c>
      <c r="M286" t="s">
        <v>4975</v>
      </c>
      <c r="N286" t="s">
        <v>4969</v>
      </c>
      <c r="O286" t="s">
        <v>4838</v>
      </c>
      <c r="P286" t="s">
        <v>4844</v>
      </c>
      <c r="R286">
        <v>2001</v>
      </c>
      <c r="S286">
        <v>1105</v>
      </c>
      <c r="U286" t="s">
        <v>4840</v>
      </c>
      <c r="V286">
        <v>2019</v>
      </c>
      <c r="W286">
        <v>68.25396825</v>
      </c>
      <c r="X286" s="89">
        <f>ABS(IF(Table2929[[#This Row],[performance_2]]&lt;&gt;"", IF(Table2929[[#This Row],[performance_1]]&lt;&gt;"",(Table2929[[#This Row],[performance_1]]-Table2929[[#This Row],[performance_2]])/Table2929[[#This Row],[performance_1]],""), ""))</f>
        <v>0.68253968253968256</v>
      </c>
      <c r="Y286" s="55">
        <f>Table2929[[#This Row],[total_cost]]/Table2929[[#This Row],[cfa_post]]</f>
        <v>0.75660633484162887</v>
      </c>
      <c r="Z286" s="55">
        <f>Table2929[[#This Row],[total_cost]]/INDEX(CPI!$A$3:$C$31,MATCH(Table2929[[#This Row],[start_year]],CPI!$A$3:$A$31,0),3)</f>
        <v>994.30115369573718</v>
      </c>
      <c r="AA286" s="55">
        <f>Table2929[[#This Row],[$/sqft]]/INDEX(CPI!$A$3:$C$31,MATCH(Table2929[[#This Row],[start_year]],CPI!$A$3:$A$31,0),3)</f>
        <v>0.89982004859342724</v>
      </c>
      <c r="AB286" s="55" t="s">
        <v>71</v>
      </c>
    </row>
    <row r="287" spans="1:28" x14ac:dyDescent="0.2">
      <c r="A287" t="s">
        <v>5303</v>
      </c>
      <c r="B287">
        <v>5248</v>
      </c>
      <c r="C287">
        <v>13468</v>
      </c>
      <c r="D287" t="s">
        <v>5186</v>
      </c>
      <c r="E287" t="s">
        <v>4832</v>
      </c>
      <c r="F287" t="s">
        <v>5187</v>
      </c>
      <c r="G287" t="s">
        <v>1241</v>
      </c>
      <c r="H287">
        <v>367</v>
      </c>
      <c r="I287" t="s">
        <v>5191</v>
      </c>
      <c r="J287">
        <v>115</v>
      </c>
      <c r="K287" t="s">
        <v>5192</v>
      </c>
      <c r="L287">
        <v>483.49</v>
      </c>
      <c r="M287" t="s">
        <v>4997</v>
      </c>
      <c r="N287" t="s">
        <v>4979</v>
      </c>
      <c r="O287" t="s">
        <v>4972</v>
      </c>
      <c r="P287" t="s">
        <v>4844</v>
      </c>
      <c r="R287">
        <v>1999</v>
      </c>
      <c r="S287">
        <v>2224</v>
      </c>
      <c r="U287" t="s">
        <v>4840</v>
      </c>
      <c r="V287">
        <v>2018</v>
      </c>
      <c r="W287">
        <v>68.664850139999999</v>
      </c>
      <c r="X287" s="89">
        <f>ABS(IF(Table2929[[#This Row],[performance_2]]&lt;&gt;"", IF(Table2929[[#This Row],[performance_1]]&lt;&gt;"",(Table2929[[#This Row],[performance_1]]-Table2929[[#This Row],[performance_2]])/Table2929[[#This Row],[performance_1]],""), ""))</f>
        <v>0.68664850136239786</v>
      </c>
      <c r="Y287" s="55">
        <f>Table2929[[#This Row],[total_cost]]/Table2929[[#This Row],[cfa_post]]</f>
        <v>0.21739658273381296</v>
      </c>
      <c r="Z287" s="55">
        <f>Table2929[[#This Row],[total_cost]]/INDEX(CPI!$A$3:$C$31,MATCH(Table2929[[#This Row],[start_year]],CPI!$A$3:$A$31,0),3)</f>
        <v>585.54085623257674</v>
      </c>
      <c r="AA287" s="55">
        <f>Table2929[[#This Row],[$/sqft]]/INDEX(CPI!$A$3:$C$31,MATCH(Table2929[[#This Row],[start_year]],CPI!$A$3:$A$31,0),3)</f>
        <v>0.26328275909738164</v>
      </c>
      <c r="AB287" s="55" t="s">
        <v>71</v>
      </c>
    </row>
    <row r="288" spans="1:28" hidden="1" x14ac:dyDescent="0.2">
      <c r="A288" t="s">
        <v>5303</v>
      </c>
      <c r="B288">
        <v>5137</v>
      </c>
      <c r="C288">
        <v>12835</v>
      </c>
      <c r="D288" t="s">
        <v>5186</v>
      </c>
      <c r="E288" t="s">
        <v>4832</v>
      </c>
      <c r="F288" t="s">
        <v>5187</v>
      </c>
      <c r="G288" t="s">
        <v>1241</v>
      </c>
      <c r="I288" t="s">
        <v>5191</v>
      </c>
      <c r="K288" t="s">
        <v>5192</v>
      </c>
      <c r="L288">
        <v>517.24</v>
      </c>
      <c r="M288" t="s">
        <v>4900</v>
      </c>
      <c r="N288" t="s">
        <v>4979</v>
      </c>
      <c r="O288" t="s">
        <v>4972</v>
      </c>
      <c r="P288" t="s">
        <v>1241</v>
      </c>
      <c r="R288">
        <v>1995</v>
      </c>
      <c r="S288">
        <v>1620</v>
      </c>
      <c r="U288" t="s">
        <v>4840</v>
      </c>
      <c r="V288">
        <v>2018</v>
      </c>
      <c r="X288" t="str">
        <f>IF(Table2929[[#This Row],[performance_2]]&lt;&gt;"", IF(Table2929[[#This Row],[performance_1]]&lt;&gt;"",(Table2929[[#This Row],[performance_1]]-Table2929[[#This Row],[performance_2]])/Table2929[[#This Row],[performance_1]],""), "")</f>
        <v/>
      </c>
      <c r="Y288" s="55">
        <f>Table2929[[#This Row],[total_cost]]/Table2929[[#This Row],[cfa_post]]</f>
        <v>0.31928395061728393</v>
      </c>
      <c r="Z288" s="55">
        <f>Table2929[[#This Row],[total_cost]]/INDEX(CPI!$A$3:$C$31,MATCH(Table2929[[#This Row],[start_year]],CPI!$A$3:$A$31,0),3)</f>
        <v>626.41451214655524</v>
      </c>
      <c r="AA288" s="55">
        <f>Table2929[[#This Row],[$/sqft]]/INDEX(CPI!$A$3:$C$31,MATCH(Table2929[[#This Row],[start_year]],CPI!$A$3:$A$31,0),3)</f>
        <v>0.38667562478182416</v>
      </c>
      <c r="AB288" s="55" t="s">
        <v>72</v>
      </c>
    </row>
    <row r="289" spans="1:28" x14ac:dyDescent="0.2">
      <c r="A289" t="s">
        <v>5303</v>
      </c>
      <c r="B289">
        <v>5035</v>
      </c>
      <c r="C289">
        <v>12217</v>
      </c>
      <c r="D289" t="s">
        <v>5186</v>
      </c>
      <c r="E289" t="s">
        <v>4832</v>
      </c>
      <c r="F289" t="s">
        <v>5187</v>
      </c>
      <c r="G289" t="s">
        <v>1241</v>
      </c>
      <c r="H289">
        <v>207</v>
      </c>
      <c r="I289" t="s">
        <v>5191</v>
      </c>
      <c r="J289">
        <v>64</v>
      </c>
      <c r="K289" t="s">
        <v>5192</v>
      </c>
      <c r="L289">
        <v>769.78</v>
      </c>
      <c r="M289" t="s">
        <v>4987</v>
      </c>
      <c r="N289" t="s">
        <v>4979</v>
      </c>
      <c r="O289" t="s">
        <v>4972</v>
      </c>
      <c r="P289" t="s">
        <v>1241</v>
      </c>
      <c r="R289">
        <v>1996</v>
      </c>
      <c r="S289">
        <v>1014</v>
      </c>
      <c r="U289" t="s">
        <v>4840</v>
      </c>
      <c r="V289">
        <v>2018</v>
      </c>
      <c r="W289">
        <v>69.082125599999998</v>
      </c>
      <c r="X289" s="89">
        <f>ABS(IF(Table2929[[#This Row],[performance_2]]&lt;&gt;"", IF(Table2929[[#This Row],[performance_1]]&lt;&gt;"",(Table2929[[#This Row],[performance_1]]-Table2929[[#This Row],[performance_2]])/Table2929[[#This Row],[performance_1]],""), ""))</f>
        <v>0.6908212560386473</v>
      </c>
      <c r="Y289" s="55">
        <f>Table2929[[#This Row],[total_cost]]/Table2929[[#This Row],[cfa_post]]</f>
        <v>0.75915187376725835</v>
      </c>
      <c r="Z289" s="55">
        <f>Table2929[[#This Row],[total_cost]]/INDEX(CPI!$A$3:$C$31,MATCH(Table2929[[#This Row],[start_year]],CPI!$A$3:$A$31,0),3)</f>
        <v>932.25845479888494</v>
      </c>
      <c r="AA289" s="55">
        <f>Table2929[[#This Row],[$/sqft]]/INDEX(CPI!$A$3:$C$31,MATCH(Table2929[[#This Row],[start_year]],CPI!$A$3:$A$31,0),3)</f>
        <v>0.91938703629081353</v>
      </c>
      <c r="AB289" s="55" t="s">
        <v>71</v>
      </c>
    </row>
    <row r="290" spans="1:28" x14ac:dyDescent="0.2">
      <c r="A290" t="s">
        <v>5303</v>
      </c>
      <c r="B290">
        <v>5014</v>
      </c>
      <c r="C290">
        <v>12085</v>
      </c>
      <c r="D290" t="s">
        <v>5186</v>
      </c>
      <c r="E290" t="s">
        <v>4832</v>
      </c>
      <c r="F290" t="s">
        <v>5187</v>
      </c>
      <c r="G290" t="s">
        <v>1241</v>
      </c>
      <c r="H290">
        <v>635</v>
      </c>
      <c r="I290" t="s">
        <v>5191</v>
      </c>
      <c r="J290">
        <v>196</v>
      </c>
      <c r="K290" t="s">
        <v>5192</v>
      </c>
      <c r="L290">
        <v>1251.5</v>
      </c>
      <c r="M290" t="s">
        <v>4980</v>
      </c>
      <c r="N290" t="s">
        <v>4979</v>
      </c>
      <c r="O290" t="s">
        <v>4972</v>
      </c>
      <c r="P290" t="s">
        <v>4844</v>
      </c>
      <c r="R290">
        <v>2005</v>
      </c>
      <c r="S290">
        <v>2200</v>
      </c>
      <c r="U290" t="s">
        <v>4840</v>
      </c>
      <c r="V290">
        <v>2018</v>
      </c>
      <c r="W290">
        <v>69.133858270000005</v>
      </c>
      <c r="X290" s="89">
        <f>ABS(IF(Table2929[[#This Row],[performance_2]]&lt;&gt;"", IF(Table2929[[#This Row],[performance_1]]&lt;&gt;"",(Table2929[[#This Row],[performance_1]]-Table2929[[#This Row],[performance_2]])/Table2929[[#This Row],[performance_1]],""), ""))</f>
        <v>0.6913385826771653</v>
      </c>
      <c r="Y290" s="55">
        <f>Table2929[[#This Row],[total_cost]]/Table2929[[#This Row],[cfa_post]]</f>
        <v>0.56886363636363635</v>
      </c>
      <c r="Z290" s="55">
        <f>Table2929[[#This Row],[total_cost]]/INDEX(CPI!$A$3:$C$31,MATCH(Table2929[[#This Row],[start_year]],CPI!$A$3:$A$31,0),3)</f>
        <v>1515.6557148546397</v>
      </c>
      <c r="AA290" s="55">
        <f>Table2929[[#This Row],[$/sqft]]/INDEX(CPI!$A$3:$C$31,MATCH(Table2929[[#This Row],[start_year]],CPI!$A$3:$A$31,0),3)</f>
        <v>0.68893441584301807</v>
      </c>
      <c r="AB290" s="55" t="s">
        <v>71</v>
      </c>
    </row>
    <row r="291" spans="1:28" x14ac:dyDescent="0.2">
      <c r="A291" t="s">
        <v>5303</v>
      </c>
      <c r="B291">
        <v>5228</v>
      </c>
      <c r="C291">
        <v>13355</v>
      </c>
      <c r="D291" t="s">
        <v>5186</v>
      </c>
      <c r="E291" t="s">
        <v>4832</v>
      </c>
      <c r="F291" t="s">
        <v>5187</v>
      </c>
      <c r="G291" t="s">
        <v>1241</v>
      </c>
      <c r="H291">
        <v>762</v>
      </c>
      <c r="I291" t="s">
        <v>5191</v>
      </c>
      <c r="J291">
        <v>235</v>
      </c>
      <c r="K291" t="s">
        <v>5192</v>
      </c>
      <c r="L291">
        <v>483.54</v>
      </c>
      <c r="M291" t="s">
        <v>4982</v>
      </c>
      <c r="N291" t="s">
        <v>4979</v>
      </c>
      <c r="O291" t="s">
        <v>4972</v>
      </c>
      <c r="P291" t="s">
        <v>1241</v>
      </c>
      <c r="R291">
        <v>2001</v>
      </c>
      <c r="S291">
        <v>1985</v>
      </c>
      <c r="U291" t="s">
        <v>4840</v>
      </c>
      <c r="V291">
        <v>2017</v>
      </c>
      <c r="W291">
        <v>69.160104989999994</v>
      </c>
      <c r="X291" s="89">
        <f>ABS(IF(Table2929[[#This Row],[performance_2]]&lt;&gt;"", IF(Table2929[[#This Row],[performance_1]]&lt;&gt;"",(Table2929[[#This Row],[performance_1]]-Table2929[[#This Row],[performance_2]])/Table2929[[#This Row],[performance_1]],""), ""))</f>
        <v>0.69160104986876636</v>
      </c>
      <c r="Y291" s="55">
        <f>Table2929[[#This Row],[total_cost]]/Table2929[[#This Row],[cfa_post]]</f>
        <v>0.24359697732997482</v>
      </c>
      <c r="Z291" s="55">
        <f>Table2929[[#This Row],[total_cost]]/INDEX(CPI!$A$3:$C$31,MATCH(Table2929[[#This Row],[start_year]],CPI!$A$3:$A$31,0),3)</f>
        <v>599.93681762545907</v>
      </c>
      <c r="AA291" s="55">
        <f>Table2929[[#This Row],[$/sqft]]/INDEX(CPI!$A$3:$C$31,MATCH(Table2929[[#This Row],[start_year]],CPI!$A$3:$A$31,0),3)</f>
        <v>0.30223517260728416</v>
      </c>
      <c r="AB291" s="55" t="s">
        <v>71</v>
      </c>
    </row>
    <row r="292" spans="1:28" x14ac:dyDescent="0.2">
      <c r="A292" t="s">
        <v>5303</v>
      </c>
      <c r="B292">
        <v>5135</v>
      </c>
      <c r="C292">
        <v>12820</v>
      </c>
      <c r="D292" t="s">
        <v>5186</v>
      </c>
      <c r="E292" t="s">
        <v>4832</v>
      </c>
      <c r="F292" t="s">
        <v>5187</v>
      </c>
      <c r="G292" t="s">
        <v>1241</v>
      </c>
      <c r="H292">
        <v>300</v>
      </c>
      <c r="I292" t="s">
        <v>5191</v>
      </c>
      <c r="J292">
        <v>90</v>
      </c>
      <c r="K292" t="s">
        <v>5192</v>
      </c>
      <c r="L292">
        <v>577.26</v>
      </c>
      <c r="M292" t="s">
        <v>4900</v>
      </c>
      <c r="N292" t="s">
        <v>4979</v>
      </c>
      <c r="O292" t="s">
        <v>4838</v>
      </c>
      <c r="P292" t="s">
        <v>1241</v>
      </c>
      <c r="R292">
        <v>1972</v>
      </c>
      <c r="S292">
        <v>1234</v>
      </c>
      <c r="U292" t="s">
        <v>4840</v>
      </c>
      <c r="V292">
        <v>2018</v>
      </c>
      <c r="W292">
        <v>70</v>
      </c>
      <c r="X292" s="89">
        <f>ABS(IF(Table2929[[#This Row],[performance_2]]&lt;&gt;"", IF(Table2929[[#This Row],[performance_1]]&lt;&gt;"",(Table2929[[#This Row],[performance_1]]-Table2929[[#This Row],[performance_2]])/Table2929[[#This Row],[performance_1]],""), ""))</f>
        <v>0.7</v>
      </c>
      <c r="Y292" s="55">
        <f>Table2929[[#This Row],[total_cost]]/Table2929[[#This Row],[cfa_post]]</f>
        <v>0.46779578606158834</v>
      </c>
      <c r="Z292" s="55">
        <f>Table2929[[#This Row],[total_cost]]/INDEX(CPI!$A$3:$C$31,MATCH(Table2929[[#This Row],[start_year]],CPI!$A$3:$A$31,0),3)</f>
        <v>699.10301075268819</v>
      </c>
      <c r="AA292" s="55">
        <f>Table2929[[#This Row],[$/sqft]]/INDEX(CPI!$A$3:$C$31,MATCH(Table2929[[#This Row],[start_year]],CPI!$A$3:$A$31,0),3)</f>
        <v>0.5665340443700877</v>
      </c>
      <c r="AB292" s="55" t="s">
        <v>71</v>
      </c>
    </row>
    <row r="293" spans="1:28" x14ac:dyDescent="0.2">
      <c r="A293" t="s">
        <v>5303</v>
      </c>
      <c r="B293">
        <v>5210</v>
      </c>
      <c r="C293">
        <v>13257</v>
      </c>
      <c r="D293" t="s">
        <v>5186</v>
      </c>
      <c r="E293" t="s">
        <v>4832</v>
      </c>
      <c r="F293" t="s">
        <v>5187</v>
      </c>
      <c r="G293" t="s">
        <v>1241</v>
      </c>
      <c r="H293">
        <v>546</v>
      </c>
      <c r="I293" t="s">
        <v>5191</v>
      </c>
      <c r="J293">
        <v>163</v>
      </c>
      <c r="K293" t="s">
        <v>5192</v>
      </c>
      <c r="L293">
        <v>951.16</v>
      </c>
      <c r="M293" t="s">
        <v>4900</v>
      </c>
      <c r="N293" t="s">
        <v>4979</v>
      </c>
      <c r="O293" t="s">
        <v>4838</v>
      </c>
      <c r="P293" t="s">
        <v>1241</v>
      </c>
      <c r="R293">
        <v>1985</v>
      </c>
      <c r="S293">
        <v>1280</v>
      </c>
      <c r="U293" t="s">
        <v>4840</v>
      </c>
      <c r="V293">
        <v>2018</v>
      </c>
      <c r="W293">
        <v>70.146520150000001</v>
      </c>
      <c r="X293" s="89">
        <f>ABS(IF(Table2929[[#This Row],[performance_2]]&lt;&gt;"", IF(Table2929[[#This Row],[performance_1]]&lt;&gt;"",(Table2929[[#This Row],[performance_1]]-Table2929[[#This Row],[performance_2]])/Table2929[[#This Row],[performance_1]],""), ""))</f>
        <v>0.70146520146520142</v>
      </c>
      <c r="Y293" s="55">
        <f>Table2929[[#This Row],[total_cost]]/Table2929[[#This Row],[cfa_post]]</f>
        <v>0.74309375</v>
      </c>
      <c r="Z293" s="55">
        <f>Table2929[[#This Row],[total_cost]]/INDEX(CPI!$A$3:$C$31,MATCH(Table2929[[#This Row],[start_year]],CPI!$A$3:$A$31,0),3)</f>
        <v>1151.922564715253</v>
      </c>
      <c r="AA293" s="55">
        <f>Table2929[[#This Row],[$/sqft]]/INDEX(CPI!$A$3:$C$31,MATCH(Table2929[[#This Row],[start_year]],CPI!$A$3:$A$31,0),3)</f>
        <v>0.89993950368379139</v>
      </c>
      <c r="AB293" s="55" t="s">
        <v>71</v>
      </c>
    </row>
    <row r="294" spans="1:28" x14ac:dyDescent="0.2">
      <c r="A294" t="s">
        <v>5303</v>
      </c>
      <c r="B294">
        <v>4027</v>
      </c>
      <c r="C294">
        <v>11114</v>
      </c>
      <c r="D294" t="s">
        <v>5186</v>
      </c>
      <c r="E294" t="s">
        <v>4832</v>
      </c>
      <c r="F294" t="s">
        <v>5187</v>
      </c>
      <c r="G294" t="s">
        <v>1241</v>
      </c>
      <c r="H294">
        <v>298</v>
      </c>
      <c r="I294" t="s">
        <v>5191</v>
      </c>
      <c r="J294">
        <v>87</v>
      </c>
      <c r="K294" t="s">
        <v>5192</v>
      </c>
      <c r="L294">
        <v>1121.25</v>
      </c>
      <c r="M294" t="s">
        <v>4971</v>
      </c>
      <c r="N294" t="s">
        <v>4969</v>
      </c>
      <c r="O294" t="s">
        <v>4838</v>
      </c>
      <c r="P294" t="s">
        <v>4844</v>
      </c>
      <c r="R294">
        <v>1950</v>
      </c>
      <c r="S294">
        <v>920</v>
      </c>
      <c r="U294" t="s">
        <v>4840</v>
      </c>
      <c r="V294">
        <v>2019</v>
      </c>
      <c r="W294">
        <v>70.805369130000003</v>
      </c>
      <c r="X294" s="89">
        <f>ABS(IF(Table2929[[#This Row],[performance_2]]&lt;&gt;"", IF(Table2929[[#This Row],[performance_1]]&lt;&gt;"",(Table2929[[#This Row],[performance_1]]-Table2929[[#This Row],[performance_2]])/Table2929[[#This Row],[performance_1]],""), ""))</f>
        <v>0.70805369127516782</v>
      </c>
      <c r="Y294" s="55">
        <f>Table2929[[#This Row],[total_cost]]/Table2929[[#This Row],[cfa_post]]</f>
        <v>1.21875</v>
      </c>
      <c r="Z294" s="55">
        <f>Table2929[[#This Row],[total_cost]]/INDEX(CPI!$A$3:$C$31,MATCH(Table2929[[#This Row],[start_year]],CPI!$A$3:$A$31,0),3)</f>
        <v>1333.4850410637466</v>
      </c>
      <c r="AA294" s="55">
        <f>Table2929[[#This Row],[$/sqft]]/INDEX(CPI!$A$3:$C$31,MATCH(Table2929[[#This Row],[start_year]],CPI!$A$3:$A$31,0),3)</f>
        <v>1.4494402620258116</v>
      </c>
      <c r="AB294" s="55" t="s">
        <v>71</v>
      </c>
    </row>
    <row r="295" spans="1:28" x14ac:dyDescent="0.2">
      <c r="A295" t="s">
        <v>5303</v>
      </c>
      <c r="B295">
        <v>5272</v>
      </c>
      <c r="C295">
        <v>13595</v>
      </c>
      <c r="D295" t="s">
        <v>5186</v>
      </c>
      <c r="E295" t="s">
        <v>4832</v>
      </c>
      <c r="F295" t="s">
        <v>5187</v>
      </c>
      <c r="G295" t="s">
        <v>1241</v>
      </c>
      <c r="H295">
        <v>360</v>
      </c>
      <c r="I295" t="s">
        <v>5191</v>
      </c>
      <c r="J295">
        <v>105</v>
      </c>
      <c r="K295" t="s">
        <v>5192</v>
      </c>
      <c r="L295">
        <v>693.6</v>
      </c>
      <c r="M295" t="s">
        <v>4997</v>
      </c>
      <c r="N295" t="s">
        <v>4979</v>
      </c>
      <c r="O295" t="s">
        <v>4972</v>
      </c>
      <c r="P295" t="s">
        <v>4844</v>
      </c>
      <c r="R295">
        <v>1994</v>
      </c>
      <c r="S295">
        <v>2079</v>
      </c>
      <c r="U295" t="s">
        <v>4840</v>
      </c>
      <c r="V295">
        <v>2019</v>
      </c>
      <c r="W295">
        <v>70.833333330000002</v>
      </c>
      <c r="X295" s="89">
        <f>ABS(IF(Table2929[[#This Row],[performance_2]]&lt;&gt;"", IF(Table2929[[#This Row],[performance_1]]&lt;&gt;"",(Table2929[[#This Row],[performance_1]]-Table2929[[#This Row],[performance_2]])/Table2929[[#This Row],[performance_1]],""), ""))</f>
        <v>0.70833333333333337</v>
      </c>
      <c r="Y295" s="55">
        <f>Table2929[[#This Row],[total_cost]]/Table2929[[#This Row],[cfa_post]]</f>
        <v>0.33362193362193365</v>
      </c>
      <c r="Z295" s="55">
        <f>Table2929[[#This Row],[total_cost]]/INDEX(CPI!$A$3:$C$31,MATCH(Table2929[[#This Row],[start_year]],CPI!$A$3:$A$31,0),3)</f>
        <v>824.88760265936651</v>
      </c>
      <c r="AA295" s="55">
        <f>Table2929[[#This Row],[$/sqft]]/INDEX(CPI!$A$3:$C$31,MATCH(Table2929[[#This Row],[start_year]],CPI!$A$3:$A$31,0),3)</f>
        <v>0.39677133365048894</v>
      </c>
      <c r="AB295" s="55" t="s">
        <v>71</v>
      </c>
    </row>
    <row r="296" spans="1:28" x14ac:dyDescent="0.2">
      <c r="A296" t="s">
        <v>5303</v>
      </c>
      <c r="B296">
        <v>5111</v>
      </c>
      <c r="C296">
        <v>12673</v>
      </c>
      <c r="D296" t="s">
        <v>5186</v>
      </c>
      <c r="E296" t="s">
        <v>4832</v>
      </c>
      <c r="F296" t="s">
        <v>5187</v>
      </c>
      <c r="G296" t="s">
        <v>1241</v>
      </c>
      <c r="H296">
        <v>574</v>
      </c>
      <c r="I296" t="s">
        <v>5191</v>
      </c>
      <c r="J296">
        <v>164</v>
      </c>
      <c r="K296" t="s">
        <v>5192</v>
      </c>
      <c r="L296">
        <v>701.65</v>
      </c>
      <c r="M296" t="s">
        <v>4987</v>
      </c>
      <c r="N296" t="s">
        <v>4979</v>
      </c>
      <c r="O296" t="s">
        <v>4972</v>
      </c>
      <c r="P296" t="s">
        <v>4844</v>
      </c>
      <c r="R296">
        <v>1996</v>
      </c>
      <c r="S296">
        <v>1100</v>
      </c>
      <c r="U296" t="s">
        <v>4840</v>
      </c>
      <c r="V296">
        <v>2019</v>
      </c>
      <c r="W296">
        <v>71.428571430000005</v>
      </c>
      <c r="X296" s="89">
        <f>ABS(IF(Table2929[[#This Row],[performance_2]]&lt;&gt;"", IF(Table2929[[#This Row],[performance_1]]&lt;&gt;"",(Table2929[[#This Row],[performance_1]]-Table2929[[#This Row],[performance_2]])/Table2929[[#This Row],[performance_1]],""), ""))</f>
        <v>0.7142857142857143</v>
      </c>
      <c r="Y296" s="55">
        <f>Table2929[[#This Row],[total_cost]]/Table2929[[#This Row],[cfa_post]]</f>
        <v>0.6378636363636363</v>
      </c>
      <c r="Z296" s="55">
        <f>Table2929[[#This Row],[total_cost]]/INDEX(CPI!$A$3:$C$31,MATCH(Table2929[[#This Row],[start_year]],CPI!$A$3:$A$31,0),3)</f>
        <v>834.46134141572156</v>
      </c>
      <c r="AA296" s="55">
        <f>Table2929[[#This Row],[$/sqft]]/INDEX(CPI!$A$3:$C$31,MATCH(Table2929[[#This Row],[start_year]],CPI!$A$3:$A$31,0),3)</f>
        <v>0.75860121946883774</v>
      </c>
      <c r="AB296" s="55" t="s">
        <v>71</v>
      </c>
    </row>
    <row r="297" spans="1:28" x14ac:dyDescent="0.2">
      <c r="A297" t="s">
        <v>5303</v>
      </c>
      <c r="B297">
        <v>5048</v>
      </c>
      <c r="C297">
        <v>12297</v>
      </c>
      <c r="D297" t="s">
        <v>5186</v>
      </c>
      <c r="E297" t="s">
        <v>4832</v>
      </c>
      <c r="F297" t="s">
        <v>5187</v>
      </c>
      <c r="G297" t="s">
        <v>1241</v>
      </c>
      <c r="H297">
        <v>390</v>
      </c>
      <c r="I297" t="s">
        <v>5191</v>
      </c>
      <c r="J297">
        <v>109</v>
      </c>
      <c r="K297" t="s">
        <v>5192</v>
      </c>
      <c r="L297">
        <v>676.25</v>
      </c>
      <c r="M297" t="s">
        <v>4981</v>
      </c>
      <c r="N297" t="s">
        <v>4979</v>
      </c>
      <c r="O297" t="s">
        <v>4838</v>
      </c>
      <c r="P297" t="s">
        <v>4844</v>
      </c>
      <c r="R297">
        <v>1966</v>
      </c>
      <c r="S297">
        <v>1260</v>
      </c>
      <c r="U297" t="s">
        <v>4840</v>
      </c>
      <c r="V297">
        <v>2019</v>
      </c>
      <c r="W297">
        <v>72.051282049999998</v>
      </c>
      <c r="X297" s="89">
        <f>ABS(IF(Table2929[[#This Row],[performance_2]]&lt;&gt;"", IF(Table2929[[#This Row],[performance_1]]&lt;&gt;"",(Table2929[[#This Row],[performance_1]]-Table2929[[#This Row],[performance_2]])/Table2929[[#This Row],[performance_1]],""), ""))</f>
        <v>0.72051282051282051</v>
      </c>
      <c r="Y297" s="55">
        <f>Table2929[[#This Row],[total_cost]]/Table2929[[#This Row],[cfa_post]]</f>
        <v>0.53670634920634919</v>
      </c>
      <c r="Z297" s="55">
        <f>Table2929[[#This Row],[total_cost]]/INDEX(CPI!$A$3:$C$31,MATCH(Table2929[[#This Row],[start_year]],CPI!$A$3:$A$31,0),3)</f>
        <v>804.2535197497067</v>
      </c>
      <c r="AA297" s="55">
        <f>Table2929[[#This Row],[$/sqft]]/INDEX(CPI!$A$3:$C$31,MATCH(Table2929[[#This Row],[start_year]],CPI!$A$3:$A$31,0),3)</f>
        <v>0.63829644424579901</v>
      </c>
      <c r="AB297" s="55" t="s">
        <v>71</v>
      </c>
    </row>
    <row r="298" spans="1:28" hidden="1" x14ac:dyDescent="0.2">
      <c r="A298" t="s">
        <v>5303</v>
      </c>
      <c r="B298">
        <v>5156</v>
      </c>
      <c r="C298">
        <v>12954</v>
      </c>
      <c r="D298" t="s">
        <v>5186</v>
      </c>
      <c r="E298" t="s">
        <v>4832</v>
      </c>
      <c r="F298" t="s">
        <v>5187</v>
      </c>
      <c r="G298" t="s">
        <v>1241</v>
      </c>
      <c r="I298" t="s">
        <v>5191</v>
      </c>
      <c r="K298" t="s">
        <v>5192</v>
      </c>
      <c r="L298">
        <v>2100</v>
      </c>
      <c r="M298" t="s">
        <v>4997</v>
      </c>
      <c r="N298" t="s">
        <v>4979</v>
      </c>
      <c r="O298" t="s">
        <v>4838</v>
      </c>
      <c r="P298" t="s">
        <v>4844</v>
      </c>
      <c r="R298">
        <v>1974</v>
      </c>
      <c r="S298">
        <v>2000</v>
      </c>
      <c r="U298" t="s">
        <v>4840</v>
      </c>
      <c r="V298">
        <v>2019</v>
      </c>
      <c r="X298" t="str">
        <f>IF(Table2929[[#This Row],[performance_2]]&lt;&gt;"", IF(Table2929[[#This Row],[performance_1]]&lt;&gt;"",(Table2929[[#This Row],[performance_1]]-Table2929[[#This Row],[performance_2]])/Table2929[[#This Row],[performance_1]],""), "")</f>
        <v/>
      </c>
      <c r="Y298" s="55">
        <f>Table2929[[#This Row],[total_cost]]/Table2929[[#This Row],[cfa_post]]</f>
        <v>1.05</v>
      </c>
      <c r="Z298" s="55">
        <f>Table2929[[#This Row],[total_cost]]/INDEX(CPI!$A$3:$C$31,MATCH(Table2929[[#This Row],[start_year]],CPI!$A$3:$A$31,0),3)</f>
        <v>2497.4970668752444</v>
      </c>
      <c r="AA298" s="55">
        <f>Table2929[[#This Row],[$/sqft]]/INDEX(CPI!$A$3:$C$31,MATCH(Table2929[[#This Row],[start_year]],CPI!$A$3:$A$31,0),3)</f>
        <v>1.2487485334376223</v>
      </c>
      <c r="AB298" s="55" t="s">
        <v>72</v>
      </c>
    </row>
    <row r="299" spans="1:28" x14ac:dyDescent="0.2">
      <c r="A299" t="s">
        <v>5303</v>
      </c>
      <c r="B299">
        <v>5104</v>
      </c>
      <c r="C299">
        <v>12629</v>
      </c>
      <c r="D299" t="s">
        <v>5186</v>
      </c>
      <c r="E299" t="s">
        <v>4832</v>
      </c>
      <c r="F299" t="s">
        <v>5187</v>
      </c>
      <c r="G299" t="s">
        <v>1241</v>
      </c>
      <c r="H299">
        <v>463</v>
      </c>
      <c r="I299" t="s">
        <v>5191</v>
      </c>
      <c r="J299">
        <v>128</v>
      </c>
      <c r="K299" t="s">
        <v>5192</v>
      </c>
      <c r="L299">
        <v>511.95</v>
      </c>
      <c r="M299" t="s">
        <v>4987</v>
      </c>
      <c r="N299" t="s">
        <v>4979</v>
      </c>
      <c r="O299" t="s">
        <v>4838</v>
      </c>
      <c r="P299" t="s">
        <v>4844</v>
      </c>
      <c r="R299">
        <v>1985</v>
      </c>
      <c r="S299">
        <v>1500</v>
      </c>
      <c r="U299" t="s">
        <v>4840</v>
      </c>
      <c r="V299">
        <v>2018</v>
      </c>
      <c r="W299">
        <v>72.354211660000004</v>
      </c>
      <c r="X299" s="89">
        <f>ABS(IF(Table2929[[#This Row],[performance_2]]&lt;&gt;"", IF(Table2929[[#This Row],[performance_1]]&lt;&gt;"",(Table2929[[#This Row],[performance_1]]-Table2929[[#This Row],[performance_2]])/Table2929[[#This Row],[performance_1]],""), ""))</f>
        <v>0.72354211663066959</v>
      </c>
      <c r="Y299" s="55">
        <f>Table2929[[#This Row],[total_cost]]/Table2929[[#This Row],[cfa_post]]</f>
        <v>0.34129999999999999</v>
      </c>
      <c r="Z299" s="55">
        <f>Table2929[[#This Row],[total_cost]]/INDEX(CPI!$A$3:$C$31,MATCH(Table2929[[#This Row],[start_year]],CPI!$A$3:$A$31,0),3)</f>
        <v>620.00794504181601</v>
      </c>
      <c r="AA299" s="55">
        <f>Table2929[[#This Row],[$/sqft]]/INDEX(CPI!$A$3:$C$31,MATCH(Table2929[[#This Row],[start_year]],CPI!$A$3:$A$31,0),3)</f>
        <v>0.41333863002787735</v>
      </c>
      <c r="AB299" s="55" t="s">
        <v>71</v>
      </c>
    </row>
    <row r="300" spans="1:28" x14ac:dyDescent="0.2">
      <c r="A300" t="s">
        <v>5303</v>
      </c>
      <c r="B300">
        <v>5249</v>
      </c>
      <c r="C300">
        <v>13475</v>
      </c>
      <c r="D300" t="s">
        <v>5186</v>
      </c>
      <c r="E300" t="s">
        <v>4832</v>
      </c>
      <c r="F300" t="s">
        <v>5187</v>
      </c>
      <c r="G300" t="s">
        <v>1241</v>
      </c>
      <c r="H300">
        <v>243</v>
      </c>
      <c r="I300" t="s">
        <v>5191</v>
      </c>
      <c r="J300">
        <v>67</v>
      </c>
      <c r="K300" t="s">
        <v>5192</v>
      </c>
      <c r="L300">
        <v>289.7</v>
      </c>
      <c r="M300" t="s">
        <v>4980</v>
      </c>
      <c r="N300" t="s">
        <v>4979</v>
      </c>
      <c r="O300" t="s">
        <v>4972</v>
      </c>
      <c r="P300" t="s">
        <v>4844</v>
      </c>
      <c r="R300">
        <v>1998</v>
      </c>
      <c r="S300">
        <v>1872</v>
      </c>
      <c r="U300" t="s">
        <v>4840</v>
      </c>
      <c r="V300">
        <v>2018</v>
      </c>
      <c r="W300">
        <v>72.42798354</v>
      </c>
      <c r="X300" s="89">
        <f>ABS(IF(Table2929[[#This Row],[performance_2]]&lt;&gt;"", IF(Table2929[[#This Row],[performance_1]]&lt;&gt;"",(Table2929[[#This Row],[performance_1]]-Table2929[[#This Row],[performance_2]])/Table2929[[#This Row],[performance_1]],""), ""))</f>
        <v>0.72427983539094654</v>
      </c>
      <c r="Y300" s="55">
        <f>Table2929[[#This Row],[total_cost]]/Table2929[[#This Row],[cfa_post]]</f>
        <v>0.15475427350427351</v>
      </c>
      <c r="Z300" s="55">
        <f>Table2929[[#This Row],[total_cost]]/INDEX(CPI!$A$3:$C$31,MATCH(Table2929[[#This Row],[start_year]],CPI!$A$3:$A$31,0),3)</f>
        <v>350.84735165272804</v>
      </c>
      <c r="AA300" s="55">
        <f>Table2929[[#This Row],[$/sqft]]/INDEX(CPI!$A$3:$C$31,MATCH(Table2929[[#This Row],[start_year]],CPI!$A$3:$A$31,0),3)</f>
        <v>0.18741845707944874</v>
      </c>
      <c r="AB300" s="55" t="s">
        <v>71</v>
      </c>
    </row>
    <row r="301" spans="1:28" x14ac:dyDescent="0.2">
      <c r="A301" t="s">
        <v>5303</v>
      </c>
      <c r="B301">
        <v>5231</v>
      </c>
      <c r="C301">
        <v>13371</v>
      </c>
      <c r="D301" t="s">
        <v>5186</v>
      </c>
      <c r="E301" t="s">
        <v>4832</v>
      </c>
      <c r="F301" t="s">
        <v>5187</v>
      </c>
      <c r="G301" t="s">
        <v>1241</v>
      </c>
      <c r="H301">
        <v>667</v>
      </c>
      <c r="I301" t="s">
        <v>5191</v>
      </c>
      <c r="J301">
        <v>183</v>
      </c>
      <c r="K301" t="s">
        <v>5192</v>
      </c>
      <c r="L301">
        <v>501</v>
      </c>
      <c r="M301" t="s">
        <v>4980</v>
      </c>
      <c r="N301" t="s">
        <v>4979</v>
      </c>
      <c r="O301" t="s">
        <v>4972</v>
      </c>
      <c r="P301" t="s">
        <v>4844</v>
      </c>
      <c r="R301">
        <v>1995</v>
      </c>
      <c r="S301">
        <v>1196</v>
      </c>
      <c r="U301" t="s">
        <v>4840</v>
      </c>
      <c r="V301">
        <v>2018</v>
      </c>
      <c r="W301">
        <v>72.563718140000006</v>
      </c>
      <c r="X301" s="89">
        <f>ABS(IF(Table2929[[#This Row],[performance_2]]&lt;&gt;"", IF(Table2929[[#This Row],[performance_1]]&lt;&gt;"",(Table2929[[#This Row],[performance_1]]-Table2929[[#This Row],[performance_2]])/Table2929[[#This Row],[performance_1]],""), ""))</f>
        <v>0.72563718140929534</v>
      </c>
      <c r="Y301" s="55">
        <f>Table2929[[#This Row],[total_cost]]/Table2929[[#This Row],[cfa_post]]</f>
        <v>0.41889632107023411</v>
      </c>
      <c r="Z301" s="55">
        <f>Table2929[[#This Row],[total_cost]]/INDEX(CPI!$A$3:$C$31,MATCH(Table2929[[#This Row],[start_year]],CPI!$A$3:$A$31,0),3)</f>
        <v>606.74671445639194</v>
      </c>
      <c r="AA301" s="55">
        <f>Table2929[[#This Row],[$/sqft]]/INDEX(CPI!$A$3:$C$31,MATCH(Table2929[[#This Row],[start_year]],CPI!$A$3:$A$31,0),3)</f>
        <v>0.5073133064016655</v>
      </c>
      <c r="AB301" s="55" t="s">
        <v>71</v>
      </c>
    </row>
    <row r="302" spans="1:28" x14ac:dyDescent="0.2">
      <c r="A302" t="s">
        <v>5303</v>
      </c>
      <c r="B302">
        <v>5079</v>
      </c>
      <c r="C302">
        <v>12481</v>
      </c>
      <c r="D302" t="s">
        <v>5186</v>
      </c>
      <c r="E302" t="s">
        <v>4832</v>
      </c>
      <c r="F302" t="s">
        <v>5187</v>
      </c>
      <c r="G302" t="s">
        <v>1241</v>
      </c>
      <c r="H302">
        <v>620</v>
      </c>
      <c r="I302" t="s">
        <v>5191</v>
      </c>
      <c r="J302">
        <v>170</v>
      </c>
      <c r="K302" t="s">
        <v>5192</v>
      </c>
      <c r="L302">
        <v>2139.5</v>
      </c>
      <c r="M302" t="s">
        <v>4987</v>
      </c>
      <c r="N302" t="s">
        <v>4979</v>
      </c>
      <c r="O302" t="s">
        <v>4838</v>
      </c>
      <c r="P302" t="s">
        <v>4844</v>
      </c>
      <c r="R302">
        <v>1983</v>
      </c>
      <c r="S302">
        <v>3900</v>
      </c>
      <c r="U302" t="s">
        <v>4840</v>
      </c>
      <c r="V302">
        <v>2018</v>
      </c>
      <c r="W302">
        <v>72.580645160000003</v>
      </c>
      <c r="X302" s="89">
        <f>ABS(IF(Table2929[[#This Row],[performance_2]]&lt;&gt;"", IF(Table2929[[#This Row],[performance_1]]&lt;&gt;"",(Table2929[[#This Row],[performance_1]]-Table2929[[#This Row],[performance_2]])/Table2929[[#This Row],[performance_1]],""), ""))</f>
        <v>0.72580645161290325</v>
      </c>
      <c r="Y302" s="55">
        <f>Table2929[[#This Row],[total_cost]]/Table2929[[#This Row],[cfa_post]]</f>
        <v>0.54858974358974355</v>
      </c>
      <c r="Z302" s="55">
        <f>Table2929[[#This Row],[total_cost]]/INDEX(CPI!$A$3:$C$31,MATCH(Table2929[[#This Row],[start_year]],CPI!$A$3:$A$31,0),3)</f>
        <v>2591.0870171246515</v>
      </c>
      <c r="AA302" s="55">
        <f>Table2929[[#This Row],[$/sqft]]/INDEX(CPI!$A$3:$C$31,MATCH(Table2929[[#This Row],[start_year]],CPI!$A$3:$A$31,0),3)</f>
        <v>0.66438128644221839</v>
      </c>
      <c r="AB302" s="55" t="s">
        <v>71</v>
      </c>
    </row>
    <row r="303" spans="1:28" x14ac:dyDescent="0.2">
      <c r="A303" t="s">
        <v>5303</v>
      </c>
      <c r="B303">
        <v>5101</v>
      </c>
      <c r="C303">
        <v>12608</v>
      </c>
      <c r="D303" t="s">
        <v>5186</v>
      </c>
      <c r="E303" t="s">
        <v>4832</v>
      </c>
      <c r="F303" t="s">
        <v>5187</v>
      </c>
      <c r="G303" t="s">
        <v>1241</v>
      </c>
      <c r="H303">
        <v>270</v>
      </c>
      <c r="I303" t="s">
        <v>5191</v>
      </c>
      <c r="J303">
        <v>73</v>
      </c>
      <c r="K303" t="s">
        <v>5192</v>
      </c>
      <c r="L303">
        <v>1172.48</v>
      </c>
      <c r="M303" t="s">
        <v>4981</v>
      </c>
      <c r="N303" t="s">
        <v>4979</v>
      </c>
      <c r="O303" t="s">
        <v>4972</v>
      </c>
      <c r="P303" t="s">
        <v>1241</v>
      </c>
      <c r="R303">
        <v>2007</v>
      </c>
      <c r="S303">
        <v>1500</v>
      </c>
      <c r="U303" t="s">
        <v>4840</v>
      </c>
      <c r="V303">
        <v>2018</v>
      </c>
      <c r="W303">
        <v>72.962962959999999</v>
      </c>
      <c r="X303" s="89">
        <f>ABS(IF(Table2929[[#This Row],[performance_2]]&lt;&gt;"", IF(Table2929[[#This Row],[performance_1]]&lt;&gt;"",(Table2929[[#This Row],[performance_1]]-Table2929[[#This Row],[performance_2]])/Table2929[[#This Row],[performance_1]],""), ""))</f>
        <v>0.72962962962962963</v>
      </c>
      <c r="Y303" s="55">
        <f>Table2929[[#This Row],[total_cost]]/Table2929[[#This Row],[cfa_post]]</f>
        <v>0.78165333333333331</v>
      </c>
      <c r="Z303" s="55">
        <f>Table2929[[#This Row],[total_cost]]/INDEX(CPI!$A$3:$C$31,MATCH(Table2929[[#This Row],[start_year]],CPI!$A$3:$A$31,0),3)</f>
        <v>1419.9568618080448</v>
      </c>
      <c r="AA303" s="55">
        <f>Table2929[[#This Row],[$/sqft]]/INDEX(CPI!$A$3:$C$31,MATCH(Table2929[[#This Row],[start_year]],CPI!$A$3:$A$31,0),3)</f>
        <v>0.94663790787202984</v>
      </c>
      <c r="AB303" s="55" t="s">
        <v>71</v>
      </c>
    </row>
    <row r="304" spans="1:28" x14ac:dyDescent="0.2">
      <c r="A304" t="s">
        <v>5303</v>
      </c>
      <c r="B304">
        <v>5204</v>
      </c>
      <c r="C304">
        <v>13223</v>
      </c>
      <c r="D304" t="s">
        <v>5186</v>
      </c>
      <c r="E304" t="s">
        <v>4832</v>
      </c>
      <c r="F304" t="s">
        <v>5187</v>
      </c>
      <c r="G304" t="s">
        <v>1241</v>
      </c>
      <c r="H304">
        <v>274</v>
      </c>
      <c r="I304" t="s">
        <v>5191</v>
      </c>
      <c r="J304">
        <v>74</v>
      </c>
      <c r="K304" t="s">
        <v>5192</v>
      </c>
      <c r="L304">
        <v>279.60000000000002</v>
      </c>
      <c r="M304" t="s">
        <v>4988</v>
      </c>
      <c r="N304" t="s">
        <v>4979</v>
      </c>
      <c r="O304" t="s">
        <v>4972</v>
      </c>
      <c r="P304" t="s">
        <v>4844</v>
      </c>
      <c r="R304">
        <v>1990</v>
      </c>
      <c r="S304">
        <v>890</v>
      </c>
      <c r="U304" t="s">
        <v>4840</v>
      </c>
      <c r="V304">
        <v>2018</v>
      </c>
      <c r="W304">
        <v>72.992700729999996</v>
      </c>
      <c r="X304" s="89">
        <f>ABS(IF(Table2929[[#This Row],[performance_2]]&lt;&gt;"", IF(Table2929[[#This Row],[performance_1]]&lt;&gt;"",(Table2929[[#This Row],[performance_1]]-Table2929[[#This Row],[performance_2]])/Table2929[[#This Row],[performance_1]],""), ""))</f>
        <v>0.72992700729927007</v>
      </c>
      <c r="Y304" s="55">
        <f>Table2929[[#This Row],[total_cost]]/Table2929[[#This Row],[cfa_post]]</f>
        <v>0.31415730337078657</v>
      </c>
      <c r="Z304" s="55">
        <f>Table2929[[#This Row],[total_cost]]/INDEX(CPI!$A$3:$C$31,MATCH(Table2929[[#This Row],[start_year]],CPI!$A$3:$A$31,0),3)</f>
        <v>338.61553166069302</v>
      </c>
      <c r="AA304" s="55">
        <f>Table2929[[#This Row],[$/sqft]]/INDEX(CPI!$A$3:$C$31,MATCH(Table2929[[#This Row],[start_year]],CPI!$A$3:$A$31,0),3)</f>
        <v>0.38046688950639668</v>
      </c>
      <c r="AB304" s="55" t="s">
        <v>71</v>
      </c>
    </row>
    <row r="305" spans="1:28" x14ac:dyDescent="0.2">
      <c r="A305" t="s">
        <v>5303</v>
      </c>
      <c r="B305">
        <v>5178</v>
      </c>
      <c r="C305">
        <v>13085</v>
      </c>
      <c r="D305" t="s">
        <v>5186</v>
      </c>
      <c r="E305" t="s">
        <v>4832</v>
      </c>
      <c r="F305" t="s">
        <v>5187</v>
      </c>
      <c r="G305" t="s">
        <v>1241</v>
      </c>
      <c r="H305">
        <v>700</v>
      </c>
      <c r="I305" t="s">
        <v>5191</v>
      </c>
      <c r="J305">
        <v>187</v>
      </c>
      <c r="K305" t="s">
        <v>5192</v>
      </c>
      <c r="L305">
        <v>1033.5999999999999</v>
      </c>
      <c r="M305" t="s">
        <v>4978</v>
      </c>
      <c r="N305" t="s">
        <v>4979</v>
      </c>
      <c r="O305" t="s">
        <v>4972</v>
      </c>
      <c r="P305" t="s">
        <v>1241</v>
      </c>
      <c r="R305">
        <v>1996</v>
      </c>
      <c r="S305">
        <v>1650</v>
      </c>
      <c r="U305" t="s">
        <v>4840</v>
      </c>
      <c r="V305">
        <v>2018</v>
      </c>
      <c r="W305">
        <v>73.285714290000001</v>
      </c>
      <c r="X305" s="89">
        <f>ABS(IF(Table2929[[#This Row],[performance_2]]&lt;&gt;"", IF(Table2929[[#This Row],[performance_1]]&lt;&gt;"",(Table2929[[#This Row],[performance_1]]-Table2929[[#This Row],[performance_2]])/Table2929[[#This Row],[performance_1]],""), ""))</f>
        <v>0.73285714285714287</v>
      </c>
      <c r="Y305" s="55">
        <f>Table2929[[#This Row],[total_cost]]/Table2929[[#This Row],[cfa_post]]</f>
        <v>0.62642424242424233</v>
      </c>
      <c r="Z305" s="55">
        <f>Table2929[[#This Row],[total_cost]]/INDEX(CPI!$A$3:$C$31,MATCH(Table2929[[#This Row],[start_year]],CPI!$A$3:$A$31,0),3)</f>
        <v>1251.763281561131</v>
      </c>
      <c r="AA305" s="55">
        <f>Table2929[[#This Row],[$/sqft]]/INDEX(CPI!$A$3:$C$31,MATCH(Table2929[[#This Row],[start_year]],CPI!$A$3:$A$31,0),3)</f>
        <v>0.75864441306735209</v>
      </c>
      <c r="AB305" s="55" t="s">
        <v>71</v>
      </c>
    </row>
    <row r="306" spans="1:28" x14ac:dyDescent="0.2">
      <c r="A306" t="s">
        <v>5303</v>
      </c>
      <c r="B306">
        <v>5020</v>
      </c>
      <c r="C306">
        <v>12119</v>
      </c>
      <c r="D306" t="s">
        <v>5186</v>
      </c>
      <c r="E306" t="s">
        <v>4832</v>
      </c>
      <c r="F306" t="s">
        <v>5187</v>
      </c>
      <c r="G306" t="s">
        <v>1241</v>
      </c>
      <c r="H306">
        <v>450</v>
      </c>
      <c r="I306" t="s">
        <v>5191</v>
      </c>
      <c r="J306">
        <v>120</v>
      </c>
      <c r="K306" t="s">
        <v>5192</v>
      </c>
      <c r="L306">
        <v>1143.5999999999999</v>
      </c>
      <c r="M306" t="s">
        <v>4900</v>
      </c>
      <c r="N306" t="s">
        <v>4979</v>
      </c>
      <c r="O306" t="s">
        <v>4972</v>
      </c>
      <c r="P306" t="s">
        <v>1241</v>
      </c>
      <c r="R306">
        <v>1998</v>
      </c>
      <c r="S306">
        <v>2128</v>
      </c>
      <c r="U306" t="s">
        <v>4840</v>
      </c>
      <c r="V306">
        <v>2018</v>
      </c>
      <c r="W306">
        <v>73.333333330000002</v>
      </c>
      <c r="X306" s="89">
        <f>ABS(IF(Table2929[[#This Row],[performance_2]]&lt;&gt;"", IF(Table2929[[#This Row],[performance_1]]&lt;&gt;"",(Table2929[[#This Row],[performance_1]]-Table2929[[#This Row],[performance_2]])/Table2929[[#This Row],[performance_1]],""), ""))</f>
        <v>0.73333333333333328</v>
      </c>
      <c r="Y306" s="55">
        <f>Table2929[[#This Row],[total_cost]]/Table2929[[#This Row],[cfa_post]]</f>
        <v>0.53740601503759389</v>
      </c>
      <c r="Z306" s="55">
        <f>Table2929[[#This Row],[total_cost]]/INDEX(CPI!$A$3:$C$31,MATCH(Table2929[[#This Row],[start_year]],CPI!$A$3:$A$31,0),3)</f>
        <v>1384.9811230585424</v>
      </c>
      <c r="AA306" s="55">
        <f>Table2929[[#This Row],[$/sqft]]/INDEX(CPI!$A$3:$C$31,MATCH(Table2929[[#This Row],[start_year]],CPI!$A$3:$A$31,0),3)</f>
        <v>0.65083699391848793</v>
      </c>
      <c r="AB306" s="55" t="s">
        <v>71</v>
      </c>
    </row>
    <row r="307" spans="1:28" hidden="1" x14ac:dyDescent="0.2">
      <c r="A307" t="s">
        <v>5303</v>
      </c>
      <c r="B307">
        <v>5166</v>
      </c>
      <c r="C307">
        <v>13014</v>
      </c>
      <c r="D307" t="s">
        <v>5186</v>
      </c>
      <c r="E307" t="s">
        <v>4832</v>
      </c>
      <c r="F307" t="s">
        <v>5187</v>
      </c>
      <c r="G307" t="s">
        <v>1241</v>
      </c>
      <c r="I307" t="s">
        <v>5191</v>
      </c>
      <c r="K307" t="s">
        <v>5192</v>
      </c>
      <c r="L307">
        <v>3056.5</v>
      </c>
      <c r="M307" t="s">
        <v>5000</v>
      </c>
      <c r="N307" t="s">
        <v>4979</v>
      </c>
      <c r="O307" t="s">
        <v>4838</v>
      </c>
      <c r="P307" t="s">
        <v>4844</v>
      </c>
      <c r="R307">
        <v>1969</v>
      </c>
      <c r="S307">
        <v>1980</v>
      </c>
      <c r="U307" t="s">
        <v>4840</v>
      </c>
      <c r="V307">
        <v>2017</v>
      </c>
      <c r="X307" t="str">
        <f>IF(Table2929[[#This Row],[performance_2]]&lt;&gt;"", IF(Table2929[[#This Row],[performance_1]]&lt;&gt;"",(Table2929[[#This Row],[performance_1]]-Table2929[[#This Row],[performance_2]])/Table2929[[#This Row],[performance_1]],""), "")</f>
        <v/>
      </c>
      <c r="Y307" s="55">
        <f>Table2929[[#This Row],[total_cost]]/Table2929[[#This Row],[cfa_post]]</f>
        <v>1.5436868686868688</v>
      </c>
      <c r="Z307" s="55">
        <f>Table2929[[#This Row],[total_cost]]/INDEX(CPI!$A$3:$C$31,MATCH(Table2929[[#This Row],[start_year]],CPI!$A$3:$A$31,0),3)</f>
        <v>3792.2547939616488</v>
      </c>
      <c r="AA307" s="55">
        <f>Table2929[[#This Row],[$/sqft]]/INDEX(CPI!$A$3:$C$31,MATCH(Table2929[[#This Row],[start_year]],CPI!$A$3:$A$31,0),3)</f>
        <v>1.9152801989705297</v>
      </c>
      <c r="AB307" s="55" t="s">
        <v>72</v>
      </c>
    </row>
    <row r="308" spans="1:28" x14ac:dyDescent="0.2">
      <c r="A308" t="s">
        <v>5303</v>
      </c>
      <c r="B308">
        <v>5154</v>
      </c>
      <c r="C308">
        <v>12941</v>
      </c>
      <c r="D308" t="s">
        <v>5186</v>
      </c>
      <c r="E308" t="s">
        <v>4832</v>
      </c>
      <c r="F308" t="s">
        <v>5187</v>
      </c>
      <c r="G308" t="s">
        <v>1241</v>
      </c>
      <c r="H308">
        <v>574</v>
      </c>
      <c r="I308" t="s">
        <v>5191</v>
      </c>
      <c r="J308">
        <v>153</v>
      </c>
      <c r="K308" t="s">
        <v>5192</v>
      </c>
      <c r="L308">
        <v>3032.5</v>
      </c>
      <c r="M308" t="s">
        <v>4999</v>
      </c>
      <c r="N308" t="s">
        <v>4979</v>
      </c>
      <c r="O308" t="s">
        <v>4838</v>
      </c>
      <c r="P308" t="s">
        <v>1241</v>
      </c>
      <c r="R308">
        <v>1972</v>
      </c>
      <c r="S308">
        <v>2000</v>
      </c>
      <c r="U308" t="s">
        <v>4840</v>
      </c>
      <c r="V308">
        <v>2019</v>
      </c>
      <c r="W308">
        <v>73.344947739999995</v>
      </c>
      <c r="X308" s="89">
        <f>ABS(IF(Table2929[[#This Row],[performance_2]]&lt;&gt;"", IF(Table2929[[#This Row],[performance_1]]&lt;&gt;"",(Table2929[[#This Row],[performance_1]]-Table2929[[#This Row],[performance_2]])/Table2929[[#This Row],[performance_1]],""), ""))</f>
        <v>0.73344947735191635</v>
      </c>
      <c r="Y308" s="55">
        <f>Table2929[[#This Row],[total_cost]]/Table2929[[#This Row],[cfa_post]]</f>
        <v>1.5162500000000001</v>
      </c>
      <c r="Z308" s="55">
        <f>Table2929[[#This Row],[total_cost]]/INDEX(CPI!$A$3:$C$31,MATCH(Table2929[[#This Row],[start_year]],CPI!$A$3:$A$31,0),3)</f>
        <v>3606.5046929996092</v>
      </c>
      <c r="AA308" s="55">
        <f>Table2929[[#This Row],[$/sqft]]/INDEX(CPI!$A$3:$C$31,MATCH(Table2929[[#This Row],[start_year]],CPI!$A$3:$A$31,0),3)</f>
        <v>1.8032523464998047</v>
      </c>
      <c r="AB308" s="55" t="s">
        <v>71</v>
      </c>
    </row>
    <row r="309" spans="1:28" x14ac:dyDescent="0.2">
      <c r="A309" t="s">
        <v>5303</v>
      </c>
      <c r="B309">
        <v>5073</v>
      </c>
      <c r="C309">
        <v>12448</v>
      </c>
      <c r="D309" t="s">
        <v>5186</v>
      </c>
      <c r="E309" t="s">
        <v>4832</v>
      </c>
      <c r="F309" t="s">
        <v>5187</v>
      </c>
      <c r="G309" t="s">
        <v>1241</v>
      </c>
      <c r="H309">
        <v>402</v>
      </c>
      <c r="I309" t="s">
        <v>5191</v>
      </c>
      <c r="J309">
        <v>106</v>
      </c>
      <c r="K309" t="s">
        <v>5192</v>
      </c>
      <c r="L309">
        <v>878.4</v>
      </c>
      <c r="M309" t="s">
        <v>4990</v>
      </c>
      <c r="N309" t="s">
        <v>4979</v>
      </c>
      <c r="O309" t="s">
        <v>4972</v>
      </c>
      <c r="P309" t="s">
        <v>4844</v>
      </c>
      <c r="R309">
        <v>2001</v>
      </c>
      <c r="S309">
        <v>1100</v>
      </c>
      <c r="U309" t="s">
        <v>4840</v>
      </c>
      <c r="V309">
        <v>2019</v>
      </c>
      <c r="W309">
        <v>73.631840800000006</v>
      </c>
      <c r="X309" s="89">
        <f>ABS(IF(Table2929[[#This Row],[performance_2]]&lt;&gt;"", IF(Table2929[[#This Row],[performance_1]]&lt;&gt;"",(Table2929[[#This Row],[performance_1]]-Table2929[[#This Row],[performance_2]])/Table2929[[#This Row],[performance_1]],""), ""))</f>
        <v>0.73631840796019898</v>
      </c>
      <c r="Y309" s="55">
        <f>Table2929[[#This Row],[total_cost]]/Table2929[[#This Row],[cfa_post]]</f>
        <v>0.79854545454545456</v>
      </c>
      <c r="Z309" s="55">
        <f>Table2929[[#This Row],[total_cost]]/INDEX(CPI!$A$3:$C$31,MATCH(Table2929[[#This Row],[start_year]],CPI!$A$3:$A$31,0),3)</f>
        <v>1044.667344544388</v>
      </c>
      <c r="AA309" s="55">
        <f>Table2929[[#This Row],[$/sqft]]/INDEX(CPI!$A$3:$C$31,MATCH(Table2929[[#This Row],[start_year]],CPI!$A$3:$A$31,0),3)</f>
        <v>0.94969758594944365</v>
      </c>
      <c r="AB309" s="55" t="s">
        <v>71</v>
      </c>
    </row>
    <row r="310" spans="1:28" x14ac:dyDescent="0.2">
      <c r="A310" t="s">
        <v>5303</v>
      </c>
      <c r="B310">
        <v>5247</v>
      </c>
      <c r="C310">
        <v>13462</v>
      </c>
      <c r="D310" t="s">
        <v>5186</v>
      </c>
      <c r="E310" t="s">
        <v>4832</v>
      </c>
      <c r="F310" t="s">
        <v>5187</v>
      </c>
      <c r="G310" t="s">
        <v>1241</v>
      </c>
      <c r="H310">
        <v>256</v>
      </c>
      <c r="I310" t="s">
        <v>5191</v>
      </c>
      <c r="J310">
        <v>66</v>
      </c>
      <c r="K310" t="s">
        <v>5192</v>
      </c>
      <c r="L310">
        <v>742.19</v>
      </c>
      <c r="M310" t="s">
        <v>4978</v>
      </c>
      <c r="N310" t="s">
        <v>4979</v>
      </c>
      <c r="O310" t="s">
        <v>4838</v>
      </c>
      <c r="P310" t="s">
        <v>4844</v>
      </c>
      <c r="R310">
        <v>2000</v>
      </c>
      <c r="S310">
        <v>2100</v>
      </c>
      <c r="U310" t="s">
        <v>4840</v>
      </c>
      <c r="V310">
        <v>2018</v>
      </c>
      <c r="W310">
        <v>74.21875</v>
      </c>
      <c r="X310" s="89">
        <f>ABS(IF(Table2929[[#This Row],[performance_2]]&lt;&gt;"", IF(Table2929[[#This Row],[performance_1]]&lt;&gt;"",(Table2929[[#This Row],[performance_1]]-Table2929[[#This Row],[performance_2]])/Table2929[[#This Row],[performance_1]],""), ""))</f>
        <v>0.7421875</v>
      </c>
      <c r="Y310" s="55">
        <f>Table2929[[#This Row],[total_cost]]/Table2929[[#This Row],[cfa_post]]</f>
        <v>0.35342380952380953</v>
      </c>
      <c r="Z310" s="55">
        <f>Table2929[[#This Row],[total_cost]]/INDEX(CPI!$A$3:$C$31,MATCH(Table2929[[#This Row],[start_year]],CPI!$A$3:$A$31,0),3)</f>
        <v>898.84499800876165</v>
      </c>
      <c r="AA310" s="55">
        <f>Table2929[[#This Row],[$/sqft]]/INDEX(CPI!$A$3:$C$31,MATCH(Table2929[[#This Row],[start_year]],CPI!$A$3:$A$31,0),3)</f>
        <v>0.42802142762321976</v>
      </c>
      <c r="AB310" s="55" t="s">
        <v>71</v>
      </c>
    </row>
    <row r="311" spans="1:28" x14ac:dyDescent="0.2">
      <c r="A311" t="s">
        <v>5303</v>
      </c>
      <c r="B311">
        <v>5123</v>
      </c>
      <c r="C311">
        <v>12748</v>
      </c>
      <c r="D311" t="s">
        <v>5186</v>
      </c>
      <c r="E311" t="s">
        <v>4832</v>
      </c>
      <c r="F311" t="s">
        <v>5187</v>
      </c>
      <c r="G311" t="s">
        <v>1241</v>
      </c>
      <c r="H311">
        <v>300</v>
      </c>
      <c r="I311" t="s">
        <v>5191</v>
      </c>
      <c r="J311">
        <v>77</v>
      </c>
      <c r="K311" t="s">
        <v>5192</v>
      </c>
      <c r="L311">
        <v>598.58000000000004</v>
      </c>
      <c r="M311" t="s">
        <v>4994</v>
      </c>
      <c r="N311" t="s">
        <v>4979</v>
      </c>
      <c r="O311" t="s">
        <v>4838</v>
      </c>
      <c r="P311" t="s">
        <v>4844</v>
      </c>
      <c r="R311">
        <v>1976</v>
      </c>
      <c r="S311">
        <v>1400</v>
      </c>
      <c r="U311" t="s">
        <v>4840</v>
      </c>
      <c r="V311">
        <v>2019</v>
      </c>
      <c r="W311">
        <v>74.333333330000002</v>
      </c>
      <c r="X311" s="89">
        <f>ABS(IF(Table2929[[#This Row],[performance_2]]&lt;&gt;"", IF(Table2929[[#This Row],[performance_1]]&lt;&gt;"",(Table2929[[#This Row],[performance_1]]-Table2929[[#This Row],[performance_2]])/Table2929[[#This Row],[performance_1]],""), ""))</f>
        <v>0.74333333333333329</v>
      </c>
      <c r="Y311" s="55">
        <f>Table2929[[#This Row],[total_cost]]/Table2929[[#This Row],[cfa_post]]</f>
        <v>0.42755714285714291</v>
      </c>
      <c r="Z311" s="55">
        <f>Table2929[[#This Row],[total_cost]]/INDEX(CPI!$A$3:$C$31,MATCH(Table2929[[#This Row],[start_year]],CPI!$A$3:$A$31,0),3)</f>
        <v>711.88180680484948</v>
      </c>
      <c r="AA311" s="55">
        <f>Table2929[[#This Row],[$/sqft]]/INDEX(CPI!$A$3:$C$31,MATCH(Table2929[[#This Row],[start_year]],CPI!$A$3:$A$31,0),3)</f>
        <v>0.50848700486060683</v>
      </c>
      <c r="AB311" s="55" t="s">
        <v>71</v>
      </c>
    </row>
    <row r="312" spans="1:28" x14ac:dyDescent="0.2">
      <c r="A312" t="s">
        <v>5303</v>
      </c>
      <c r="B312">
        <v>4034</v>
      </c>
      <c r="C312">
        <v>11146</v>
      </c>
      <c r="D312" t="s">
        <v>5186</v>
      </c>
      <c r="E312" t="s">
        <v>4832</v>
      </c>
      <c r="F312" t="s">
        <v>5187</v>
      </c>
      <c r="G312" t="s">
        <v>1241</v>
      </c>
      <c r="H312">
        <v>352</v>
      </c>
      <c r="I312" t="s">
        <v>5191</v>
      </c>
      <c r="J312">
        <v>90</v>
      </c>
      <c r="K312" t="s">
        <v>5192</v>
      </c>
      <c r="L312">
        <v>2820</v>
      </c>
      <c r="M312" t="s">
        <v>4971</v>
      </c>
      <c r="N312" t="s">
        <v>4969</v>
      </c>
      <c r="O312" t="s">
        <v>4838</v>
      </c>
      <c r="P312" t="s">
        <v>4844</v>
      </c>
      <c r="R312">
        <v>1950</v>
      </c>
      <c r="S312">
        <v>1634</v>
      </c>
      <c r="U312" t="s">
        <v>4840</v>
      </c>
      <c r="V312">
        <v>2019</v>
      </c>
      <c r="W312">
        <v>74.431818179999993</v>
      </c>
      <c r="X312" s="89">
        <f>ABS(IF(Table2929[[#This Row],[performance_2]]&lt;&gt;"", IF(Table2929[[#This Row],[performance_1]]&lt;&gt;"",(Table2929[[#This Row],[performance_1]]-Table2929[[#This Row],[performance_2]])/Table2929[[#This Row],[performance_1]],""), ""))</f>
        <v>0.74431818181818177</v>
      </c>
      <c r="Y312" s="55">
        <f>Table2929[[#This Row],[total_cost]]/Table2929[[#This Row],[cfa_post]]</f>
        <v>1.7258261933904528</v>
      </c>
      <c r="Z312" s="55">
        <f>Table2929[[#This Row],[total_cost]]/INDEX(CPI!$A$3:$C$31,MATCH(Table2929[[#This Row],[start_year]],CPI!$A$3:$A$31,0),3)</f>
        <v>3353.7817755181854</v>
      </c>
      <c r="AA312" s="55">
        <f>Table2929[[#This Row],[$/sqft]]/INDEX(CPI!$A$3:$C$31,MATCH(Table2929[[#This Row],[start_year]],CPI!$A$3:$A$31,0),3)</f>
        <v>2.0524980266329163</v>
      </c>
      <c r="AB312" s="55" t="s">
        <v>71</v>
      </c>
    </row>
    <row r="313" spans="1:28" x14ac:dyDescent="0.2">
      <c r="A313" t="s">
        <v>5303</v>
      </c>
      <c r="B313">
        <v>5234</v>
      </c>
      <c r="C313">
        <v>13388</v>
      </c>
      <c r="D313" t="s">
        <v>5186</v>
      </c>
      <c r="E313" t="s">
        <v>4832</v>
      </c>
      <c r="F313" t="s">
        <v>5187</v>
      </c>
      <c r="G313" t="s">
        <v>1241</v>
      </c>
      <c r="H313">
        <v>376</v>
      </c>
      <c r="I313" t="s">
        <v>5191</v>
      </c>
      <c r="J313">
        <v>96</v>
      </c>
      <c r="K313" t="s">
        <v>5192</v>
      </c>
      <c r="L313">
        <v>1010.75</v>
      </c>
      <c r="M313" t="s">
        <v>4978</v>
      </c>
      <c r="N313" t="s">
        <v>4979</v>
      </c>
      <c r="O313" t="s">
        <v>4972</v>
      </c>
      <c r="P313" t="s">
        <v>4844</v>
      </c>
      <c r="R313">
        <v>1999</v>
      </c>
      <c r="S313">
        <v>1989</v>
      </c>
      <c r="U313" t="s">
        <v>4840</v>
      </c>
      <c r="V313">
        <v>2018</v>
      </c>
      <c r="W313">
        <v>74.468085110000004</v>
      </c>
      <c r="X313" s="89">
        <f>ABS(IF(Table2929[[#This Row],[performance_2]]&lt;&gt;"", IF(Table2929[[#This Row],[performance_1]]&lt;&gt;"",(Table2929[[#This Row],[performance_1]]-Table2929[[#This Row],[performance_2]])/Table2929[[#This Row],[performance_1]],""), ""))</f>
        <v>0.74468085106382975</v>
      </c>
      <c r="Y313" s="55">
        <f>Table2929[[#This Row],[total_cost]]/Table2929[[#This Row],[cfa_post]]</f>
        <v>0.50816993464052285</v>
      </c>
      <c r="Z313" s="55">
        <f>Table2929[[#This Row],[total_cost]]/INDEX(CPI!$A$3:$C$31,MATCH(Table2929[[#This Row],[start_year]],CPI!$A$3:$A$31,0),3)</f>
        <v>1224.0903026682597</v>
      </c>
      <c r="AA313" s="55">
        <f>Table2929[[#This Row],[$/sqft]]/INDEX(CPI!$A$3:$C$31,MATCH(Table2929[[#This Row],[start_year]],CPI!$A$3:$A$31,0),3)</f>
        <v>0.61543001642446438</v>
      </c>
      <c r="AB313" s="55" t="s">
        <v>71</v>
      </c>
    </row>
    <row r="314" spans="1:28" x14ac:dyDescent="0.2">
      <c r="A314" t="s">
        <v>5303</v>
      </c>
      <c r="B314">
        <v>5050</v>
      </c>
      <c r="C314">
        <v>12310</v>
      </c>
      <c r="D314" t="s">
        <v>5186</v>
      </c>
      <c r="E314" t="s">
        <v>4832</v>
      </c>
      <c r="F314" t="s">
        <v>5187</v>
      </c>
      <c r="G314" t="s">
        <v>1241</v>
      </c>
      <c r="H314">
        <v>327</v>
      </c>
      <c r="I314" t="s">
        <v>5191</v>
      </c>
      <c r="J314">
        <v>83</v>
      </c>
      <c r="K314" t="s">
        <v>5192</v>
      </c>
      <c r="L314">
        <v>1121.8800000000001</v>
      </c>
      <c r="M314" t="s">
        <v>4988</v>
      </c>
      <c r="N314" t="s">
        <v>4979</v>
      </c>
      <c r="O314" t="s">
        <v>4972</v>
      </c>
      <c r="P314" t="s">
        <v>4844</v>
      </c>
      <c r="R314">
        <v>2004</v>
      </c>
      <c r="S314">
        <v>2300</v>
      </c>
      <c r="U314" t="s">
        <v>4840</v>
      </c>
      <c r="V314">
        <v>2018</v>
      </c>
      <c r="W314">
        <v>74.617737000000005</v>
      </c>
      <c r="X314" s="89">
        <f>ABS(IF(Table2929[[#This Row],[performance_2]]&lt;&gt;"", IF(Table2929[[#This Row],[performance_1]]&lt;&gt;"",(Table2929[[#This Row],[performance_1]]-Table2929[[#This Row],[performance_2]])/Table2929[[#This Row],[performance_1]],""), ""))</f>
        <v>0.74617737003058104</v>
      </c>
      <c r="Y314" s="55">
        <f>Table2929[[#This Row],[total_cost]]/Table2929[[#This Row],[cfa_post]]</f>
        <v>0.48777391304347834</v>
      </c>
      <c r="Z314" s="55">
        <f>Table2929[[#This Row],[total_cost]]/INDEX(CPI!$A$3:$C$31,MATCH(Table2929[[#This Row],[start_year]],CPI!$A$3:$A$31,0),3)</f>
        <v>1358.6766547192356</v>
      </c>
      <c r="AA314" s="55">
        <f>Table2929[[#This Row],[$/sqft]]/INDEX(CPI!$A$3:$C$31,MATCH(Table2929[[#This Row],[start_year]],CPI!$A$3:$A$31,0),3)</f>
        <v>0.59072898031271115</v>
      </c>
      <c r="AB314" s="55" t="s">
        <v>71</v>
      </c>
    </row>
    <row r="315" spans="1:28" x14ac:dyDescent="0.2">
      <c r="A315" t="s">
        <v>5303</v>
      </c>
      <c r="B315">
        <v>5062</v>
      </c>
      <c r="C315">
        <v>12384</v>
      </c>
      <c r="D315" t="s">
        <v>5186</v>
      </c>
      <c r="E315" t="s">
        <v>4832</v>
      </c>
      <c r="F315" t="s">
        <v>5187</v>
      </c>
      <c r="G315" t="s">
        <v>1241</v>
      </c>
      <c r="H315">
        <v>148</v>
      </c>
      <c r="I315" t="s">
        <v>5191</v>
      </c>
      <c r="J315">
        <v>37</v>
      </c>
      <c r="K315" t="s">
        <v>5192</v>
      </c>
      <c r="L315">
        <v>528.4</v>
      </c>
      <c r="M315" t="s">
        <v>4982</v>
      </c>
      <c r="N315" t="s">
        <v>4979</v>
      </c>
      <c r="O315" t="s">
        <v>4838</v>
      </c>
      <c r="P315" t="s">
        <v>1241</v>
      </c>
      <c r="R315">
        <v>1985</v>
      </c>
      <c r="S315">
        <v>2300</v>
      </c>
      <c r="U315" t="s">
        <v>4840</v>
      </c>
      <c r="V315">
        <v>2018</v>
      </c>
      <c r="W315">
        <v>75</v>
      </c>
      <c r="X315" s="89">
        <f>ABS(IF(Table2929[[#This Row],[performance_2]]&lt;&gt;"", IF(Table2929[[#This Row],[performance_1]]&lt;&gt;"",(Table2929[[#This Row],[performance_1]]-Table2929[[#This Row],[performance_2]])/Table2929[[#This Row],[performance_1]],""), ""))</f>
        <v>0.75</v>
      </c>
      <c r="Y315" s="55">
        <f>Table2929[[#This Row],[total_cost]]/Table2929[[#This Row],[cfa_post]]</f>
        <v>0.22973913043478261</v>
      </c>
      <c r="Z315" s="55">
        <f>Table2929[[#This Row],[total_cost]]/INDEX(CPI!$A$3:$C$31,MATCH(Table2929[[#This Row],[start_year]],CPI!$A$3:$A$31,0),3)</f>
        <v>639.9300677021107</v>
      </c>
      <c r="AA315" s="55">
        <f>Table2929[[#This Row],[$/sqft]]/INDEX(CPI!$A$3:$C$31,MATCH(Table2929[[#This Row],[start_year]],CPI!$A$3:$A$31,0),3)</f>
        <v>0.27823046421830905</v>
      </c>
      <c r="AB315" s="55" t="s">
        <v>71</v>
      </c>
    </row>
    <row r="316" spans="1:28" x14ac:dyDescent="0.2">
      <c r="A316" t="s">
        <v>5303</v>
      </c>
      <c r="B316">
        <v>5157</v>
      </c>
      <c r="C316">
        <v>12960</v>
      </c>
      <c r="D316" t="s">
        <v>5186</v>
      </c>
      <c r="E316" t="s">
        <v>4832</v>
      </c>
      <c r="F316" t="s">
        <v>5187</v>
      </c>
      <c r="G316" t="s">
        <v>1241</v>
      </c>
      <c r="H316">
        <v>308</v>
      </c>
      <c r="I316" t="s">
        <v>5191</v>
      </c>
      <c r="J316">
        <v>77</v>
      </c>
      <c r="K316" t="s">
        <v>5192</v>
      </c>
      <c r="L316">
        <v>1012.56</v>
      </c>
      <c r="M316" t="s">
        <v>4997</v>
      </c>
      <c r="N316" t="s">
        <v>4979</v>
      </c>
      <c r="O316" t="s">
        <v>4972</v>
      </c>
      <c r="P316" t="s">
        <v>4844</v>
      </c>
      <c r="R316">
        <v>1998</v>
      </c>
      <c r="S316">
        <v>1820</v>
      </c>
      <c r="U316" t="s">
        <v>4840</v>
      </c>
      <c r="V316">
        <v>2018</v>
      </c>
      <c r="W316">
        <v>75</v>
      </c>
      <c r="X316" s="89">
        <f>ABS(IF(Table2929[[#This Row],[performance_2]]&lt;&gt;"", IF(Table2929[[#This Row],[performance_1]]&lt;&gt;"",(Table2929[[#This Row],[performance_1]]-Table2929[[#This Row],[performance_2]])/Table2929[[#This Row],[performance_1]],""), ""))</f>
        <v>0.75</v>
      </c>
      <c r="Y316" s="55">
        <f>Table2929[[#This Row],[total_cost]]/Table2929[[#This Row],[cfa_post]]</f>
        <v>0.5563516483516483</v>
      </c>
      <c r="Z316" s="55">
        <f>Table2929[[#This Row],[total_cost]]/INDEX(CPI!$A$3:$C$31,MATCH(Table2929[[#This Row],[start_year]],CPI!$A$3:$A$31,0),3)</f>
        <v>1226.2823416965352</v>
      </c>
      <c r="AA316" s="55">
        <f>Table2929[[#This Row],[$/sqft]]/INDEX(CPI!$A$3:$C$31,MATCH(Table2929[[#This Row],[start_year]],CPI!$A$3:$A$31,0),3)</f>
        <v>0.67378150642666768</v>
      </c>
      <c r="AB316" s="55" t="s">
        <v>71</v>
      </c>
    </row>
    <row r="317" spans="1:28" x14ac:dyDescent="0.2">
      <c r="A317" t="s">
        <v>5303</v>
      </c>
      <c r="B317">
        <v>5074</v>
      </c>
      <c r="C317">
        <v>12454</v>
      </c>
      <c r="D317" t="s">
        <v>5186</v>
      </c>
      <c r="E317" t="s">
        <v>4832</v>
      </c>
      <c r="F317" t="s">
        <v>5187</v>
      </c>
      <c r="G317" t="s">
        <v>1241</v>
      </c>
      <c r="H317">
        <v>198</v>
      </c>
      <c r="I317" t="s">
        <v>5191</v>
      </c>
      <c r="J317">
        <v>49</v>
      </c>
      <c r="K317" t="s">
        <v>5192</v>
      </c>
      <c r="L317">
        <v>624.71</v>
      </c>
      <c r="M317" t="s">
        <v>4990</v>
      </c>
      <c r="N317" t="s">
        <v>4979</v>
      </c>
      <c r="O317" t="s">
        <v>4838</v>
      </c>
      <c r="P317" t="s">
        <v>1241</v>
      </c>
      <c r="R317">
        <v>1980</v>
      </c>
      <c r="S317">
        <v>1100</v>
      </c>
      <c r="U317" t="s">
        <v>4840</v>
      </c>
      <c r="V317">
        <v>2018</v>
      </c>
      <c r="W317">
        <v>75.252525250000005</v>
      </c>
      <c r="X317" s="89">
        <f>ABS(IF(Table2929[[#This Row],[performance_2]]&lt;&gt;"", IF(Table2929[[#This Row],[performance_1]]&lt;&gt;"",(Table2929[[#This Row],[performance_1]]-Table2929[[#This Row],[performance_2]])/Table2929[[#This Row],[performance_1]],""), ""))</f>
        <v>0.75252525252525249</v>
      </c>
      <c r="Y317" s="55">
        <f>Table2929[[#This Row],[total_cost]]/Table2929[[#This Row],[cfa_post]]</f>
        <v>0.56791818181818188</v>
      </c>
      <c r="Z317" s="55">
        <f>Table2929[[#This Row],[total_cost]]/INDEX(CPI!$A$3:$C$31,MATCH(Table2929[[#This Row],[start_year]],CPI!$A$3:$A$31,0),3)</f>
        <v>756.56834328952618</v>
      </c>
      <c r="AA317" s="55">
        <f>Table2929[[#This Row],[$/sqft]]/INDEX(CPI!$A$3:$C$31,MATCH(Table2929[[#This Row],[start_year]],CPI!$A$3:$A$31,0),3)</f>
        <v>0.68778940299047842</v>
      </c>
      <c r="AB317" s="55" t="s">
        <v>71</v>
      </c>
    </row>
    <row r="318" spans="1:28" x14ac:dyDescent="0.2">
      <c r="A318" t="s">
        <v>5303</v>
      </c>
      <c r="B318">
        <v>5096</v>
      </c>
      <c r="C318">
        <v>12580</v>
      </c>
      <c r="D318" t="s">
        <v>5186</v>
      </c>
      <c r="E318" t="s">
        <v>4832</v>
      </c>
      <c r="F318" t="s">
        <v>5187</v>
      </c>
      <c r="G318" t="s">
        <v>1241</v>
      </c>
      <c r="H318">
        <v>394</v>
      </c>
      <c r="I318" t="s">
        <v>5191</v>
      </c>
      <c r="J318">
        <v>96</v>
      </c>
      <c r="K318" t="s">
        <v>5192</v>
      </c>
      <c r="L318">
        <v>912.9</v>
      </c>
      <c r="M318" t="s">
        <v>4981</v>
      </c>
      <c r="N318" t="s">
        <v>4979</v>
      </c>
      <c r="O318" t="s">
        <v>4972</v>
      </c>
      <c r="P318" t="s">
        <v>1241</v>
      </c>
      <c r="R318">
        <v>1997</v>
      </c>
      <c r="S318">
        <v>1600</v>
      </c>
      <c r="U318" t="s">
        <v>4840</v>
      </c>
      <c r="V318">
        <v>2019</v>
      </c>
      <c r="W318">
        <v>75.634517770000002</v>
      </c>
      <c r="X318" s="89">
        <f>ABS(IF(Table2929[[#This Row],[performance_2]]&lt;&gt;"", IF(Table2929[[#This Row],[performance_1]]&lt;&gt;"",(Table2929[[#This Row],[performance_1]]-Table2929[[#This Row],[performance_2]])/Table2929[[#This Row],[performance_1]],""), ""))</f>
        <v>0.75634517766497467</v>
      </c>
      <c r="Y318" s="55">
        <f>Table2929[[#This Row],[total_cost]]/Table2929[[#This Row],[cfa_post]]</f>
        <v>0.57056249999999997</v>
      </c>
      <c r="Z318" s="55">
        <f>Table2929[[#This Row],[total_cost]]/INDEX(CPI!$A$3:$C$31,MATCH(Table2929[[#This Row],[start_year]],CPI!$A$3:$A$31,0),3)</f>
        <v>1085.6976535001957</v>
      </c>
      <c r="AA318" s="55">
        <f>Table2929[[#This Row],[$/sqft]]/INDEX(CPI!$A$3:$C$31,MATCH(Table2929[[#This Row],[start_year]],CPI!$A$3:$A$31,0),3)</f>
        <v>0.6785610334376222</v>
      </c>
      <c r="AB318" s="55" t="s">
        <v>71</v>
      </c>
    </row>
    <row r="319" spans="1:28" x14ac:dyDescent="0.2">
      <c r="A319" t="s">
        <v>5303</v>
      </c>
      <c r="B319">
        <v>5185</v>
      </c>
      <c r="C319">
        <v>13121</v>
      </c>
      <c r="D319" t="s">
        <v>5186</v>
      </c>
      <c r="E319" t="s">
        <v>4832</v>
      </c>
      <c r="F319" t="s">
        <v>5187</v>
      </c>
      <c r="G319" t="s">
        <v>1241</v>
      </c>
      <c r="H319">
        <v>1000</v>
      </c>
      <c r="I319" t="s">
        <v>5191</v>
      </c>
      <c r="J319">
        <v>238</v>
      </c>
      <c r="K319" t="s">
        <v>5192</v>
      </c>
      <c r="L319">
        <v>1111</v>
      </c>
      <c r="M319" t="s">
        <v>4986</v>
      </c>
      <c r="N319" t="s">
        <v>4979</v>
      </c>
      <c r="O319" t="s">
        <v>4972</v>
      </c>
      <c r="P319" t="s">
        <v>4844</v>
      </c>
      <c r="R319">
        <v>1994</v>
      </c>
      <c r="S319">
        <v>2120</v>
      </c>
      <c r="U319" t="s">
        <v>4840</v>
      </c>
      <c r="V319">
        <v>2018</v>
      </c>
      <c r="W319">
        <v>76.2</v>
      </c>
      <c r="X319" s="89">
        <f>ABS(IF(Table2929[[#This Row],[performance_2]]&lt;&gt;"", IF(Table2929[[#This Row],[performance_1]]&lt;&gt;"",(Table2929[[#This Row],[performance_1]]-Table2929[[#This Row],[performance_2]])/Table2929[[#This Row],[performance_1]],""), ""))</f>
        <v>0.76200000000000001</v>
      </c>
      <c r="Y319" s="55">
        <f>Table2929[[#This Row],[total_cost]]/Table2929[[#This Row],[cfa_post]]</f>
        <v>0.52405660377358487</v>
      </c>
      <c r="Z319" s="55">
        <f>Table2929[[#This Row],[total_cost]]/INDEX(CPI!$A$3:$C$31,MATCH(Table2929[[#This Row],[start_year]],CPI!$A$3:$A$31,0),3)</f>
        <v>1345.5001991238551</v>
      </c>
      <c r="AA319" s="55">
        <f>Table2929[[#This Row],[$/sqft]]/INDEX(CPI!$A$3:$C$31,MATCH(Table2929[[#This Row],[start_year]],CPI!$A$3:$A$31,0),3)</f>
        <v>0.63466990524710143</v>
      </c>
      <c r="AB319" s="55" t="s">
        <v>71</v>
      </c>
    </row>
    <row r="320" spans="1:28" x14ac:dyDescent="0.2">
      <c r="A320" t="s">
        <v>5303</v>
      </c>
      <c r="B320">
        <v>5168</v>
      </c>
      <c r="C320">
        <v>13026</v>
      </c>
      <c r="D320" t="s">
        <v>5186</v>
      </c>
      <c r="E320" t="s">
        <v>4832</v>
      </c>
      <c r="F320" t="s">
        <v>5187</v>
      </c>
      <c r="G320" t="s">
        <v>1241</v>
      </c>
      <c r="H320">
        <v>300</v>
      </c>
      <c r="I320" t="s">
        <v>5191</v>
      </c>
      <c r="J320">
        <v>71</v>
      </c>
      <c r="K320" t="s">
        <v>5192</v>
      </c>
      <c r="L320">
        <v>645.70000000000005</v>
      </c>
      <c r="M320" t="s">
        <v>4999</v>
      </c>
      <c r="N320" t="s">
        <v>4979</v>
      </c>
      <c r="O320" t="s">
        <v>4972</v>
      </c>
      <c r="P320" t="s">
        <v>4844</v>
      </c>
      <c r="R320">
        <v>1996</v>
      </c>
      <c r="S320">
        <v>1800</v>
      </c>
      <c r="U320" t="s">
        <v>4840</v>
      </c>
      <c r="V320">
        <v>2019</v>
      </c>
      <c r="W320">
        <v>76.333333330000002</v>
      </c>
      <c r="X320" s="89">
        <f>ABS(IF(Table2929[[#This Row],[performance_2]]&lt;&gt;"", IF(Table2929[[#This Row],[performance_1]]&lt;&gt;"",(Table2929[[#This Row],[performance_1]]-Table2929[[#This Row],[performance_2]])/Table2929[[#This Row],[performance_1]],""), ""))</f>
        <v>0.76333333333333331</v>
      </c>
      <c r="Y320" s="55">
        <f>Table2929[[#This Row],[total_cost]]/Table2929[[#This Row],[cfa_post]]</f>
        <v>0.35872222222222222</v>
      </c>
      <c r="Z320" s="55">
        <f>Table2929[[#This Row],[total_cost]]/INDEX(CPI!$A$3:$C$31,MATCH(Table2929[[#This Row],[start_year]],CPI!$A$3:$A$31,0),3)</f>
        <v>767.92088384825979</v>
      </c>
      <c r="AA320" s="55">
        <f>Table2929[[#This Row],[$/sqft]]/INDEX(CPI!$A$3:$C$31,MATCH(Table2929[[#This Row],[start_year]],CPI!$A$3:$A$31,0),3)</f>
        <v>0.42662271324903317</v>
      </c>
      <c r="AB320" s="55" t="s">
        <v>71</v>
      </c>
    </row>
    <row r="321" spans="1:28" x14ac:dyDescent="0.2">
      <c r="A321" t="s">
        <v>5303</v>
      </c>
      <c r="B321">
        <v>5049</v>
      </c>
      <c r="C321">
        <v>12304</v>
      </c>
      <c r="D321" t="s">
        <v>5186</v>
      </c>
      <c r="E321" t="s">
        <v>4832</v>
      </c>
      <c r="F321" t="s">
        <v>5187</v>
      </c>
      <c r="G321" t="s">
        <v>1241</v>
      </c>
      <c r="H321">
        <v>556</v>
      </c>
      <c r="I321" t="s">
        <v>5191</v>
      </c>
      <c r="J321">
        <v>130</v>
      </c>
      <c r="K321" t="s">
        <v>5192</v>
      </c>
      <c r="L321">
        <v>620.65</v>
      </c>
      <c r="M321" t="s">
        <v>4989</v>
      </c>
      <c r="N321" t="s">
        <v>4979</v>
      </c>
      <c r="O321" t="s">
        <v>4838</v>
      </c>
      <c r="P321" t="s">
        <v>4844</v>
      </c>
      <c r="R321">
        <v>1980</v>
      </c>
      <c r="S321">
        <v>1800</v>
      </c>
      <c r="U321" t="s">
        <v>4840</v>
      </c>
      <c r="V321">
        <v>2019</v>
      </c>
      <c r="W321">
        <v>76.618705039999995</v>
      </c>
      <c r="X321" s="89">
        <f>ABS(IF(Table2929[[#This Row],[performance_2]]&lt;&gt;"", IF(Table2929[[#This Row],[performance_1]]&lt;&gt;"",(Table2929[[#This Row],[performance_1]]-Table2929[[#This Row],[performance_2]])/Table2929[[#This Row],[performance_1]],""), ""))</f>
        <v>0.76618705035971224</v>
      </c>
      <c r="Y321" s="55">
        <f>Table2929[[#This Row],[total_cost]]/Table2929[[#This Row],[cfa_post]]</f>
        <v>0.34480555555555553</v>
      </c>
      <c r="Z321" s="55">
        <f>Table2929[[#This Row],[total_cost]]/INDEX(CPI!$A$3:$C$31,MATCH(Table2929[[#This Row],[start_year]],CPI!$A$3:$A$31,0),3)</f>
        <v>738.12931169339072</v>
      </c>
      <c r="AA321" s="55">
        <f>Table2929[[#This Row],[$/sqft]]/INDEX(CPI!$A$3:$C$31,MATCH(Table2929[[#This Row],[start_year]],CPI!$A$3:$A$31,0),3)</f>
        <v>0.4100718398296615</v>
      </c>
      <c r="AB321" s="55" t="s">
        <v>71</v>
      </c>
    </row>
    <row r="322" spans="1:28" x14ac:dyDescent="0.2">
      <c r="A322" t="s">
        <v>5303</v>
      </c>
      <c r="B322">
        <v>5102</v>
      </c>
      <c r="C322">
        <v>12614</v>
      </c>
      <c r="D322" t="s">
        <v>5186</v>
      </c>
      <c r="E322" t="s">
        <v>4832</v>
      </c>
      <c r="F322" t="s">
        <v>5187</v>
      </c>
      <c r="G322" t="s">
        <v>1241</v>
      </c>
      <c r="H322">
        <v>394</v>
      </c>
      <c r="I322" t="s">
        <v>5191</v>
      </c>
      <c r="J322">
        <v>92</v>
      </c>
      <c r="K322" t="s">
        <v>5192</v>
      </c>
      <c r="L322">
        <v>993.13</v>
      </c>
      <c r="M322" t="s">
        <v>4990</v>
      </c>
      <c r="N322" t="s">
        <v>4979</v>
      </c>
      <c r="O322" t="s">
        <v>4972</v>
      </c>
      <c r="P322" t="s">
        <v>1241</v>
      </c>
      <c r="R322">
        <v>1994</v>
      </c>
      <c r="S322">
        <v>1232</v>
      </c>
      <c r="U322" t="s">
        <v>4840</v>
      </c>
      <c r="V322">
        <v>2018</v>
      </c>
      <c r="W322">
        <v>76.649746190000002</v>
      </c>
      <c r="X322" s="89">
        <f>ABS(IF(Table2929[[#This Row],[performance_2]]&lt;&gt;"", IF(Table2929[[#This Row],[performance_1]]&lt;&gt;"",(Table2929[[#This Row],[performance_1]]-Table2929[[#This Row],[performance_2]])/Table2929[[#This Row],[performance_1]],""), ""))</f>
        <v>0.76649746192893398</v>
      </c>
      <c r="Y322" s="55">
        <f>Table2929[[#This Row],[total_cost]]/Table2929[[#This Row],[cfa_post]]</f>
        <v>0.80611201298701296</v>
      </c>
      <c r="Z322" s="55">
        <f>Table2929[[#This Row],[total_cost]]/INDEX(CPI!$A$3:$C$31,MATCH(Table2929[[#This Row],[start_year]],CPI!$A$3:$A$31,0),3)</f>
        <v>1202.7512266029471</v>
      </c>
      <c r="AA322" s="55">
        <f>Table2929[[#This Row],[$/sqft]]/INDEX(CPI!$A$3:$C$31,MATCH(Table2929[[#This Row],[start_year]],CPI!$A$3:$A$31,0),3)</f>
        <v>0.97625911250239217</v>
      </c>
      <c r="AB322" s="55" t="s">
        <v>71</v>
      </c>
    </row>
    <row r="323" spans="1:28" x14ac:dyDescent="0.2">
      <c r="A323" t="s">
        <v>5303</v>
      </c>
      <c r="B323">
        <v>5124</v>
      </c>
      <c r="C323">
        <v>12755</v>
      </c>
      <c r="D323" t="s">
        <v>5186</v>
      </c>
      <c r="E323" t="s">
        <v>4832</v>
      </c>
      <c r="F323" t="s">
        <v>5187</v>
      </c>
      <c r="G323" t="s">
        <v>1241</v>
      </c>
      <c r="H323">
        <v>574</v>
      </c>
      <c r="I323" t="s">
        <v>5191</v>
      </c>
      <c r="J323">
        <v>133</v>
      </c>
      <c r="K323" t="s">
        <v>5192</v>
      </c>
      <c r="L323">
        <v>726.5</v>
      </c>
      <c r="M323" t="s">
        <v>4900</v>
      </c>
      <c r="N323" t="s">
        <v>4979</v>
      </c>
      <c r="O323" t="s">
        <v>4972</v>
      </c>
      <c r="P323" t="s">
        <v>1241</v>
      </c>
      <c r="R323">
        <v>2002</v>
      </c>
      <c r="S323">
        <v>2000</v>
      </c>
      <c r="U323" t="s">
        <v>4840</v>
      </c>
      <c r="V323">
        <v>2019</v>
      </c>
      <c r="W323">
        <v>76.829268290000002</v>
      </c>
      <c r="X323" s="89">
        <f>ABS(IF(Table2929[[#This Row],[performance_2]]&lt;&gt;"", IF(Table2929[[#This Row],[performance_1]]&lt;&gt;"",(Table2929[[#This Row],[performance_1]]-Table2929[[#This Row],[performance_2]])/Table2929[[#This Row],[performance_1]],""), ""))</f>
        <v>0.76829268292682928</v>
      </c>
      <c r="Y323" s="55">
        <f>Table2929[[#This Row],[total_cost]]/Table2929[[#This Row],[cfa_post]]</f>
        <v>0.36325000000000002</v>
      </c>
      <c r="Z323" s="55">
        <f>Table2929[[#This Row],[total_cost]]/INDEX(CPI!$A$3:$C$31,MATCH(Table2929[[#This Row],[start_year]],CPI!$A$3:$A$31,0),3)</f>
        <v>864.01505670707866</v>
      </c>
      <c r="AA323" s="55">
        <f>Table2929[[#This Row],[$/sqft]]/INDEX(CPI!$A$3:$C$31,MATCH(Table2929[[#This Row],[start_year]],CPI!$A$3:$A$31,0),3)</f>
        <v>0.43200752835353934</v>
      </c>
      <c r="AB323" s="55" t="s">
        <v>71</v>
      </c>
    </row>
    <row r="324" spans="1:28" x14ac:dyDescent="0.2">
      <c r="A324" t="s">
        <v>5303</v>
      </c>
      <c r="B324">
        <v>5140</v>
      </c>
      <c r="C324">
        <v>12855</v>
      </c>
      <c r="D324" t="s">
        <v>5186</v>
      </c>
      <c r="E324" t="s">
        <v>4832</v>
      </c>
      <c r="F324" t="s">
        <v>5187</v>
      </c>
      <c r="G324" t="s">
        <v>1241</v>
      </c>
      <c r="H324">
        <v>527</v>
      </c>
      <c r="I324" t="s">
        <v>5191</v>
      </c>
      <c r="J324">
        <v>121</v>
      </c>
      <c r="K324" t="s">
        <v>5192</v>
      </c>
      <c r="L324">
        <v>2644.3</v>
      </c>
      <c r="M324" t="s">
        <v>4988</v>
      </c>
      <c r="N324" t="s">
        <v>4979</v>
      </c>
      <c r="O324" t="s">
        <v>4838</v>
      </c>
      <c r="P324" t="s">
        <v>4844</v>
      </c>
      <c r="R324">
        <v>1976</v>
      </c>
      <c r="S324">
        <v>2100</v>
      </c>
      <c r="U324" t="s">
        <v>4840</v>
      </c>
      <c r="V324">
        <v>2019</v>
      </c>
      <c r="W324">
        <v>77.039848199999994</v>
      </c>
      <c r="X324" s="89">
        <f>ABS(IF(Table2929[[#This Row],[performance_2]]&lt;&gt;"", IF(Table2929[[#This Row],[performance_1]]&lt;&gt;"",(Table2929[[#This Row],[performance_1]]-Table2929[[#This Row],[performance_2]])/Table2929[[#This Row],[performance_1]],""), ""))</f>
        <v>0.77039848197343452</v>
      </c>
      <c r="Y324" s="55">
        <f>Table2929[[#This Row],[total_cost]]/Table2929[[#This Row],[cfa_post]]</f>
        <v>1.2591904761904762</v>
      </c>
      <c r="Z324" s="55">
        <f>Table2929[[#This Row],[total_cost]]/INDEX(CPI!$A$3:$C$31,MATCH(Table2929[[#This Row],[start_year]],CPI!$A$3:$A$31,0),3)</f>
        <v>3144.8245209229572</v>
      </c>
      <c r="AA324" s="55">
        <f>Table2929[[#This Row],[$/sqft]]/INDEX(CPI!$A$3:$C$31,MATCH(Table2929[[#This Row],[start_year]],CPI!$A$3:$A$31,0),3)</f>
        <v>1.4975354861537888</v>
      </c>
      <c r="AB324" s="55" t="s">
        <v>71</v>
      </c>
    </row>
    <row r="325" spans="1:28" x14ac:dyDescent="0.2">
      <c r="A325" t="s">
        <v>5303</v>
      </c>
      <c r="B325">
        <v>5095</v>
      </c>
      <c r="C325">
        <v>12573</v>
      </c>
      <c r="D325" t="s">
        <v>5186</v>
      </c>
      <c r="E325" t="s">
        <v>4832</v>
      </c>
      <c r="F325" t="s">
        <v>5187</v>
      </c>
      <c r="G325" t="s">
        <v>1241</v>
      </c>
      <c r="H325">
        <v>500</v>
      </c>
      <c r="I325" t="s">
        <v>5191</v>
      </c>
      <c r="J325">
        <v>111</v>
      </c>
      <c r="K325" t="s">
        <v>5192</v>
      </c>
      <c r="L325">
        <v>1026.25</v>
      </c>
      <c r="M325" t="s">
        <v>4993</v>
      </c>
      <c r="N325" t="s">
        <v>4979</v>
      </c>
      <c r="O325" t="s">
        <v>4838</v>
      </c>
      <c r="P325" t="s">
        <v>4844</v>
      </c>
      <c r="R325">
        <v>1978</v>
      </c>
      <c r="S325">
        <v>1100</v>
      </c>
      <c r="U325" t="s">
        <v>4840</v>
      </c>
      <c r="V325">
        <v>2019</v>
      </c>
      <c r="W325">
        <v>77.8</v>
      </c>
      <c r="X325" s="89">
        <f>ABS(IF(Table2929[[#This Row],[performance_2]]&lt;&gt;"", IF(Table2929[[#This Row],[performance_1]]&lt;&gt;"",(Table2929[[#This Row],[performance_1]]-Table2929[[#This Row],[performance_2]])/Table2929[[#This Row],[performance_1]],""), ""))</f>
        <v>0.77800000000000002</v>
      </c>
      <c r="Y325" s="55">
        <f>Table2929[[#This Row],[total_cost]]/Table2929[[#This Row],[cfa_post]]</f>
        <v>0.93295454545454548</v>
      </c>
      <c r="Z325" s="55">
        <f>Table2929[[#This Row],[total_cost]]/INDEX(CPI!$A$3:$C$31,MATCH(Table2929[[#This Row],[start_year]],CPI!$A$3:$A$31,0),3)</f>
        <v>1220.5030308955809</v>
      </c>
      <c r="AA325" s="55">
        <f>Table2929[[#This Row],[$/sqft]]/INDEX(CPI!$A$3:$C$31,MATCH(Table2929[[#This Row],[start_year]],CPI!$A$3:$A$31,0),3)</f>
        <v>1.1095482099050735</v>
      </c>
      <c r="AB325" s="55" t="s">
        <v>71</v>
      </c>
    </row>
    <row r="326" spans="1:28" x14ac:dyDescent="0.2">
      <c r="A326" t="s">
        <v>5303</v>
      </c>
      <c r="B326">
        <v>4018</v>
      </c>
      <c r="C326">
        <v>11075</v>
      </c>
      <c r="D326" t="s">
        <v>5186</v>
      </c>
      <c r="E326" t="s">
        <v>4832</v>
      </c>
      <c r="F326" t="s">
        <v>5187</v>
      </c>
      <c r="G326" t="s">
        <v>1241</v>
      </c>
      <c r="H326">
        <v>285</v>
      </c>
      <c r="I326" t="s">
        <v>5191</v>
      </c>
      <c r="J326">
        <v>63</v>
      </c>
      <c r="K326" t="s">
        <v>5192</v>
      </c>
      <c r="L326">
        <v>1832.5</v>
      </c>
      <c r="M326" t="s">
        <v>4976</v>
      </c>
      <c r="N326" t="s">
        <v>4969</v>
      </c>
      <c r="O326" t="s">
        <v>4972</v>
      </c>
      <c r="P326" t="s">
        <v>1241</v>
      </c>
      <c r="R326">
        <v>1998</v>
      </c>
      <c r="S326">
        <v>1715</v>
      </c>
      <c r="U326" t="s">
        <v>4840</v>
      </c>
      <c r="V326">
        <v>2019</v>
      </c>
      <c r="W326">
        <v>77.894736839999993</v>
      </c>
      <c r="X326" s="89">
        <f>ABS(IF(Table2929[[#This Row],[performance_2]]&lt;&gt;"", IF(Table2929[[#This Row],[performance_1]]&lt;&gt;"",(Table2929[[#This Row],[performance_1]]-Table2929[[#This Row],[performance_2]])/Table2929[[#This Row],[performance_1]],""), ""))</f>
        <v>0.77894736842105261</v>
      </c>
      <c r="Y326" s="55">
        <f>Table2929[[#This Row],[total_cost]]/Table2929[[#This Row],[cfa_post]]</f>
        <v>1.0685131195335278</v>
      </c>
      <c r="Z326" s="55">
        <f>Table2929[[#This Row],[total_cost]]/INDEX(CPI!$A$3:$C$31,MATCH(Table2929[[#This Row],[start_year]],CPI!$A$3:$A$31,0),3)</f>
        <v>2179.3635119280407</v>
      </c>
      <c r="AA326" s="55">
        <f>Table2929[[#This Row],[$/sqft]]/INDEX(CPI!$A$3:$C$31,MATCH(Table2929[[#This Row],[start_year]],CPI!$A$3:$A$31,0),3)</f>
        <v>1.270765896167954</v>
      </c>
      <c r="AB326" s="55" t="s">
        <v>71</v>
      </c>
    </row>
    <row r="327" spans="1:28" x14ac:dyDescent="0.2">
      <c r="A327" t="s">
        <v>5303</v>
      </c>
      <c r="B327">
        <v>5008</v>
      </c>
      <c r="C327">
        <v>12051</v>
      </c>
      <c r="D327" t="s">
        <v>5186</v>
      </c>
      <c r="E327" t="s">
        <v>4832</v>
      </c>
      <c r="F327" t="s">
        <v>5187</v>
      </c>
      <c r="G327" t="s">
        <v>1241</v>
      </c>
      <c r="H327">
        <v>573</v>
      </c>
      <c r="I327" t="s">
        <v>5191</v>
      </c>
      <c r="J327">
        <v>126</v>
      </c>
      <c r="K327" t="s">
        <v>5192</v>
      </c>
      <c r="L327">
        <v>2000</v>
      </c>
      <c r="M327" t="s">
        <v>4900</v>
      </c>
      <c r="N327" t="s">
        <v>4979</v>
      </c>
      <c r="O327" t="s">
        <v>4838</v>
      </c>
      <c r="P327" t="s">
        <v>4844</v>
      </c>
      <c r="R327">
        <v>1979</v>
      </c>
      <c r="S327">
        <v>1400</v>
      </c>
      <c r="U327" t="s">
        <v>4840</v>
      </c>
      <c r="V327">
        <v>2019</v>
      </c>
      <c r="W327">
        <v>78.010471199999998</v>
      </c>
      <c r="X327" s="89">
        <f>ABS(IF(Table2929[[#This Row],[performance_2]]&lt;&gt;"", IF(Table2929[[#This Row],[performance_1]]&lt;&gt;"",(Table2929[[#This Row],[performance_1]]-Table2929[[#This Row],[performance_2]])/Table2929[[#This Row],[performance_1]],""), ""))</f>
        <v>0.78010471204188481</v>
      </c>
      <c r="Y327" s="55">
        <f>Table2929[[#This Row],[total_cost]]/Table2929[[#This Row],[cfa_post]]</f>
        <v>1.4285714285714286</v>
      </c>
      <c r="Z327" s="55">
        <f>Table2929[[#This Row],[total_cost]]/INDEX(CPI!$A$3:$C$31,MATCH(Table2929[[#This Row],[start_year]],CPI!$A$3:$A$31,0),3)</f>
        <v>2378.5686351192803</v>
      </c>
      <c r="AA327" s="55">
        <f>Table2929[[#This Row],[$/sqft]]/INDEX(CPI!$A$3:$C$31,MATCH(Table2929[[#This Row],[start_year]],CPI!$A$3:$A$31,0),3)</f>
        <v>1.6989775965137719</v>
      </c>
      <c r="AB327" s="55" t="s">
        <v>71</v>
      </c>
    </row>
    <row r="328" spans="1:28" x14ac:dyDescent="0.2">
      <c r="A328" t="s">
        <v>5303</v>
      </c>
      <c r="B328">
        <v>5139</v>
      </c>
      <c r="C328">
        <v>12847</v>
      </c>
      <c r="D328" t="s">
        <v>5186</v>
      </c>
      <c r="E328" t="s">
        <v>4832</v>
      </c>
      <c r="F328" t="s">
        <v>5187</v>
      </c>
      <c r="G328" t="s">
        <v>1241</v>
      </c>
      <c r="H328">
        <v>361</v>
      </c>
      <c r="I328" t="s">
        <v>5191</v>
      </c>
      <c r="J328">
        <v>78</v>
      </c>
      <c r="K328" t="s">
        <v>5192</v>
      </c>
      <c r="L328">
        <v>898.22</v>
      </c>
      <c r="M328" t="s">
        <v>4900</v>
      </c>
      <c r="N328" t="s">
        <v>4979</v>
      </c>
      <c r="O328" t="s">
        <v>4838</v>
      </c>
      <c r="P328" t="s">
        <v>4844</v>
      </c>
      <c r="R328">
        <v>2004</v>
      </c>
      <c r="S328">
        <v>3900</v>
      </c>
      <c r="U328" t="s">
        <v>4840</v>
      </c>
      <c r="V328">
        <v>2018</v>
      </c>
      <c r="W328">
        <v>78.393351800000005</v>
      </c>
      <c r="X328" s="89">
        <f>ABS(IF(Table2929[[#This Row],[performance_2]]&lt;&gt;"", IF(Table2929[[#This Row],[performance_1]]&lt;&gt;"",(Table2929[[#This Row],[performance_1]]-Table2929[[#This Row],[performance_2]])/Table2929[[#This Row],[performance_1]],""), ""))</f>
        <v>0.78393351800554012</v>
      </c>
      <c r="Y328" s="55">
        <f>Table2929[[#This Row],[total_cost]]/Table2929[[#This Row],[cfa_post]]</f>
        <v>0.23031282051282051</v>
      </c>
      <c r="Z328" s="55">
        <f>Table2929[[#This Row],[total_cost]]/INDEX(CPI!$A$3:$C$31,MATCH(Table2929[[#This Row],[start_year]],CPI!$A$3:$A$31,0),3)</f>
        <v>1087.8084508164079</v>
      </c>
      <c r="AA328" s="55">
        <f>Table2929[[#This Row],[$/sqft]]/INDEX(CPI!$A$3:$C$31,MATCH(Table2929[[#This Row],[start_year]],CPI!$A$3:$A$31,0),3)</f>
        <v>0.27892524379907896</v>
      </c>
      <c r="AB328" s="55" t="s">
        <v>71</v>
      </c>
    </row>
    <row r="329" spans="1:28" x14ac:dyDescent="0.2">
      <c r="A329" t="s">
        <v>5303</v>
      </c>
      <c r="B329">
        <v>4005</v>
      </c>
      <c r="C329">
        <v>11022</v>
      </c>
      <c r="D329" t="s">
        <v>5186</v>
      </c>
      <c r="E329" t="s">
        <v>4832</v>
      </c>
      <c r="F329" t="s">
        <v>5187</v>
      </c>
      <c r="G329" t="s">
        <v>1241</v>
      </c>
      <c r="H329">
        <v>643</v>
      </c>
      <c r="I329" t="s">
        <v>5191</v>
      </c>
      <c r="J329">
        <v>137</v>
      </c>
      <c r="K329" t="s">
        <v>5192</v>
      </c>
      <c r="L329">
        <v>357.5</v>
      </c>
      <c r="M329" t="s">
        <v>4971</v>
      </c>
      <c r="N329" t="s">
        <v>4969</v>
      </c>
      <c r="O329" t="s">
        <v>4972</v>
      </c>
      <c r="P329" t="s">
        <v>4844</v>
      </c>
      <c r="R329">
        <v>1998</v>
      </c>
      <c r="S329">
        <v>1350</v>
      </c>
      <c r="U329" t="s">
        <v>4840</v>
      </c>
      <c r="V329">
        <v>2019</v>
      </c>
      <c r="W329">
        <v>78.693623639999998</v>
      </c>
      <c r="X329" s="89">
        <f>ABS(IF(Table2929[[#This Row],[performance_2]]&lt;&gt;"", IF(Table2929[[#This Row],[performance_1]]&lt;&gt;"",(Table2929[[#This Row],[performance_1]]-Table2929[[#This Row],[performance_2]])/Table2929[[#This Row],[performance_1]],""), ""))</f>
        <v>0.7869362363919129</v>
      </c>
      <c r="Y329" s="55">
        <f>Table2929[[#This Row],[total_cost]]/Table2929[[#This Row],[cfa_post]]</f>
        <v>0.26481481481481484</v>
      </c>
      <c r="Z329" s="55">
        <f>Table2929[[#This Row],[total_cost]]/INDEX(CPI!$A$3:$C$31,MATCH(Table2929[[#This Row],[start_year]],CPI!$A$3:$A$31,0),3)</f>
        <v>425.16914352757141</v>
      </c>
      <c r="AA329" s="55">
        <f>Table2929[[#This Row],[$/sqft]]/INDEX(CPI!$A$3:$C$31,MATCH(Table2929[[#This Row],[start_year]],CPI!$A$3:$A$31,0),3)</f>
        <v>0.31494010631671959</v>
      </c>
      <c r="AB329" s="55" t="s">
        <v>71</v>
      </c>
    </row>
    <row r="330" spans="1:28" x14ac:dyDescent="0.2">
      <c r="A330" t="s">
        <v>5303</v>
      </c>
      <c r="B330">
        <v>5232</v>
      </c>
      <c r="C330">
        <v>13376</v>
      </c>
      <c r="D330" t="s">
        <v>5186</v>
      </c>
      <c r="E330" t="s">
        <v>4832</v>
      </c>
      <c r="F330" t="s">
        <v>5187</v>
      </c>
      <c r="G330" t="s">
        <v>1241</v>
      </c>
      <c r="H330">
        <v>252</v>
      </c>
      <c r="I330" t="s">
        <v>5191</v>
      </c>
      <c r="J330">
        <v>53</v>
      </c>
      <c r="K330" t="s">
        <v>5192</v>
      </c>
      <c r="L330">
        <v>604.25</v>
      </c>
      <c r="M330" t="s">
        <v>4980</v>
      </c>
      <c r="N330" t="s">
        <v>4979</v>
      </c>
      <c r="O330" t="s">
        <v>4972</v>
      </c>
      <c r="P330" t="s">
        <v>4844</v>
      </c>
      <c r="R330">
        <v>2004</v>
      </c>
      <c r="S330">
        <v>1960</v>
      </c>
      <c r="U330" t="s">
        <v>4840</v>
      </c>
      <c r="V330">
        <v>2018</v>
      </c>
      <c r="W330">
        <v>78.968253970000006</v>
      </c>
      <c r="X330" s="89">
        <f>ABS(IF(Table2929[[#This Row],[performance_2]]&lt;&gt;"", IF(Table2929[[#This Row],[performance_1]]&lt;&gt;"",(Table2929[[#This Row],[performance_1]]-Table2929[[#This Row],[performance_2]])/Table2929[[#This Row],[performance_1]],""), ""))</f>
        <v>0.78968253968253965</v>
      </c>
      <c r="Y330" s="55">
        <f>Table2929[[#This Row],[total_cost]]/Table2929[[#This Row],[cfa_post]]</f>
        <v>0.3082908163265306</v>
      </c>
      <c r="Z330" s="55">
        <f>Table2929[[#This Row],[total_cost]]/INDEX(CPI!$A$3:$C$31,MATCH(Table2929[[#This Row],[start_year]],CPI!$A$3:$A$31,0),3)</f>
        <v>731.7898247710076</v>
      </c>
      <c r="AA330" s="55">
        <f>Table2929[[#This Row],[$/sqft]]/INDEX(CPI!$A$3:$C$31,MATCH(Table2929[[#This Row],[start_year]],CPI!$A$3:$A$31,0),3)</f>
        <v>0.37336215549541207</v>
      </c>
      <c r="AB330" s="55" t="s">
        <v>71</v>
      </c>
    </row>
    <row r="331" spans="1:28" x14ac:dyDescent="0.2">
      <c r="A331" t="s">
        <v>5303</v>
      </c>
      <c r="B331">
        <v>5225</v>
      </c>
      <c r="C331">
        <v>13339</v>
      </c>
      <c r="D331" t="s">
        <v>5186</v>
      </c>
      <c r="E331" t="s">
        <v>4832</v>
      </c>
      <c r="F331" t="s">
        <v>5187</v>
      </c>
      <c r="G331" t="s">
        <v>1241</v>
      </c>
      <c r="H331">
        <v>658</v>
      </c>
      <c r="I331" t="s">
        <v>5191</v>
      </c>
      <c r="J331">
        <v>137</v>
      </c>
      <c r="K331" t="s">
        <v>5192</v>
      </c>
      <c r="L331">
        <v>443.51</v>
      </c>
      <c r="M331" t="s">
        <v>4978</v>
      </c>
      <c r="N331" t="s">
        <v>4979</v>
      </c>
      <c r="O331" t="s">
        <v>4972</v>
      </c>
      <c r="P331" t="s">
        <v>4844</v>
      </c>
      <c r="R331">
        <v>1997</v>
      </c>
      <c r="S331">
        <v>1820</v>
      </c>
      <c r="U331" t="s">
        <v>4840</v>
      </c>
      <c r="V331">
        <v>2018</v>
      </c>
      <c r="W331">
        <v>79.179331309999995</v>
      </c>
      <c r="X331" s="89">
        <f>ABS(IF(Table2929[[#This Row],[performance_2]]&lt;&gt;"", IF(Table2929[[#This Row],[performance_1]]&lt;&gt;"",(Table2929[[#This Row],[performance_1]]-Table2929[[#This Row],[performance_2]])/Table2929[[#This Row],[performance_1]],""), ""))</f>
        <v>0.79179331306990886</v>
      </c>
      <c r="Y331" s="55">
        <f>Table2929[[#This Row],[total_cost]]/Table2929[[#This Row],[cfa_post]]</f>
        <v>0.24368681318681318</v>
      </c>
      <c r="Z331" s="55">
        <f>Table2929[[#This Row],[total_cost]]/INDEX(CPI!$A$3:$C$31,MATCH(Table2929[[#This Row],[start_year]],CPI!$A$3:$A$31,0),3)</f>
        <v>537.12222620469936</v>
      </c>
      <c r="AA331" s="55">
        <f>Table2929[[#This Row],[$/sqft]]/INDEX(CPI!$A$3:$C$31,MATCH(Table2929[[#This Row],[start_year]],CPI!$A$3:$A$31,0),3)</f>
        <v>0.29512210231027436</v>
      </c>
      <c r="AB331" s="55" t="s">
        <v>71</v>
      </c>
    </row>
    <row r="332" spans="1:28" x14ac:dyDescent="0.2">
      <c r="A332" t="s">
        <v>5303</v>
      </c>
      <c r="B332">
        <v>4055</v>
      </c>
      <c r="C332">
        <v>11237</v>
      </c>
      <c r="D332" t="s">
        <v>5186</v>
      </c>
      <c r="E332" t="s">
        <v>4832</v>
      </c>
      <c r="F332" t="s">
        <v>5187</v>
      </c>
      <c r="G332" t="s">
        <v>1241</v>
      </c>
      <c r="H332">
        <v>210</v>
      </c>
      <c r="I332" t="s">
        <v>5191</v>
      </c>
      <c r="J332">
        <v>42</v>
      </c>
      <c r="K332" t="s">
        <v>5192</v>
      </c>
      <c r="L332">
        <v>340.45</v>
      </c>
      <c r="M332" t="s">
        <v>4968</v>
      </c>
      <c r="N332" t="s">
        <v>4969</v>
      </c>
      <c r="O332" t="s">
        <v>4838</v>
      </c>
      <c r="P332" t="s">
        <v>4844</v>
      </c>
      <c r="R332">
        <v>1999</v>
      </c>
      <c r="S332">
        <v>1689</v>
      </c>
      <c r="U332" t="s">
        <v>4840</v>
      </c>
      <c r="V332">
        <v>2020</v>
      </c>
      <c r="W332">
        <v>80</v>
      </c>
      <c r="X332" s="89">
        <f>ABS(IF(Table2929[[#This Row],[performance_2]]&lt;&gt;"", IF(Table2929[[#This Row],[performance_1]]&lt;&gt;"",(Table2929[[#This Row],[performance_1]]-Table2929[[#This Row],[performance_2]])/Table2929[[#This Row],[performance_1]],""), ""))</f>
        <v>0.8</v>
      </c>
      <c r="Y332" s="55">
        <f>Table2929[[#This Row],[total_cost]]/Table2929[[#This Row],[cfa_post]]</f>
        <v>0.20156897572528124</v>
      </c>
      <c r="Z332" s="55">
        <f>Table2929[[#This Row],[total_cost]]/INDEX(CPI!$A$3:$C$31,MATCH(Table2929[[#This Row],[start_year]],CPI!$A$3:$A$31,0),3)</f>
        <v>400.04190494590415</v>
      </c>
      <c r="AA332" s="55">
        <f>Table2929[[#This Row],[$/sqft]]/INDEX(CPI!$A$3:$C$31,MATCH(Table2929[[#This Row],[start_year]],CPI!$A$3:$A$31,0),3)</f>
        <v>0.23685133507750397</v>
      </c>
      <c r="AB332" s="55" t="s">
        <v>71</v>
      </c>
    </row>
    <row r="333" spans="1:28" x14ac:dyDescent="0.2">
      <c r="A333" t="s">
        <v>5303</v>
      </c>
      <c r="B333">
        <v>5009</v>
      </c>
      <c r="C333">
        <v>12058</v>
      </c>
      <c r="D333" t="s">
        <v>5186</v>
      </c>
      <c r="E333" t="s">
        <v>4832</v>
      </c>
      <c r="F333" t="s">
        <v>5187</v>
      </c>
      <c r="G333" t="s">
        <v>1241</v>
      </c>
      <c r="H333">
        <v>360</v>
      </c>
      <c r="I333" t="s">
        <v>5191</v>
      </c>
      <c r="J333">
        <v>72</v>
      </c>
      <c r="K333" t="s">
        <v>5192</v>
      </c>
      <c r="L333">
        <v>544.78</v>
      </c>
      <c r="M333" t="s">
        <v>4900</v>
      </c>
      <c r="N333" t="s">
        <v>4979</v>
      </c>
      <c r="O333" t="s">
        <v>4972</v>
      </c>
      <c r="P333" t="s">
        <v>4844</v>
      </c>
      <c r="R333">
        <v>1997</v>
      </c>
      <c r="S333">
        <v>1248</v>
      </c>
      <c r="U333" t="s">
        <v>4840</v>
      </c>
      <c r="V333">
        <v>2017</v>
      </c>
      <c r="W333">
        <v>80</v>
      </c>
      <c r="X333" s="89">
        <f>ABS(IF(Table2929[[#This Row],[performance_2]]&lt;&gt;"", IF(Table2929[[#This Row],[performance_1]]&lt;&gt;"",(Table2929[[#This Row],[performance_1]]-Table2929[[#This Row],[performance_2]])/Table2929[[#This Row],[performance_1]],""), ""))</f>
        <v>0.8</v>
      </c>
      <c r="Y333" s="55">
        <f>Table2929[[#This Row],[total_cost]]/Table2929[[#This Row],[cfa_post]]</f>
        <v>0.43652243589743589</v>
      </c>
      <c r="Z333" s="55">
        <f>Table2929[[#This Row],[total_cost]]/INDEX(CPI!$A$3:$C$31,MATCH(Table2929[[#This Row],[start_year]],CPI!$A$3:$A$31,0),3)</f>
        <v>675.91839249286011</v>
      </c>
      <c r="AA333" s="55">
        <f>Table2929[[#This Row],[$/sqft]]/INDEX(CPI!$A$3:$C$31,MATCH(Table2929[[#This Row],[start_year]],CPI!$A$3:$A$31,0),3)</f>
        <v>0.54160127603594566</v>
      </c>
      <c r="AB333" s="55" t="s">
        <v>71</v>
      </c>
    </row>
    <row r="334" spans="1:28" x14ac:dyDescent="0.2">
      <c r="A334" t="s">
        <v>5303</v>
      </c>
      <c r="B334">
        <v>5012</v>
      </c>
      <c r="C334">
        <v>12074</v>
      </c>
      <c r="D334" t="s">
        <v>5186</v>
      </c>
      <c r="E334" t="s">
        <v>4832</v>
      </c>
      <c r="F334" t="s">
        <v>5187</v>
      </c>
      <c r="G334" t="s">
        <v>1241</v>
      </c>
      <c r="H334">
        <v>360</v>
      </c>
      <c r="I334" t="s">
        <v>5191</v>
      </c>
      <c r="J334">
        <v>72</v>
      </c>
      <c r="K334" t="s">
        <v>5192</v>
      </c>
      <c r="L334">
        <v>556.5</v>
      </c>
      <c r="M334" t="s">
        <v>4985</v>
      </c>
      <c r="N334" t="s">
        <v>4979</v>
      </c>
      <c r="O334" t="s">
        <v>4972</v>
      </c>
      <c r="P334" t="s">
        <v>1241</v>
      </c>
      <c r="R334">
        <v>2000</v>
      </c>
      <c r="S334">
        <v>1152</v>
      </c>
      <c r="U334" t="s">
        <v>4840</v>
      </c>
      <c r="V334">
        <v>2017</v>
      </c>
      <c r="W334">
        <v>80</v>
      </c>
      <c r="X334" s="89">
        <f>ABS(IF(Table2929[[#This Row],[performance_2]]&lt;&gt;"", IF(Table2929[[#This Row],[performance_1]]&lt;&gt;"",(Table2929[[#This Row],[performance_1]]-Table2929[[#This Row],[performance_2]])/Table2929[[#This Row],[performance_1]],""), ""))</f>
        <v>0.8</v>
      </c>
      <c r="Y334" s="55">
        <f>Table2929[[#This Row],[total_cost]]/Table2929[[#This Row],[cfa_post]]</f>
        <v>0.48307291666666669</v>
      </c>
      <c r="Z334" s="55">
        <f>Table2929[[#This Row],[total_cost]]/INDEX(CPI!$A$3:$C$31,MATCH(Table2929[[#This Row],[start_year]],CPI!$A$3:$A$31,0),3)</f>
        <v>690.45960832313347</v>
      </c>
      <c r="AA334" s="55">
        <f>Table2929[[#This Row],[$/sqft]]/INDEX(CPI!$A$3:$C$31,MATCH(Table2929[[#This Row],[start_year]],CPI!$A$3:$A$31,0),3)</f>
        <v>0.59935729889160894</v>
      </c>
      <c r="AB334" s="55" t="s">
        <v>71</v>
      </c>
    </row>
    <row r="335" spans="1:28" x14ac:dyDescent="0.2">
      <c r="A335" t="s">
        <v>5303</v>
      </c>
      <c r="B335">
        <v>5027</v>
      </c>
      <c r="C335">
        <v>12168</v>
      </c>
      <c r="D335" t="s">
        <v>5186</v>
      </c>
      <c r="E335" t="s">
        <v>4832</v>
      </c>
      <c r="F335" t="s">
        <v>5187</v>
      </c>
      <c r="G335" t="s">
        <v>1241</v>
      </c>
      <c r="H335">
        <v>360</v>
      </c>
      <c r="I335" t="s">
        <v>5191</v>
      </c>
      <c r="J335">
        <v>72</v>
      </c>
      <c r="K335" t="s">
        <v>5192</v>
      </c>
      <c r="L335">
        <v>635.6</v>
      </c>
      <c r="M335" t="s">
        <v>4986</v>
      </c>
      <c r="N335" t="s">
        <v>4979</v>
      </c>
      <c r="O335" t="s">
        <v>4972</v>
      </c>
      <c r="P335" t="s">
        <v>4844</v>
      </c>
      <c r="R335">
        <v>1998</v>
      </c>
      <c r="S335">
        <v>1680</v>
      </c>
      <c r="U335" t="s">
        <v>4840</v>
      </c>
      <c r="V335">
        <v>2017</v>
      </c>
      <c r="W335">
        <v>80</v>
      </c>
      <c r="X335" s="89">
        <f>ABS(IF(Table2929[[#This Row],[performance_2]]&lt;&gt;"", IF(Table2929[[#This Row],[performance_1]]&lt;&gt;"",(Table2929[[#This Row],[performance_1]]-Table2929[[#This Row],[performance_2]])/Table2929[[#This Row],[performance_1]],""), ""))</f>
        <v>0.8</v>
      </c>
      <c r="Y335" s="55">
        <f>Table2929[[#This Row],[total_cost]]/Table2929[[#This Row],[cfa_post]]</f>
        <v>0.37833333333333335</v>
      </c>
      <c r="Z335" s="55">
        <f>Table2929[[#This Row],[total_cost]]/INDEX(CPI!$A$3:$C$31,MATCH(Table2929[[#This Row],[start_year]],CPI!$A$3:$A$31,0),3)</f>
        <v>788.60040799673618</v>
      </c>
      <c r="AA335" s="55">
        <f>Table2929[[#This Row],[$/sqft]]/INDEX(CPI!$A$3:$C$31,MATCH(Table2929[[#This Row],[start_year]],CPI!$A$3:$A$31,0),3)</f>
        <v>0.469405004759962</v>
      </c>
      <c r="AB335" s="55" t="s">
        <v>71</v>
      </c>
    </row>
    <row r="336" spans="1:28" x14ac:dyDescent="0.2">
      <c r="A336" t="s">
        <v>5303</v>
      </c>
      <c r="B336">
        <v>5056</v>
      </c>
      <c r="C336">
        <v>12346</v>
      </c>
      <c r="D336" t="s">
        <v>5186</v>
      </c>
      <c r="E336" t="s">
        <v>4832</v>
      </c>
      <c r="F336" t="s">
        <v>5187</v>
      </c>
      <c r="G336" t="s">
        <v>1241</v>
      </c>
      <c r="H336">
        <v>360</v>
      </c>
      <c r="I336" t="s">
        <v>5191</v>
      </c>
      <c r="J336">
        <v>72</v>
      </c>
      <c r="K336" t="s">
        <v>5192</v>
      </c>
      <c r="L336">
        <v>427.69</v>
      </c>
      <c r="M336" t="s">
        <v>4981</v>
      </c>
      <c r="N336" t="s">
        <v>4979</v>
      </c>
      <c r="O336" t="s">
        <v>4972</v>
      </c>
      <c r="P336" t="s">
        <v>4844</v>
      </c>
      <c r="R336">
        <v>1990</v>
      </c>
      <c r="S336">
        <v>1500</v>
      </c>
      <c r="U336" t="s">
        <v>4840</v>
      </c>
      <c r="V336">
        <v>2017</v>
      </c>
      <c r="W336">
        <v>80</v>
      </c>
      <c r="X336" s="89">
        <f>ABS(IF(Table2929[[#This Row],[performance_2]]&lt;&gt;"", IF(Table2929[[#This Row],[performance_1]]&lt;&gt;"",(Table2929[[#This Row],[performance_1]]-Table2929[[#This Row],[performance_2]])/Table2929[[#This Row],[performance_1]],""), ""))</f>
        <v>0.8</v>
      </c>
      <c r="Y336" s="55">
        <f>Table2929[[#This Row],[total_cost]]/Table2929[[#This Row],[cfa_post]]</f>
        <v>0.28512666666666664</v>
      </c>
      <c r="Z336" s="55">
        <f>Table2929[[#This Row],[total_cost]]/INDEX(CPI!$A$3:$C$31,MATCH(Table2929[[#This Row],[start_year]],CPI!$A$3:$A$31,0),3)</f>
        <v>530.64271317829457</v>
      </c>
      <c r="AA336" s="55">
        <f>Table2929[[#This Row],[$/sqft]]/INDEX(CPI!$A$3:$C$31,MATCH(Table2929[[#This Row],[start_year]],CPI!$A$3:$A$31,0),3)</f>
        <v>0.35376180878552971</v>
      </c>
      <c r="AB336" s="55" t="s">
        <v>71</v>
      </c>
    </row>
    <row r="337" spans="1:28" x14ac:dyDescent="0.2">
      <c r="A337" t="s">
        <v>5303</v>
      </c>
      <c r="B337">
        <v>5159</v>
      </c>
      <c r="C337">
        <v>12971</v>
      </c>
      <c r="D337" t="s">
        <v>5186</v>
      </c>
      <c r="E337" t="s">
        <v>4832</v>
      </c>
      <c r="F337" t="s">
        <v>5187</v>
      </c>
      <c r="G337" t="s">
        <v>1241</v>
      </c>
      <c r="H337">
        <v>360</v>
      </c>
      <c r="I337" t="s">
        <v>5191</v>
      </c>
      <c r="J337">
        <v>72</v>
      </c>
      <c r="K337" t="s">
        <v>5192</v>
      </c>
      <c r="L337">
        <v>817.24</v>
      </c>
      <c r="M337" t="s">
        <v>4997</v>
      </c>
      <c r="N337" t="s">
        <v>4979</v>
      </c>
      <c r="O337" t="s">
        <v>4972</v>
      </c>
      <c r="P337" t="s">
        <v>4844</v>
      </c>
      <c r="R337">
        <v>1999</v>
      </c>
      <c r="S337">
        <v>2128</v>
      </c>
      <c r="U337" t="s">
        <v>4840</v>
      </c>
      <c r="V337">
        <v>2017</v>
      </c>
      <c r="W337">
        <v>80</v>
      </c>
      <c r="X337" s="89">
        <f>ABS(IF(Table2929[[#This Row],[performance_2]]&lt;&gt;"", IF(Table2929[[#This Row],[performance_1]]&lt;&gt;"",(Table2929[[#This Row],[performance_1]]-Table2929[[#This Row],[performance_2]])/Table2929[[#This Row],[performance_1]],""), ""))</f>
        <v>0.8</v>
      </c>
      <c r="Y337" s="55">
        <f>Table2929[[#This Row],[total_cost]]/Table2929[[#This Row],[cfa_post]]</f>
        <v>0.38404135338345863</v>
      </c>
      <c r="Z337" s="55">
        <f>Table2929[[#This Row],[total_cost]]/INDEX(CPI!$A$3:$C$31,MATCH(Table2929[[#This Row],[start_year]],CPI!$A$3:$A$31,0),3)</f>
        <v>1013.9644390044881</v>
      </c>
      <c r="AA337" s="55">
        <f>Table2929[[#This Row],[$/sqft]]/INDEX(CPI!$A$3:$C$31,MATCH(Table2929[[#This Row],[start_year]],CPI!$A$3:$A$31,0),3)</f>
        <v>0.47648704840436468</v>
      </c>
      <c r="AB337" s="55" t="s">
        <v>71</v>
      </c>
    </row>
    <row r="338" spans="1:28" x14ac:dyDescent="0.2">
      <c r="A338" t="s">
        <v>5303</v>
      </c>
      <c r="B338">
        <v>5191</v>
      </c>
      <c r="C338">
        <v>13158</v>
      </c>
      <c r="D338" t="s">
        <v>5186</v>
      </c>
      <c r="E338" t="s">
        <v>4832</v>
      </c>
      <c r="F338" t="s">
        <v>5187</v>
      </c>
      <c r="G338" t="s">
        <v>1241</v>
      </c>
      <c r="H338">
        <v>360</v>
      </c>
      <c r="I338" t="s">
        <v>5191</v>
      </c>
      <c r="J338">
        <v>72</v>
      </c>
      <c r="K338" t="s">
        <v>5192</v>
      </c>
      <c r="L338">
        <v>299.58</v>
      </c>
      <c r="M338" t="s">
        <v>4900</v>
      </c>
      <c r="N338" t="s">
        <v>4979</v>
      </c>
      <c r="O338" t="s">
        <v>4972</v>
      </c>
      <c r="P338" t="s">
        <v>4844</v>
      </c>
      <c r="R338">
        <v>2001</v>
      </c>
      <c r="S338">
        <v>1950</v>
      </c>
      <c r="U338" t="s">
        <v>4840</v>
      </c>
      <c r="V338">
        <v>2017</v>
      </c>
      <c r="W338">
        <v>80</v>
      </c>
      <c r="X338" s="89">
        <f>ABS(IF(Table2929[[#This Row],[performance_2]]&lt;&gt;"", IF(Table2929[[#This Row],[performance_1]]&lt;&gt;"",(Table2929[[#This Row],[performance_1]]-Table2929[[#This Row],[performance_2]])/Table2929[[#This Row],[performance_1]],""), ""))</f>
        <v>0.8</v>
      </c>
      <c r="Y338" s="55">
        <f>Table2929[[#This Row],[total_cost]]/Table2929[[#This Row],[cfa_post]]</f>
        <v>0.15363076923076921</v>
      </c>
      <c r="Z338" s="55">
        <f>Table2929[[#This Row],[total_cost]]/INDEX(CPI!$A$3:$C$31,MATCH(Table2929[[#This Row],[start_year]],CPI!$A$3:$A$31,0),3)</f>
        <v>371.69432068543455</v>
      </c>
      <c r="AA338" s="55">
        <f>Table2929[[#This Row],[$/sqft]]/INDEX(CPI!$A$3:$C$31,MATCH(Table2929[[#This Row],[start_year]],CPI!$A$3:$A$31,0),3)</f>
        <v>0.19061247214637667</v>
      </c>
      <c r="AB338" s="55" t="s">
        <v>71</v>
      </c>
    </row>
    <row r="339" spans="1:28" x14ac:dyDescent="0.2">
      <c r="A339" t="s">
        <v>5303</v>
      </c>
      <c r="B339">
        <v>5192</v>
      </c>
      <c r="C339">
        <v>13163</v>
      </c>
      <c r="D339" t="s">
        <v>5186</v>
      </c>
      <c r="E339" t="s">
        <v>4832</v>
      </c>
      <c r="F339" t="s">
        <v>5187</v>
      </c>
      <c r="G339" t="s">
        <v>1241</v>
      </c>
      <c r="H339">
        <v>360</v>
      </c>
      <c r="I339" t="s">
        <v>5191</v>
      </c>
      <c r="J339">
        <v>72</v>
      </c>
      <c r="K339" t="s">
        <v>5192</v>
      </c>
      <c r="L339">
        <v>421.19</v>
      </c>
      <c r="M339" t="s">
        <v>4900</v>
      </c>
      <c r="N339" t="s">
        <v>4979</v>
      </c>
      <c r="O339" t="s">
        <v>4972</v>
      </c>
      <c r="P339" t="s">
        <v>4844</v>
      </c>
      <c r="R339">
        <v>1989</v>
      </c>
      <c r="S339">
        <v>840</v>
      </c>
      <c r="U339" t="s">
        <v>4840</v>
      </c>
      <c r="V339">
        <v>2017</v>
      </c>
      <c r="W339">
        <v>80</v>
      </c>
      <c r="X339" s="89">
        <f>ABS(IF(Table2929[[#This Row],[performance_2]]&lt;&gt;"", IF(Table2929[[#This Row],[performance_1]]&lt;&gt;"",(Table2929[[#This Row],[performance_1]]-Table2929[[#This Row],[performance_2]])/Table2929[[#This Row],[performance_1]],""), ""))</f>
        <v>0.8</v>
      </c>
      <c r="Y339" s="55">
        <f>Table2929[[#This Row],[total_cost]]/Table2929[[#This Row],[cfa_post]]</f>
        <v>0.50141666666666662</v>
      </c>
      <c r="Z339" s="55">
        <f>Table2929[[#This Row],[total_cost]]/INDEX(CPI!$A$3:$C$31,MATCH(Table2929[[#This Row],[start_year]],CPI!$A$3:$A$31,0),3)</f>
        <v>522.5780456956345</v>
      </c>
      <c r="AA339" s="55">
        <f>Table2929[[#This Row],[$/sqft]]/INDEX(CPI!$A$3:$C$31,MATCH(Table2929[[#This Row],[start_year]],CPI!$A$3:$A$31,0),3)</f>
        <v>0.6221167210662315</v>
      </c>
      <c r="AB339" s="55" t="s">
        <v>71</v>
      </c>
    </row>
    <row r="340" spans="1:28" x14ac:dyDescent="0.2">
      <c r="A340" t="s">
        <v>5303</v>
      </c>
      <c r="B340">
        <v>5205</v>
      </c>
      <c r="C340">
        <v>13228</v>
      </c>
      <c r="D340" t="s">
        <v>5186</v>
      </c>
      <c r="E340" t="s">
        <v>4832</v>
      </c>
      <c r="F340" t="s">
        <v>5187</v>
      </c>
      <c r="G340" t="s">
        <v>1241</v>
      </c>
      <c r="H340">
        <v>480</v>
      </c>
      <c r="I340" t="s">
        <v>5191</v>
      </c>
      <c r="J340">
        <v>96</v>
      </c>
      <c r="K340" t="s">
        <v>5192</v>
      </c>
      <c r="L340">
        <v>379.44</v>
      </c>
      <c r="M340" t="s">
        <v>4988</v>
      </c>
      <c r="N340" t="s">
        <v>4979</v>
      </c>
      <c r="O340" t="s">
        <v>4972</v>
      </c>
      <c r="P340" t="s">
        <v>4844</v>
      </c>
      <c r="R340">
        <v>1995</v>
      </c>
      <c r="S340">
        <v>1717</v>
      </c>
      <c r="U340" t="s">
        <v>4840</v>
      </c>
      <c r="V340">
        <v>2018</v>
      </c>
      <c r="W340">
        <v>80</v>
      </c>
      <c r="X340" s="89">
        <f>ABS(IF(Table2929[[#This Row],[performance_2]]&lt;&gt;"", IF(Table2929[[#This Row],[performance_1]]&lt;&gt;"",(Table2929[[#This Row],[performance_1]]-Table2929[[#This Row],[performance_2]])/Table2929[[#This Row],[performance_1]],""), ""))</f>
        <v>0.8</v>
      </c>
      <c r="Y340" s="55">
        <f>Table2929[[#This Row],[total_cost]]/Table2929[[#This Row],[cfa_post]]</f>
        <v>0.22099009900990099</v>
      </c>
      <c r="Z340" s="55">
        <f>Table2929[[#This Row],[total_cost]]/INDEX(CPI!$A$3:$C$31,MATCH(Table2929[[#This Row],[start_year]],CPI!$A$3:$A$31,0),3)</f>
        <v>459.5288888888889</v>
      </c>
      <c r="AA340" s="55">
        <f>Table2929[[#This Row],[$/sqft]]/INDEX(CPI!$A$3:$C$31,MATCH(Table2929[[#This Row],[start_year]],CPI!$A$3:$A$31,0),3)</f>
        <v>0.26763476347634768</v>
      </c>
      <c r="AB340" s="55" t="s">
        <v>71</v>
      </c>
    </row>
    <row r="341" spans="1:28" x14ac:dyDescent="0.2">
      <c r="A341" t="s">
        <v>5303</v>
      </c>
      <c r="B341">
        <v>5246</v>
      </c>
      <c r="C341">
        <v>13456</v>
      </c>
      <c r="D341" t="s">
        <v>5186</v>
      </c>
      <c r="E341" t="s">
        <v>4832</v>
      </c>
      <c r="F341" t="s">
        <v>5187</v>
      </c>
      <c r="G341" t="s">
        <v>1241</v>
      </c>
      <c r="H341">
        <v>480</v>
      </c>
      <c r="I341" t="s">
        <v>5191</v>
      </c>
      <c r="J341">
        <v>96</v>
      </c>
      <c r="K341" t="s">
        <v>5192</v>
      </c>
      <c r="L341">
        <v>475.15</v>
      </c>
      <c r="M341" t="s">
        <v>4982</v>
      </c>
      <c r="N341" t="s">
        <v>4979</v>
      </c>
      <c r="O341" t="s">
        <v>4972</v>
      </c>
      <c r="P341" t="s">
        <v>4844</v>
      </c>
      <c r="R341">
        <v>2000</v>
      </c>
      <c r="S341">
        <v>2280</v>
      </c>
      <c r="U341" t="s">
        <v>4840</v>
      </c>
      <c r="V341">
        <v>2018</v>
      </c>
      <c r="W341">
        <v>80</v>
      </c>
      <c r="X341" s="89">
        <f>ABS(IF(Table2929[[#This Row],[performance_2]]&lt;&gt;"", IF(Table2929[[#This Row],[performance_1]]&lt;&gt;"",(Table2929[[#This Row],[performance_1]]-Table2929[[#This Row],[performance_2]])/Table2929[[#This Row],[performance_1]],""), ""))</f>
        <v>0.8</v>
      </c>
      <c r="Y341" s="55">
        <f>Table2929[[#This Row],[total_cost]]/Table2929[[#This Row],[cfa_post]]</f>
        <v>0.20839912280701753</v>
      </c>
      <c r="Z341" s="55">
        <f>Table2929[[#This Row],[total_cost]]/INDEX(CPI!$A$3:$C$31,MATCH(Table2929[[#This Row],[start_year]],CPI!$A$3:$A$31,0),3)</f>
        <v>575.44052170450027</v>
      </c>
      <c r="AA341" s="55">
        <f>Table2929[[#This Row],[$/sqft]]/INDEX(CPI!$A$3:$C$31,MATCH(Table2929[[#This Row],[start_year]],CPI!$A$3:$A$31,0),3)</f>
        <v>0.25238619373004395</v>
      </c>
      <c r="AB341" s="55" t="s">
        <v>71</v>
      </c>
    </row>
    <row r="342" spans="1:28" x14ac:dyDescent="0.2">
      <c r="A342" t="s">
        <v>5303</v>
      </c>
      <c r="B342">
        <v>5256</v>
      </c>
      <c r="C342">
        <v>13512</v>
      </c>
      <c r="D342" t="s">
        <v>5186</v>
      </c>
      <c r="E342" t="s">
        <v>4832</v>
      </c>
      <c r="F342" t="s">
        <v>5187</v>
      </c>
      <c r="G342" t="s">
        <v>1241</v>
      </c>
      <c r="H342">
        <v>480</v>
      </c>
      <c r="I342" t="s">
        <v>5191</v>
      </c>
      <c r="J342">
        <v>96</v>
      </c>
      <c r="K342" t="s">
        <v>5192</v>
      </c>
      <c r="L342">
        <v>1018.51</v>
      </c>
      <c r="M342" t="s">
        <v>4988</v>
      </c>
      <c r="N342" t="s">
        <v>4979</v>
      </c>
      <c r="O342" t="s">
        <v>4972</v>
      </c>
      <c r="P342" t="s">
        <v>1241</v>
      </c>
      <c r="R342">
        <v>2000</v>
      </c>
      <c r="S342">
        <v>2000</v>
      </c>
      <c r="U342" t="s">
        <v>4840</v>
      </c>
      <c r="V342">
        <v>2017</v>
      </c>
      <c r="W342">
        <v>80</v>
      </c>
      <c r="X342" s="89">
        <f>ABS(IF(Table2929[[#This Row],[performance_2]]&lt;&gt;"", IF(Table2929[[#This Row],[performance_1]]&lt;&gt;"",(Table2929[[#This Row],[performance_1]]-Table2929[[#This Row],[performance_2]])/Table2929[[#This Row],[performance_1]],""), ""))</f>
        <v>0.8</v>
      </c>
      <c r="Y342" s="55">
        <f>Table2929[[#This Row],[total_cost]]/Table2929[[#This Row],[cfa_post]]</f>
        <v>0.50925500000000001</v>
      </c>
      <c r="Z342" s="55">
        <f>Table2929[[#This Row],[total_cost]]/INDEX(CPI!$A$3:$C$31,MATCH(Table2929[[#This Row],[start_year]],CPI!$A$3:$A$31,0),3)</f>
        <v>1263.6837658098736</v>
      </c>
      <c r="AA342" s="55">
        <f>Table2929[[#This Row],[$/sqft]]/INDEX(CPI!$A$3:$C$31,MATCH(Table2929[[#This Row],[start_year]],CPI!$A$3:$A$31,0),3)</f>
        <v>0.63184188290493681</v>
      </c>
      <c r="AB342" s="55" t="s">
        <v>71</v>
      </c>
    </row>
    <row r="343" spans="1:28" x14ac:dyDescent="0.2">
      <c r="A343" t="s">
        <v>5303</v>
      </c>
      <c r="B343">
        <v>4032</v>
      </c>
      <c r="C343">
        <v>11136</v>
      </c>
      <c r="D343" t="s">
        <v>5186</v>
      </c>
      <c r="E343" t="s">
        <v>4832</v>
      </c>
      <c r="F343" t="s">
        <v>5187</v>
      </c>
      <c r="G343" t="s">
        <v>1241</v>
      </c>
      <c r="H343">
        <v>551</v>
      </c>
      <c r="I343" t="s">
        <v>5191</v>
      </c>
      <c r="J343">
        <v>110</v>
      </c>
      <c r="K343" t="s">
        <v>5192</v>
      </c>
      <c r="L343">
        <v>632.24</v>
      </c>
      <c r="M343" t="s">
        <v>4974</v>
      </c>
      <c r="N343" t="s">
        <v>4969</v>
      </c>
      <c r="O343" t="s">
        <v>4838</v>
      </c>
      <c r="P343" t="s">
        <v>4844</v>
      </c>
      <c r="R343">
        <v>1995</v>
      </c>
      <c r="S343">
        <v>1320</v>
      </c>
      <c r="U343" t="s">
        <v>4840</v>
      </c>
      <c r="V343">
        <v>2019</v>
      </c>
      <c r="W343">
        <v>80.036297640000001</v>
      </c>
      <c r="X343" s="89">
        <f>ABS(IF(Table2929[[#This Row],[performance_2]]&lt;&gt;"", IF(Table2929[[#This Row],[performance_1]]&lt;&gt;"",(Table2929[[#This Row],[performance_1]]-Table2929[[#This Row],[performance_2]])/Table2929[[#This Row],[performance_1]],""), ""))</f>
        <v>0.80036297640653353</v>
      </c>
      <c r="Y343" s="55">
        <f>Table2929[[#This Row],[total_cost]]/Table2929[[#This Row],[cfa_post]]</f>
        <v>0.47896969696969699</v>
      </c>
      <c r="Z343" s="55">
        <f>Table2929[[#This Row],[total_cost]]/INDEX(CPI!$A$3:$C$31,MATCH(Table2929[[#This Row],[start_year]],CPI!$A$3:$A$31,0),3)</f>
        <v>751.91311693390696</v>
      </c>
      <c r="AA343" s="55">
        <f>Table2929[[#This Row],[$/sqft]]/INDEX(CPI!$A$3:$C$31,MATCH(Table2929[[#This Row],[start_year]],CPI!$A$3:$A$31,0),3)</f>
        <v>0.5696311491923538</v>
      </c>
      <c r="AB343" s="55" t="s">
        <v>71</v>
      </c>
    </row>
    <row r="344" spans="1:28" x14ac:dyDescent="0.2">
      <c r="A344" t="s">
        <v>5303</v>
      </c>
      <c r="B344">
        <v>5163</v>
      </c>
      <c r="C344">
        <v>12995</v>
      </c>
      <c r="D344" t="s">
        <v>5186</v>
      </c>
      <c r="E344" t="s">
        <v>4832</v>
      </c>
      <c r="F344" t="s">
        <v>5187</v>
      </c>
      <c r="G344" t="s">
        <v>1241</v>
      </c>
      <c r="H344">
        <v>176</v>
      </c>
      <c r="I344" t="s">
        <v>5191</v>
      </c>
      <c r="J344">
        <v>35</v>
      </c>
      <c r="K344" t="s">
        <v>5192</v>
      </c>
      <c r="L344">
        <v>1151.8800000000001</v>
      </c>
      <c r="M344" t="s">
        <v>4997</v>
      </c>
      <c r="N344" t="s">
        <v>4979</v>
      </c>
      <c r="O344" t="s">
        <v>4972</v>
      </c>
      <c r="P344" t="s">
        <v>1241</v>
      </c>
      <c r="R344">
        <v>2002</v>
      </c>
      <c r="S344">
        <v>1752</v>
      </c>
      <c r="U344" t="s">
        <v>4840</v>
      </c>
      <c r="V344">
        <v>2018</v>
      </c>
      <c r="W344">
        <v>80.113636360000001</v>
      </c>
      <c r="X344" s="89">
        <f>ABS(IF(Table2929[[#This Row],[performance_2]]&lt;&gt;"", IF(Table2929[[#This Row],[performance_1]]&lt;&gt;"",(Table2929[[#This Row],[performance_1]]-Table2929[[#This Row],[performance_2]])/Table2929[[#This Row],[performance_1]],""), ""))</f>
        <v>0.80113636363636365</v>
      </c>
      <c r="Y344" s="55">
        <f>Table2929[[#This Row],[total_cost]]/Table2929[[#This Row],[cfa_post]]</f>
        <v>0.65746575342465763</v>
      </c>
      <c r="Z344" s="55">
        <f>Table2929[[#This Row],[total_cost]]/INDEX(CPI!$A$3:$C$31,MATCH(Table2929[[#This Row],[start_year]],CPI!$A$3:$A$31,0),3)</f>
        <v>1395.0087933094387</v>
      </c>
      <c r="AA344" s="55">
        <f>Table2929[[#This Row],[$/sqft]]/INDEX(CPI!$A$3:$C$31,MATCH(Table2929[[#This Row],[start_year]],CPI!$A$3:$A$31,0),3)</f>
        <v>0.79623789572456549</v>
      </c>
      <c r="AB344" s="55" t="s">
        <v>71</v>
      </c>
    </row>
    <row r="345" spans="1:28" x14ac:dyDescent="0.2">
      <c r="A345" t="s">
        <v>5303</v>
      </c>
      <c r="B345">
        <v>5058</v>
      </c>
      <c r="C345">
        <v>12359</v>
      </c>
      <c r="D345" t="s">
        <v>5186</v>
      </c>
      <c r="E345" t="s">
        <v>4832</v>
      </c>
      <c r="F345" t="s">
        <v>5187</v>
      </c>
      <c r="G345" t="s">
        <v>1241</v>
      </c>
      <c r="H345">
        <v>1000</v>
      </c>
      <c r="I345" t="s">
        <v>5191</v>
      </c>
      <c r="J345">
        <v>197</v>
      </c>
      <c r="K345" t="s">
        <v>5192</v>
      </c>
      <c r="L345">
        <v>1128.4000000000001</v>
      </c>
      <c r="M345" t="s">
        <v>4981</v>
      </c>
      <c r="N345" t="s">
        <v>4979</v>
      </c>
      <c r="O345" t="s">
        <v>4972</v>
      </c>
      <c r="P345" t="s">
        <v>4844</v>
      </c>
      <c r="R345">
        <v>1998</v>
      </c>
      <c r="S345">
        <v>2000</v>
      </c>
      <c r="U345" t="s">
        <v>4840</v>
      </c>
      <c r="V345">
        <v>2019</v>
      </c>
      <c r="W345">
        <v>80.3</v>
      </c>
      <c r="X345" s="89">
        <f>ABS(IF(Table2929[[#This Row],[performance_2]]&lt;&gt;"", IF(Table2929[[#This Row],[performance_1]]&lt;&gt;"",(Table2929[[#This Row],[performance_1]]-Table2929[[#This Row],[performance_2]])/Table2929[[#This Row],[performance_1]],""), ""))</f>
        <v>0.80300000000000005</v>
      </c>
      <c r="Y345" s="55">
        <f>Table2929[[#This Row],[total_cost]]/Table2929[[#This Row],[cfa_post]]</f>
        <v>0.56420000000000003</v>
      </c>
      <c r="Z345" s="55">
        <f>Table2929[[#This Row],[total_cost]]/INDEX(CPI!$A$3:$C$31,MATCH(Table2929[[#This Row],[start_year]],CPI!$A$3:$A$31,0),3)</f>
        <v>1341.9884239342982</v>
      </c>
      <c r="AA345" s="55">
        <f>Table2929[[#This Row],[$/sqft]]/INDEX(CPI!$A$3:$C$31,MATCH(Table2929[[#This Row],[start_year]],CPI!$A$3:$A$31,0),3)</f>
        <v>0.67099421196714903</v>
      </c>
      <c r="AB345" s="55" t="s">
        <v>71</v>
      </c>
    </row>
    <row r="346" spans="1:28" x14ac:dyDescent="0.2">
      <c r="A346" t="s">
        <v>5303</v>
      </c>
      <c r="B346">
        <v>5068</v>
      </c>
      <c r="C346">
        <v>12416</v>
      </c>
      <c r="D346" t="s">
        <v>5186</v>
      </c>
      <c r="E346" t="s">
        <v>4832</v>
      </c>
      <c r="F346" t="s">
        <v>5187</v>
      </c>
      <c r="G346" t="s">
        <v>1241</v>
      </c>
      <c r="H346">
        <v>390</v>
      </c>
      <c r="I346" t="s">
        <v>5191</v>
      </c>
      <c r="J346">
        <v>76</v>
      </c>
      <c r="K346" t="s">
        <v>5192</v>
      </c>
      <c r="L346">
        <v>1107.4000000000001</v>
      </c>
      <c r="M346" t="s">
        <v>4982</v>
      </c>
      <c r="N346" t="s">
        <v>4979</v>
      </c>
      <c r="O346" t="s">
        <v>4972</v>
      </c>
      <c r="P346" t="s">
        <v>1241</v>
      </c>
      <c r="R346">
        <v>1996</v>
      </c>
      <c r="S346">
        <v>1904</v>
      </c>
      <c r="U346" t="s">
        <v>4840</v>
      </c>
      <c r="V346">
        <v>2019</v>
      </c>
      <c r="W346">
        <v>80.512820509999997</v>
      </c>
      <c r="X346" s="89">
        <f>ABS(IF(Table2929[[#This Row],[performance_2]]&lt;&gt;"", IF(Table2929[[#This Row],[performance_1]]&lt;&gt;"",(Table2929[[#This Row],[performance_1]]-Table2929[[#This Row],[performance_2]])/Table2929[[#This Row],[performance_1]],""), ""))</f>
        <v>0.80512820512820515</v>
      </c>
      <c r="Y346" s="55">
        <f>Table2929[[#This Row],[total_cost]]/Table2929[[#This Row],[cfa_post]]</f>
        <v>0.58161764705882357</v>
      </c>
      <c r="Z346" s="55">
        <f>Table2929[[#This Row],[total_cost]]/INDEX(CPI!$A$3:$C$31,MATCH(Table2929[[#This Row],[start_year]],CPI!$A$3:$A$31,0),3)</f>
        <v>1317.0134532655456</v>
      </c>
      <c r="AA346" s="55">
        <f>Table2929[[#This Row],[$/sqft]]/INDEX(CPI!$A$3:$C$31,MATCH(Table2929[[#This Row],[start_year]],CPI!$A$3:$A$31,0),3)</f>
        <v>0.69170874646299674</v>
      </c>
      <c r="AB346" s="55" t="s">
        <v>71</v>
      </c>
    </row>
    <row r="347" spans="1:28" x14ac:dyDescent="0.2">
      <c r="A347" t="s">
        <v>5303</v>
      </c>
      <c r="B347">
        <v>5025</v>
      </c>
      <c r="C347">
        <v>12154</v>
      </c>
      <c r="D347" t="s">
        <v>5186</v>
      </c>
      <c r="E347" t="s">
        <v>4832</v>
      </c>
      <c r="F347" t="s">
        <v>5187</v>
      </c>
      <c r="G347" t="s">
        <v>1241</v>
      </c>
      <c r="H347">
        <v>430</v>
      </c>
      <c r="I347" t="s">
        <v>5191</v>
      </c>
      <c r="J347">
        <v>82</v>
      </c>
      <c r="K347" t="s">
        <v>5192</v>
      </c>
      <c r="L347">
        <v>1002.26</v>
      </c>
      <c r="M347" t="s">
        <v>4982</v>
      </c>
      <c r="N347" t="s">
        <v>4979</v>
      </c>
      <c r="O347" t="s">
        <v>4972</v>
      </c>
      <c r="P347" t="s">
        <v>1241</v>
      </c>
      <c r="R347">
        <v>2003</v>
      </c>
      <c r="S347">
        <v>1600</v>
      </c>
      <c r="U347" t="s">
        <v>4840</v>
      </c>
      <c r="V347">
        <v>2018</v>
      </c>
      <c r="W347">
        <v>80.930232559999993</v>
      </c>
      <c r="X347" s="89">
        <f>ABS(IF(Table2929[[#This Row],[performance_2]]&lt;&gt;"", IF(Table2929[[#This Row],[performance_1]]&lt;&gt;"",(Table2929[[#This Row],[performance_1]]-Table2929[[#This Row],[performance_2]])/Table2929[[#This Row],[performance_1]],""), ""))</f>
        <v>0.80930232558139537</v>
      </c>
      <c r="Y347" s="55">
        <f>Table2929[[#This Row],[total_cost]]/Table2929[[#This Row],[cfa_post]]</f>
        <v>0.62641250000000004</v>
      </c>
      <c r="Z347" s="55">
        <f>Table2929[[#This Row],[total_cost]]/INDEX(CPI!$A$3:$C$31,MATCH(Table2929[[#This Row],[start_year]],CPI!$A$3:$A$31,0),3)</f>
        <v>1213.8083074472322</v>
      </c>
      <c r="AA347" s="55">
        <f>Table2929[[#This Row],[$/sqft]]/INDEX(CPI!$A$3:$C$31,MATCH(Table2929[[#This Row],[start_year]],CPI!$A$3:$A$31,0),3)</f>
        <v>0.75863019215452021</v>
      </c>
      <c r="AB347" s="55" t="s">
        <v>71</v>
      </c>
    </row>
    <row r="348" spans="1:28" x14ac:dyDescent="0.2">
      <c r="A348" t="s">
        <v>5303</v>
      </c>
      <c r="B348">
        <v>5146</v>
      </c>
      <c r="C348">
        <v>12892</v>
      </c>
      <c r="D348" t="s">
        <v>5186</v>
      </c>
      <c r="E348" t="s">
        <v>4832</v>
      </c>
      <c r="F348" t="s">
        <v>5187</v>
      </c>
      <c r="G348" t="s">
        <v>1241</v>
      </c>
      <c r="H348">
        <v>561</v>
      </c>
      <c r="I348" t="s">
        <v>5191</v>
      </c>
      <c r="J348">
        <v>105</v>
      </c>
      <c r="K348" t="s">
        <v>5192</v>
      </c>
      <c r="L348">
        <v>668.75</v>
      </c>
      <c r="M348" t="s">
        <v>4900</v>
      </c>
      <c r="N348" t="s">
        <v>4979</v>
      </c>
      <c r="O348" t="s">
        <v>4972</v>
      </c>
      <c r="P348" t="s">
        <v>4844</v>
      </c>
      <c r="R348">
        <v>1995</v>
      </c>
      <c r="S348">
        <v>1500</v>
      </c>
      <c r="U348" t="s">
        <v>4840</v>
      </c>
      <c r="V348">
        <v>2019</v>
      </c>
      <c r="W348">
        <v>81.283422459999997</v>
      </c>
      <c r="X348" s="89">
        <f>ABS(IF(Table2929[[#This Row],[performance_2]]&lt;&gt;"", IF(Table2929[[#This Row],[performance_1]]&lt;&gt;"",(Table2929[[#This Row],[performance_1]]-Table2929[[#This Row],[performance_2]])/Table2929[[#This Row],[performance_1]],""), ""))</f>
        <v>0.81283422459893051</v>
      </c>
      <c r="Y348" s="55">
        <f>Table2929[[#This Row],[total_cost]]/Table2929[[#This Row],[cfa_post]]</f>
        <v>0.44583333333333336</v>
      </c>
      <c r="Z348" s="55">
        <f>Table2929[[#This Row],[total_cost]]/INDEX(CPI!$A$3:$C$31,MATCH(Table2929[[#This Row],[start_year]],CPI!$A$3:$A$31,0),3)</f>
        <v>795.33388736800941</v>
      </c>
      <c r="AA348" s="55">
        <f>Table2929[[#This Row],[$/sqft]]/INDEX(CPI!$A$3:$C$31,MATCH(Table2929[[#This Row],[start_year]],CPI!$A$3:$A$31,0),3)</f>
        <v>0.53022259157867302</v>
      </c>
      <c r="AB348" s="55" t="s">
        <v>71</v>
      </c>
    </row>
    <row r="349" spans="1:28" x14ac:dyDescent="0.2">
      <c r="A349" t="s">
        <v>5303</v>
      </c>
      <c r="B349">
        <v>5105</v>
      </c>
      <c r="C349">
        <v>12636</v>
      </c>
      <c r="D349" t="s">
        <v>5186</v>
      </c>
      <c r="E349" t="s">
        <v>4832</v>
      </c>
      <c r="F349" t="s">
        <v>5187</v>
      </c>
      <c r="G349" t="s">
        <v>1241</v>
      </c>
      <c r="H349">
        <v>562</v>
      </c>
      <c r="I349" t="s">
        <v>5191</v>
      </c>
      <c r="J349">
        <v>104</v>
      </c>
      <c r="K349" t="s">
        <v>5192</v>
      </c>
      <c r="L349">
        <v>537.72</v>
      </c>
      <c r="M349" t="s">
        <v>4987</v>
      </c>
      <c r="N349" t="s">
        <v>4979</v>
      </c>
      <c r="O349" t="s">
        <v>4838</v>
      </c>
      <c r="P349" t="s">
        <v>4844</v>
      </c>
      <c r="R349">
        <v>1969</v>
      </c>
      <c r="S349">
        <v>1188</v>
      </c>
      <c r="U349" t="s">
        <v>4840</v>
      </c>
      <c r="V349">
        <v>2018</v>
      </c>
      <c r="W349">
        <v>81.494661919999999</v>
      </c>
      <c r="X349" s="89">
        <f>ABS(IF(Table2929[[#This Row],[performance_2]]&lt;&gt;"", IF(Table2929[[#This Row],[performance_1]]&lt;&gt;"",(Table2929[[#This Row],[performance_1]]-Table2929[[#This Row],[performance_2]])/Table2929[[#This Row],[performance_1]],""), ""))</f>
        <v>0.81494661921708189</v>
      </c>
      <c r="Y349" s="55">
        <f>Table2929[[#This Row],[total_cost]]/Table2929[[#This Row],[cfa_post]]</f>
        <v>0.45262626262626265</v>
      </c>
      <c r="Z349" s="55">
        <f>Table2929[[#This Row],[total_cost]]/INDEX(CPI!$A$3:$C$31,MATCH(Table2929[[#This Row],[start_year]],CPI!$A$3:$A$31,0),3)</f>
        <v>651.21725209080057</v>
      </c>
      <c r="AA349" s="55">
        <f>Table2929[[#This Row],[$/sqft]]/INDEX(CPI!$A$3:$C$31,MATCH(Table2929[[#This Row],[start_year]],CPI!$A$3:$A$31,0),3)</f>
        <v>0.54816267011010145</v>
      </c>
      <c r="AB349" s="55" t="s">
        <v>71</v>
      </c>
    </row>
    <row r="350" spans="1:28" x14ac:dyDescent="0.2">
      <c r="A350" t="s">
        <v>5303</v>
      </c>
      <c r="B350">
        <v>5130</v>
      </c>
      <c r="C350">
        <v>12788</v>
      </c>
      <c r="D350" t="s">
        <v>5186</v>
      </c>
      <c r="E350" t="s">
        <v>4832</v>
      </c>
      <c r="F350" t="s">
        <v>5187</v>
      </c>
      <c r="G350" t="s">
        <v>1241</v>
      </c>
      <c r="H350">
        <v>661</v>
      </c>
      <c r="I350" t="s">
        <v>5191</v>
      </c>
      <c r="J350">
        <v>122</v>
      </c>
      <c r="K350" t="s">
        <v>5192</v>
      </c>
      <c r="L350">
        <v>1084.9000000000001</v>
      </c>
      <c r="M350" t="s">
        <v>4988</v>
      </c>
      <c r="N350" t="s">
        <v>4979</v>
      </c>
      <c r="O350" t="s">
        <v>4972</v>
      </c>
      <c r="P350" t="s">
        <v>1241</v>
      </c>
      <c r="R350">
        <v>1999</v>
      </c>
      <c r="S350">
        <v>1700</v>
      </c>
      <c r="U350" t="s">
        <v>4840</v>
      </c>
      <c r="V350">
        <v>2019</v>
      </c>
      <c r="W350">
        <v>81.543116490000003</v>
      </c>
      <c r="X350" s="89">
        <f>ABS(IF(Table2929[[#This Row],[performance_2]]&lt;&gt;"", IF(Table2929[[#This Row],[performance_1]]&lt;&gt;"",(Table2929[[#This Row],[performance_1]]-Table2929[[#This Row],[performance_2]])/Table2929[[#This Row],[performance_1]],""), ""))</f>
        <v>0.81543116490166412</v>
      </c>
      <c r="Y350" s="55">
        <f>Table2929[[#This Row],[total_cost]]/Table2929[[#This Row],[cfa_post]]</f>
        <v>0.63817647058823535</v>
      </c>
      <c r="Z350" s="55">
        <f>Table2929[[#This Row],[total_cost]]/INDEX(CPI!$A$3:$C$31,MATCH(Table2929[[#This Row],[start_year]],CPI!$A$3:$A$31,0),3)</f>
        <v>1290.2545561204538</v>
      </c>
      <c r="AA350" s="55">
        <f>Table2929[[#This Row],[$/sqft]]/INDEX(CPI!$A$3:$C$31,MATCH(Table2929[[#This Row],[start_year]],CPI!$A$3:$A$31,0),3)</f>
        <v>0.75897326830614931</v>
      </c>
      <c r="AB350" s="55" t="s">
        <v>71</v>
      </c>
    </row>
    <row r="351" spans="1:28" x14ac:dyDescent="0.2">
      <c r="A351" t="s">
        <v>5303</v>
      </c>
      <c r="B351">
        <v>4054</v>
      </c>
      <c r="C351">
        <v>11234</v>
      </c>
      <c r="D351" t="s">
        <v>5186</v>
      </c>
      <c r="E351" t="s">
        <v>4832</v>
      </c>
      <c r="F351" t="s">
        <v>5187</v>
      </c>
      <c r="G351" t="s">
        <v>1241</v>
      </c>
      <c r="H351">
        <v>589</v>
      </c>
      <c r="I351" t="s">
        <v>5191</v>
      </c>
      <c r="J351">
        <v>105</v>
      </c>
      <c r="K351" t="s">
        <v>5192</v>
      </c>
      <c r="L351">
        <v>820.25</v>
      </c>
      <c r="M351" t="s">
        <v>4975</v>
      </c>
      <c r="N351" t="s">
        <v>4969</v>
      </c>
      <c r="O351" t="s">
        <v>4838</v>
      </c>
      <c r="P351" t="s">
        <v>1241</v>
      </c>
      <c r="R351">
        <v>1980</v>
      </c>
      <c r="S351">
        <v>1607</v>
      </c>
      <c r="U351" t="s">
        <v>4840</v>
      </c>
      <c r="V351">
        <v>2019</v>
      </c>
      <c r="W351">
        <v>82.173174869999997</v>
      </c>
      <c r="X351" s="89">
        <f>ABS(IF(Table2929[[#This Row],[performance_2]]&lt;&gt;"", IF(Table2929[[#This Row],[performance_1]]&lt;&gt;"",(Table2929[[#This Row],[performance_1]]-Table2929[[#This Row],[performance_2]])/Table2929[[#This Row],[performance_1]],""), ""))</f>
        <v>0.82173174872665533</v>
      </c>
      <c r="Y351" s="55">
        <f>Table2929[[#This Row],[total_cost]]/Table2929[[#This Row],[cfa_post]]</f>
        <v>0.51042314872433103</v>
      </c>
      <c r="Z351" s="55">
        <f>Table2929[[#This Row],[total_cost]]/INDEX(CPI!$A$3:$C$31,MATCH(Table2929[[#This Row],[start_year]],CPI!$A$3:$A$31,0),3)</f>
        <v>975.51046147829493</v>
      </c>
      <c r="AA351" s="55">
        <f>Table2929[[#This Row],[$/sqft]]/INDEX(CPI!$A$3:$C$31,MATCH(Table2929[[#This Row],[start_year]],CPI!$A$3:$A$31,0),3)</f>
        <v>0.60703824609725876</v>
      </c>
      <c r="AB351" s="55" t="s">
        <v>71</v>
      </c>
    </row>
    <row r="352" spans="1:28" x14ac:dyDescent="0.2">
      <c r="A352" t="s">
        <v>5303</v>
      </c>
      <c r="B352">
        <v>5217</v>
      </c>
      <c r="C352">
        <v>13295</v>
      </c>
      <c r="D352" t="s">
        <v>5186</v>
      </c>
      <c r="E352" t="s">
        <v>4832</v>
      </c>
      <c r="F352" t="s">
        <v>5187</v>
      </c>
      <c r="G352" t="s">
        <v>1241</v>
      </c>
      <c r="H352">
        <v>230</v>
      </c>
      <c r="I352" t="s">
        <v>5191</v>
      </c>
      <c r="J352">
        <v>40</v>
      </c>
      <c r="K352" t="s">
        <v>5192</v>
      </c>
      <c r="L352">
        <v>369.93</v>
      </c>
      <c r="M352" t="s">
        <v>4978</v>
      </c>
      <c r="N352" t="s">
        <v>4979</v>
      </c>
      <c r="O352" t="s">
        <v>4972</v>
      </c>
      <c r="P352" t="s">
        <v>1241</v>
      </c>
      <c r="R352">
        <v>1992</v>
      </c>
      <c r="S352">
        <v>1580</v>
      </c>
      <c r="U352" t="s">
        <v>4840</v>
      </c>
      <c r="V352">
        <v>2018</v>
      </c>
      <c r="W352">
        <v>82.608695650000001</v>
      </c>
      <c r="X352" s="89">
        <f>ABS(IF(Table2929[[#This Row],[performance_2]]&lt;&gt;"", IF(Table2929[[#This Row],[performance_1]]&lt;&gt;"",(Table2929[[#This Row],[performance_1]]-Table2929[[#This Row],[performance_2]])/Table2929[[#This Row],[performance_1]],""), ""))</f>
        <v>0.82608695652173914</v>
      </c>
      <c r="Y352" s="55">
        <f>Table2929[[#This Row],[total_cost]]/Table2929[[#This Row],[cfa_post]]</f>
        <v>0.23413291139240508</v>
      </c>
      <c r="Z352" s="55">
        <f>Table2929[[#This Row],[total_cost]]/INDEX(CPI!$A$3:$C$31,MATCH(Table2929[[#This Row],[start_year]],CPI!$A$3:$A$31,0),3)</f>
        <v>448.01160095579456</v>
      </c>
      <c r="AA352" s="55">
        <f>Table2929[[#This Row],[$/sqft]]/INDEX(CPI!$A$3:$C$31,MATCH(Table2929[[#This Row],[start_year]],CPI!$A$3:$A$31,0),3)</f>
        <v>0.28355164617455353</v>
      </c>
      <c r="AB352" s="55" t="s">
        <v>71</v>
      </c>
    </row>
    <row r="353" spans="1:28" x14ac:dyDescent="0.2">
      <c r="A353" t="s">
        <v>5303</v>
      </c>
      <c r="B353">
        <v>5213</v>
      </c>
      <c r="C353">
        <v>13274</v>
      </c>
      <c r="D353" t="s">
        <v>5186</v>
      </c>
      <c r="E353" t="s">
        <v>4832</v>
      </c>
      <c r="F353" t="s">
        <v>5187</v>
      </c>
      <c r="G353" t="s">
        <v>1241</v>
      </c>
      <c r="H353">
        <v>385</v>
      </c>
      <c r="I353" t="s">
        <v>5191</v>
      </c>
      <c r="J353">
        <v>66</v>
      </c>
      <c r="K353" t="s">
        <v>5192</v>
      </c>
      <c r="L353">
        <v>838.15</v>
      </c>
      <c r="M353" t="s">
        <v>4980</v>
      </c>
      <c r="N353" t="s">
        <v>4979</v>
      </c>
      <c r="O353" t="s">
        <v>4972</v>
      </c>
      <c r="P353" t="s">
        <v>1241</v>
      </c>
      <c r="R353">
        <v>1994</v>
      </c>
      <c r="S353">
        <v>1300</v>
      </c>
      <c r="U353" t="s">
        <v>4840</v>
      </c>
      <c r="V353">
        <v>2018</v>
      </c>
      <c r="W353">
        <v>82.857142859999996</v>
      </c>
      <c r="X353" s="89">
        <f>ABS(IF(Table2929[[#This Row],[performance_2]]&lt;&gt;"", IF(Table2929[[#This Row],[performance_1]]&lt;&gt;"",(Table2929[[#This Row],[performance_1]]-Table2929[[#This Row],[performance_2]])/Table2929[[#This Row],[performance_1]],""), ""))</f>
        <v>0.82857142857142863</v>
      </c>
      <c r="Y353" s="55">
        <f>Table2929[[#This Row],[total_cost]]/Table2929[[#This Row],[cfa_post]]</f>
        <v>0.64473076923076922</v>
      </c>
      <c r="Z353" s="55">
        <f>Table2929[[#This Row],[total_cost]]/INDEX(CPI!$A$3:$C$31,MATCH(Table2929[[#This Row],[start_year]],CPI!$A$3:$A$31,0),3)</f>
        <v>1015.0593986459578</v>
      </c>
      <c r="AA353" s="55">
        <f>Table2929[[#This Row],[$/sqft]]/INDEX(CPI!$A$3:$C$31,MATCH(Table2929[[#This Row],[start_year]],CPI!$A$3:$A$31,0),3)</f>
        <v>0.78081492203535219</v>
      </c>
      <c r="AB353" s="55" t="s">
        <v>71</v>
      </c>
    </row>
    <row r="354" spans="1:28" x14ac:dyDescent="0.2">
      <c r="A354" t="s">
        <v>5303</v>
      </c>
      <c r="B354">
        <v>5036</v>
      </c>
      <c r="C354">
        <v>12223</v>
      </c>
      <c r="D354" t="s">
        <v>5186</v>
      </c>
      <c r="E354" t="s">
        <v>4832</v>
      </c>
      <c r="F354" t="s">
        <v>5187</v>
      </c>
      <c r="G354" t="s">
        <v>1241</v>
      </c>
      <c r="H354">
        <v>317</v>
      </c>
      <c r="I354" t="s">
        <v>5191</v>
      </c>
      <c r="J354">
        <v>54</v>
      </c>
      <c r="K354" t="s">
        <v>5192</v>
      </c>
      <c r="L354">
        <v>1165.96</v>
      </c>
      <c r="M354" t="s">
        <v>4980</v>
      </c>
      <c r="N354" t="s">
        <v>4979</v>
      </c>
      <c r="O354" t="s">
        <v>4972</v>
      </c>
      <c r="P354" t="s">
        <v>1241</v>
      </c>
      <c r="R354">
        <v>2005</v>
      </c>
      <c r="S354">
        <v>1200</v>
      </c>
      <c r="U354" t="s">
        <v>4840</v>
      </c>
      <c r="V354">
        <v>2018</v>
      </c>
      <c r="W354">
        <v>82.965299680000001</v>
      </c>
      <c r="X354" s="89">
        <f>ABS(IF(Table2929[[#This Row],[performance_2]]&lt;&gt;"", IF(Table2929[[#This Row],[performance_1]]&lt;&gt;"",(Table2929[[#This Row],[performance_1]]-Table2929[[#This Row],[performance_2]])/Table2929[[#This Row],[performance_1]],""), ""))</f>
        <v>0.82965299684542582</v>
      </c>
      <c r="Y354" s="55">
        <f>Table2929[[#This Row],[total_cost]]/Table2929[[#This Row],[cfa_post]]</f>
        <v>0.97163333333333335</v>
      </c>
      <c r="Z354" s="55">
        <f>Table2929[[#This Row],[total_cost]]/INDEX(CPI!$A$3:$C$31,MATCH(Table2929[[#This Row],[start_year]],CPI!$A$3:$A$31,0),3)</f>
        <v>1412.0606770211073</v>
      </c>
      <c r="AA354" s="55">
        <f>Table2929[[#This Row],[$/sqft]]/INDEX(CPI!$A$3:$C$31,MATCH(Table2929[[#This Row],[start_year]],CPI!$A$3:$A$31,0),3)</f>
        <v>1.1767172308509228</v>
      </c>
      <c r="AB354" s="55" t="s">
        <v>71</v>
      </c>
    </row>
    <row r="355" spans="1:28" x14ac:dyDescent="0.2">
      <c r="A355" t="s">
        <v>5303</v>
      </c>
      <c r="B355">
        <v>5181</v>
      </c>
      <c r="C355">
        <v>13099</v>
      </c>
      <c r="D355" t="s">
        <v>5186</v>
      </c>
      <c r="E355" t="s">
        <v>4832</v>
      </c>
      <c r="F355" t="s">
        <v>5187</v>
      </c>
      <c r="G355" t="s">
        <v>1241</v>
      </c>
      <c r="H355">
        <v>180</v>
      </c>
      <c r="I355" t="s">
        <v>5191</v>
      </c>
      <c r="J355">
        <v>30</v>
      </c>
      <c r="K355" t="s">
        <v>5192</v>
      </c>
      <c r="L355">
        <v>467.24</v>
      </c>
      <c r="M355" t="s">
        <v>4991</v>
      </c>
      <c r="N355" t="s">
        <v>4979</v>
      </c>
      <c r="O355" t="s">
        <v>4972</v>
      </c>
      <c r="P355" t="s">
        <v>1241</v>
      </c>
      <c r="R355">
        <v>2003</v>
      </c>
      <c r="S355">
        <v>1750</v>
      </c>
      <c r="U355" t="s">
        <v>4840</v>
      </c>
      <c r="V355">
        <v>2017</v>
      </c>
      <c r="W355">
        <v>83.333333330000002</v>
      </c>
      <c r="X355" s="89">
        <f>ABS(IF(Table2929[[#This Row],[performance_2]]&lt;&gt;"", IF(Table2929[[#This Row],[performance_1]]&lt;&gt;"",(Table2929[[#This Row],[performance_1]]-Table2929[[#This Row],[performance_2]])/Table2929[[#This Row],[performance_1]],""), ""))</f>
        <v>0.83333333333333337</v>
      </c>
      <c r="Y355" s="55">
        <f>Table2929[[#This Row],[total_cost]]/Table2929[[#This Row],[cfa_post]]</f>
        <v>0.26699428571428574</v>
      </c>
      <c r="Z355" s="55">
        <f>Table2929[[#This Row],[total_cost]]/INDEX(CPI!$A$3:$C$31,MATCH(Table2929[[#This Row],[start_year]],CPI!$A$3:$A$31,0),3)</f>
        <v>579.71311301509593</v>
      </c>
      <c r="AA355" s="55">
        <f>Table2929[[#This Row],[$/sqft]]/INDEX(CPI!$A$3:$C$31,MATCH(Table2929[[#This Row],[start_year]],CPI!$A$3:$A$31,0),3)</f>
        <v>0.33126463600862627</v>
      </c>
      <c r="AB355" s="55" t="s">
        <v>71</v>
      </c>
    </row>
    <row r="356" spans="1:28" x14ac:dyDescent="0.2">
      <c r="A356" t="s">
        <v>5303</v>
      </c>
      <c r="B356">
        <v>5240</v>
      </c>
      <c r="C356">
        <v>13421</v>
      </c>
      <c r="D356" t="s">
        <v>5186</v>
      </c>
      <c r="E356" t="s">
        <v>4832</v>
      </c>
      <c r="F356" t="s">
        <v>5187</v>
      </c>
      <c r="G356" t="s">
        <v>1241</v>
      </c>
      <c r="H356">
        <v>466</v>
      </c>
      <c r="I356" t="s">
        <v>5191</v>
      </c>
      <c r="J356">
        <v>76</v>
      </c>
      <c r="K356" t="s">
        <v>5192</v>
      </c>
      <c r="L356">
        <v>354.7</v>
      </c>
      <c r="M356" t="s">
        <v>4978</v>
      </c>
      <c r="N356" t="s">
        <v>4979</v>
      </c>
      <c r="O356" t="s">
        <v>4972</v>
      </c>
      <c r="P356" t="s">
        <v>1241</v>
      </c>
      <c r="R356">
        <v>1998</v>
      </c>
      <c r="S356">
        <v>990</v>
      </c>
      <c r="U356" t="s">
        <v>4840</v>
      </c>
      <c r="V356">
        <v>2018</v>
      </c>
      <c r="W356">
        <v>83.690987120000003</v>
      </c>
      <c r="X356" s="89">
        <f>ABS(IF(Table2929[[#This Row],[performance_2]]&lt;&gt;"", IF(Table2929[[#This Row],[performance_1]]&lt;&gt;"",(Table2929[[#This Row],[performance_1]]-Table2929[[#This Row],[performance_2]])/Table2929[[#This Row],[performance_1]],""), ""))</f>
        <v>0.83690987124463523</v>
      </c>
      <c r="Y356" s="55">
        <f>Table2929[[#This Row],[total_cost]]/Table2929[[#This Row],[cfa_post]]</f>
        <v>0.35828282828282826</v>
      </c>
      <c r="Z356" s="55">
        <f>Table2929[[#This Row],[total_cost]]/INDEX(CPI!$A$3:$C$31,MATCH(Table2929[[#This Row],[start_year]],CPI!$A$3:$A$31,0),3)</f>
        <v>429.56698526483473</v>
      </c>
      <c r="AA356" s="55">
        <f>Table2929[[#This Row],[$/sqft]]/INDEX(CPI!$A$3:$C$31,MATCH(Table2929[[#This Row],[start_year]],CPI!$A$3:$A$31,0),3)</f>
        <v>0.43390604572205527</v>
      </c>
      <c r="AB356" s="55" t="s">
        <v>71</v>
      </c>
    </row>
    <row r="357" spans="1:28" x14ac:dyDescent="0.2">
      <c r="A357" t="s">
        <v>5303</v>
      </c>
      <c r="B357">
        <v>5053</v>
      </c>
      <c r="C357">
        <v>12327</v>
      </c>
      <c r="D357" t="s">
        <v>5186</v>
      </c>
      <c r="E357" t="s">
        <v>4832</v>
      </c>
      <c r="F357" t="s">
        <v>5187</v>
      </c>
      <c r="G357" t="s">
        <v>1241</v>
      </c>
      <c r="H357">
        <v>561</v>
      </c>
      <c r="I357" t="s">
        <v>5191</v>
      </c>
      <c r="J357">
        <v>91</v>
      </c>
      <c r="K357" t="s">
        <v>5192</v>
      </c>
      <c r="L357">
        <v>2082.5</v>
      </c>
      <c r="M357" t="s">
        <v>4981</v>
      </c>
      <c r="N357" t="s">
        <v>4979</v>
      </c>
      <c r="O357" t="s">
        <v>4838</v>
      </c>
      <c r="P357" t="s">
        <v>1241</v>
      </c>
      <c r="R357">
        <v>1988</v>
      </c>
      <c r="S357">
        <v>1200</v>
      </c>
      <c r="U357" t="s">
        <v>4840</v>
      </c>
      <c r="V357">
        <v>2019</v>
      </c>
      <c r="W357">
        <v>83.778966130000001</v>
      </c>
      <c r="X357" s="89">
        <f>ABS(IF(Table2929[[#This Row],[performance_2]]&lt;&gt;"", IF(Table2929[[#This Row],[performance_1]]&lt;&gt;"",(Table2929[[#This Row],[performance_1]]-Table2929[[#This Row],[performance_2]])/Table2929[[#This Row],[performance_1]],""), ""))</f>
        <v>0.83778966131907306</v>
      </c>
      <c r="Y357" s="55">
        <f>Table2929[[#This Row],[total_cost]]/Table2929[[#This Row],[cfa_post]]</f>
        <v>1.7354166666666666</v>
      </c>
      <c r="Z357" s="55">
        <f>Table2929[[#This Row],[total_cost]]/INDEX(CPI!$A$3:$C$31,MATCH(Table2929[[#This Row],[start_year]],CPI!$A$3:$A$31,0),3)</f>
        <v>2476.6845913179509</v>
      </c>
      <c r="AA357" s="55">
        <f>Table2929[[#This Row],[$/sqft]]/INDEX(CPI!$A$3:$C$31,MATCH(Table2929[[#This Row],[start_year]],CPI!$A$3:$A$31,0),3)</f>
        <v>2.0639038260982923</v>
      </c>
      <c r="AB357" s="55" t="s">
        <v>71</v>
      </c>
    </row>
    <row r="358" spans="1:28" x14ac:dyDescent="0.2">
      <c r="A358" t="s">
        <v>5303</v>
      </c>
      <c r="B358">
        <v>5085</v>
      </c>
      <c r="C358">
        <v>12516</v>
      </c>
      <c r="D358" t="s">
        <v>5186</v>
      </c>
      <c r="E358" t="s">
        <v>4832</v>
      </c>
      <c r="F358" t="s">
        <v>5187</v>
      </c>
      <c r="G358" t="s">
        <v>1241</v>
      </c>
      <c r="H358">
        <v>800</v>
      </c>
      <c r="I358" t="s">
        <v>5191</v>
      </c>
      <c r="J358">
        <v>129</v>
      </c>
      <c r="K358" t="s">
        <v>5192</v>
      </c>
      <c r="L358">
        <v>943.7</v>
      </c>
      <c r="M358" t="s">
        <v>4991</v>
      </c>
      <c r="N358" t="s">
        <v>4979</v>
      </c>
      <c r="O358" t="s">
        <v>4838</v>
      </c>
      <c r="P358" t="s">
        <v>4844</v>
      </c>
      <c r="R358">
        <v>1890</v>
      </c>
      <c r="S358">
        <v>1890</v>
      </c>
      <c r="U358" t="s">
        <v>4840</v>
      </c>
      <c r="V358">
        <v>2019</v>
      </c>
      <c r="W358">
        <v>83.875</v>
      </c>
      <c r="X358" s="89">
        <f>ABS(IF(Table2929[[#This Row],[performance_2]]&lt;&gt;"", IF(Table2929[[#This Row],[performance_1]]&lt;&gt;"",(Table2929[[#This Row],[performance_1]]-Table2929[[#This Row],[performance_2]])/Table2929[[#This Row],[performance_1]],""), ""))</f>
        <v>0.83875</v>
      </c>
      <c r="Y358" s="55">
        <f>Table2929[[#This Row],[total_cost]]/Table2929[[#This Row],[cfa_post]]</f>
        <v>0.49931216931216932</v>
      </c>
      <c r="Z358" s="55">
        <f>Table2929[[#This Row],[total_cost]]/INDEX(CPI!$A$3:$C$31,MATCH(Table2929[[#This Row],[start_year]],CPI!$A$3:$A$31,0),3)</f>
        <v>1122.3276104810325</v>
      </c>
      <c r="AA358" s="55">
        <f>Table2929[[#This Row],[$/sqft]]/INDEX(CPI!$A$3:$C$31,MATCH(Table2929[[#This Row],[start_year]],CPI!$A$3:$A$31,0),3)</f>
        <v>0.59382413252964683</v>
      </c>
      <c r="AB358" s="55" t="s">
        <v>71</v>
      </c>
    </row>
    <row r="359" spans="1:28" x14ac:dyDescent="0.2">
      <c r="A359" t="s">
        <v>5303</v>
      </c>
      <c r="B359">
        <v>5029</v>
      </c>
      <c r="C359">
        <v>12182</v>
      </c>
      <c r="D359" t="s">
        <v>5186</v>
      </c>
      <c r="E359" t="s">
        <v>4832</v>
      </c>
      <c r="F359" t="s">
        <v>5187</v>
      </c>
      <c r="G359" t="s">
        <v>1241</v>
      </c>
      <c r="H359">
        <v>621</v>
      </c>
      <c r="I359" t="s">
        <v>5191</v>
      </c>
      <c r="J359">
        <v>100</v>
      </c>
      <c r="K359" t="s">
        <v>5192</v>
      </c>
      <c r="L359">
        <v>457.08</v>
      </c>
      <c r="M359" t="s">
        <v>4980</v>
      </c>
      <c r="N359" t="s">
        <v>4979</v>
      </c>
      <c r="O359" t="s">
        <v>4838</v>
      </c>
      <c r="P359" t="s">
        <v>4844</v>
      </c>
      <c r="R359">
        <v>1995</v>
      </c>
      <c r="S359">
        <v>1188</v>
      </c>
      <c r="U359" t="s">
        <v>4840</v>
      </c>
      <c r="V359">
        <v>2017</v>
      </c>
      <c r="W359">
        <v>83.896940420000007</v>
      </c>
      <c r="X359" s="89">
        <f>ABS(IF(Table2929[[#This Row],[performance_2]]&lt;&gt;"", IF(Table2929[[#This Row],[performance_1]]&lt;&gt;"",(Table2929[[#This Row],[performance_1]]-Table2929[[#This Row],[performance_2]])/Table2929[[#This Row],[performance_1]],""), ""))</f>
        <v>0.83896940418679544</v>
      </c>
      <c r="Y359" s="55">
        <f>Table2929[[#This Row],[total_cost]]/Table2929[[#This Row],[cfa_post]]</f>
        <v>0.38474747474747473</v>
      </c>
      <c r="Z359" s="55">
        <f>Table2929[[#This Row],[total_cost]]/INDEX(CPI!$A$3:$C$31,MATCH(Table2929[[#This Row],[start_year]],CPI!$A$3:$A$31,0),3)</f>
        <v>567.10741738066099</v>
      </c>
      <c r="AA359" s="55">
        <f>Table2929[[#This Row],[$/sqft]]/INDEX(CPI!$A$3:$C$31,MATCH(Table2929[[#This Row],[start_year]],CPI!$A$3:$A$31,0),3)</f>
        <v>0.4773631459433173</v>
      </c>
      <c r="AB359" s="55" t="s">
        <v>71</v>
      </c>
    </row>
    <row r="360" spans="1:28" x14ac:dyDescent="0.2">
      <c r="A360" t="s">
        <v>5303</v>
      </c>
      <c r="B360">
        <v>5088</v>
      </c>
      <c r="C360">
        <v>12536</v>
      </c>
      <c r="D360" t="s">
        <v>5186</v>
      </c>
      <c r="E360" t="s">
        <v>4832</v>
      </c>
      <c r="F360" t="s">
        <v>5187</v>
      </c>
      <c r="G360" t="s">
        <v>1241</v>
      </c>
      <c r="H360">
        <v>400</v>
      </c>
      <c r="I360" t="s">
        <v>5191</v>
      </c>
      <c r="J360">
        <v>63</v>
      </c>
      <c r="K360" t="s">
        <v>5192</v>
      </c>
      <c r="L360">
        <v>673.2</v>
      </c>
      <c r="M360" t="s">
        <v>4980</v>
      </c>
      <c r="N360" t="s">
        <v>4979</v>
      </c>
      <c r="O360" t="s">
        <v>4838</v>
      </c>
      <c r="P360" t="s">
        <v>1241</v>
      </c>
      <c r="R360">
        <v>1978</v>
      </c>
      <c r="S360">
        <v>1950</v>
      </c>
      <c r="U360" t="s">
        <v>4840</v>
      </c>
      <c r="V360">
        <v>2019</v>
      </c>
      <c r="W360">
        <v>84.25</v>
      </c>
      <c r="X360" s="89">
        <f>ABS(IF(Table2929[[#This Row],[performance_2]]&lt;&gt;"", IF(Table2929[[#This Row],[performance_1]]&lt;&gt;"",(Table2929[[#This Row],[performance_1]]-Table2929[[#This Row],[performance_2]])/Table2929[[#This Row],[performance_1]],""), ""))</f>
        <v>0.84250000000000003</v>
      </c>
      <c r="Y360" s="55">
        <f>Table2929[[#This Row],[total_cost]]/Table2929[[#This Row],[cfa_post]]</f>
        <v>0.34523076923076923</v>
      </c>
      <c r="Z360" s="55">
        <f>Table2929[[#This Row],[total_cost]]/INDEX(CPI!$A$3:$C$31,MATCH(Table2929[[#This Row],[start_year]],CPI!$A$3:$A$31,0),3)</f>
        <v>800.62620258114987</v>
      </c>
      <c r="AA360" s="55">
        <f>Table2929[[#This Row],[$/sqft]]/INDEX(CPI!$A$3:$C$31,MATCH(Table2929[[#This Row],[start_year]],CPI!$A$3:$A$31,0),3)</f>
        <v>0.41057753978520506</v>
      </c>
      <c r="AB360" s="55" t="s">
        <v>71</v>
      </c>
    </row>
    <row r="361" spans="1:28" x14ac:dyDescent="0.2">
      <c r="A361" t="s">
        <v>5303</v>
      </c>
      <c r="B361">
        <v>4037</v>
      </c>
      <c r="C361">
        <v>11161</v>
      </c>
      <c r="D361" t="s">
        <v>5186</v>
      </c>
      <c r="E361" t="s">
        <v>4832</v>
      </c>
      <c r="F361" t="s">
        <v>5187</v>
      </c>
      <c r="G361" t="s">
        <v>1241</v>
      </c>
      <c r="H361">
        <v>560</v>
      </c>
      <c r="I361" t="s">
        <v>5191</v>
      </c>
      <c r="J361">
        <v>88</v>
      </c>
      <c r="K361" t="s">
        <v>5192</v>
      </c>
      <c r="L361">
        <v>545.6</v>
      </c>
      <c r="M361" t="s">
        <v>4974</v>
      </c>
      <c r="N361" t="s">
        <v>4969</v>
      </c>
      <c r="O361" t="s">
        <v>4838</v>
      </c>
      <c r="P361" t="s">
        <v>1241</v>
      </c>
      <c r="R361">
        <v>1949</v>
      </c>
      <c r="S361">
        <v>900</v>
      </c>
      <c r="U361" t="s">
        <v>4840</v>
      </c>
      <c r="V361">
        <v>2020</v>
      </c>
      <c r="W361">
        <v>84.285714290000001</v>
      </c>
      <c r="X361" s="89">
        <f>ABS(IF(Table2929[[#This Row],[performance_2]]&lt;&gt;"", IF(Table2929[[#This Row],[performance_1]]&lt;&gt;"",(Table2929[[#This Row],[performance_1]]-Table2929[[#This Row],[performance_2]])/Table2929[[#This Row],[performance_1]],""), ""))</f>
        <v>0.84285714285714286</v>
      </c>
      <c r="Y361" s="55">
        <f>Table2929[[#This Row],[total_cost]]/Table2929[[#This Row],[cfa_post]]</f>
        <v>0.60622222222222222</v>
      </c>
      <c r="Z361" s="55">
        <f>Table2929[[#This Row],[total_cost]]/INDEX(CPI!$A$3:$C$31,MATCH(Table2929[[#This Row],[start_year]],CPI!$A$3:$A$31,0),3)</f>
        <v>641.10108191653796</v>
      </c>
      <c r="AA361" s="55">
        <f>Table2929[[#This Row],[$/sqft]]/INDEX(CPI!$A$3:$C$31,MATCH(Table2929[[#This Row],[start_year]],CPI!$A$3:$A$31,0),3)</f>
        <v>0.71233453546281988</v>
      </c>
      <c r="AB361" s="55" t="s">
        <v>71</v>
      </c>
    </row>
    <row r="362" spans="1:28" x14ac:dyDescent="0.2">
      <c r="A362" t="s">
        <v>5303</v>
      </c>
      <c r="B362">
        <v>5171</v>
      </c>
      <c r="C362">
        <v>13044</v>
      </c>
      <c r="D362" t="s">
        <v>5186</v>
      </c>
      <c r="E362" t="s">
        <v>4832</v>
      </c>
      <c r="F362" t="s">
        <v>5187</v>
      </c>
      <c r="G362" t="s">
        <v>1241</v>
      </c>
      <c r="H362">
        <v>362</v>
      </c>
      <c r="I362" t="s">
        <v>5191</v>
      </c>
      <c r="J362">
        <v>56</v>
      </c>
      <c r="K362" t="s">
        <v>5192</v>
      </c>
      <c r="L362">
        <v>1177.45</v>
      </c>
      <c r="M362" t="s">
        <v>4997</v>
      </c>
      <c r="N362" t="s">
        <v>4979</v>
      </c>
      <c r="O362" t="s">
        <v>4972</v>
      </c>
      <c r="P362" t="s">
        <v>4844</v>
      </c>
      <c r="R362">
        <v>2000</v>
      </c>
      <c r="S362">
        <v>1500</v>
      </c>
      <c r="U362" t="s">
        <v>4840</v>
      </c>
      <c r="V362">
        <v>2018</v>
      </c>
      <c r="W362">
        <v>84.530386739999997</v>
      </c>
      <c r="X362" s="89">
        <f>ABS(IF(Table2929[[#This Row],[performance_2]]&lt;&gt;"", IF(Table2929[[#This Row],[performance_1]]&lt;&gt;"",(Table2929[[#This Row],[performance_1]]-Table2929[[#This Row],[performance_2]])/Table2929[[#This Row],[performance_1]],""), ""))</f>
        <v>0.84530386740331487</v>
      </c>
      <c r="Y362" s="55">
        <f>Table2929[[#This Row],[total_cost]]/Table2929[[#This Row],[cfa_post]]</f>
        <v>0.7849666666666667</v>
      </c>
      <c r="Z362" s="55">
        <f>Table2929[[#This Row],[total_cost]]/INDEX(CPI!$A$3:$C$31,MATCH(Table2929[[#This Row],[start_year]],CPI!$A$3:$A$31,0),3)</f>
        <v>1425.9758861011551</v>
      </c>
      <c r="AA362" s="55">
        <f>Table2929[[#This Row],[$/sqft]]/INDEX(CPI!$A$3:$C$31,MATCH(Table2929[[#This Row],[start_year]],CPI!$A$3:$A$31,0),3)</f>
        <v>0.95065059073410341</v>
      </c>
      <c r="AB362" s="55" t="s">
        <v>71</v>
      </c>
    </row>
    <row r="363" spans="1:28" x14ac:dyDescent="0.2">
      <c r="A363" t="s">
        <v>5303</v>
      </c>
      <c r="B363">
        <v>5082</v>
      </c>
      <c r="C363">
        <v>12500</v>
      </c>
      <c r="D363" t="s">
        <v>5186</v>
      </c>
      <c r="E363" t="s">
        <v>4832</v>
      </c>
      <c r="F363" t="s">
        <v>5187</v>
      </c>
      <c r="G363" t="s">
        <v>1241</v>
      </c>
      <c r="H363">
        <v>700</v>
      </c>
      <c r="I363" t="s">
        <v>5191</v>
      </c>
      <c r="J363">
        <v>106</v>
      </c>
      <c r="K363" t="s">
        <v>5192</v>
      </c>
      <c r="L363">
        <v>949.2</v>
      </c>
      <c r="M363" t="s">
        <v>4980</v>
      </c>
      <c r="N363" t="s">
        <v>4979</v>
      </c>
      <c r="O363" t="s">
        <v>4838</v>
      </c>
      <c r="P363" t="s">
        <v>4844</v>
      </c>
      <c r="R363">
        <v>1970</v>
      </c>
      <c r="S363">
        <v>1000</v>
      </c>
      <c r="U363" t="s">
        <v>4840</v>
      </c>
      <c r="V363">
        <v>2019</v>
      </c>
      <c r="W363">
        <v>84.857142859999996</v>
      </c>
      <c r="X363" s="89">
        <f>ABS(IF(Table2929[[#This Row],[performance_2]]&lt;&gt;"", IF(Table2929[[#This Row],[performance_1]]&lt;&gt;"",(Table2929[[#This Row],[performance_1]]-Table2929[[#This Row],[performance_2]])/Table2929[[#This Row],[performance_1]],""), ""))</f>
        <v>0.84857142857142853</v>
      </c>
      <c r="Y363" s="55">
        <f>Table2929[[#This Row],[total_cost]]/Table2929[[#This Row],[cfa_post]]</f>
        <v>0.94920000000000004</v>
      </c>
      <c r="Z363" s="55">
        <f>Table2929[[#This Row],[total_cost]]/INDEX(CPI!$A$3:$C$31,MATCH(Table2929[[#This Row],[start_year]],CPI!$A$3:$A$31,0),3)</f>
        <v>1128.8686742276107</v>
      </c>
      <c r="AA363" s="55">
        <f>Table2929[[#This Row],[$/sqft]]/INDEX(CPI!$A$3:$C$31,MATCH(Table2929[[#This Row],[start_year]],CPI!$A$3:$A$31,0),3)</f>
        <v>1.1288686742276106</v>
      </c>
      <c r="AB363" s="55" t="s">
        <v>71</v>
      </c>
    </row>
    <row r="364" spans="1:28" x14ac:dyDescent="0.2">
      <c r="A364" t="s">
        <v>5303</v>
      </c>
      <c r="B364">
        <v>5258</v>
      </c>
      <c r="C364">
        <v>13523</v>
      </c>
      <c r="D364" t="s">
        <v>5186</v>
      </c>
      <c r="E364" t="s">
        <v>4832</v>
      </c>
      <c r="F364" t="s">
        <v>5187</v>
      </c>
      <c r="G364" t="s">
        <v>1241</v>
      </c>
      <c r="H364">
        <v>374</v>
      </c>
      <c r="I364" t="s">
        <v>5191</v>
      </c>
      <c r="J364">
        <v>55</v>
      </c>
      <c r="K364" t="s">
        <v>5192</v>
      </c>
      <c r="L364">
        <v>285.60000000000002</v>
      </c>
      <c r="M364" t="s">
        <v>4981</v>
      </c>
      <c r="N364" t="s">
        <v>4979</v>
      </c>
      <c r="O364" t="s">
        <v>4972</v>
      </c>
      <c r="P364" t="s">
        <v>4844</v>
      </c>
      <c r="R364">
        <v>2006</v>
      </c>
      <c r="S364">
        <v>1430</v>
      </c>
      <c r="U364" t="s">
        <v>4840</v>
      </c>
      <c r="V364">
        <v>2018</v>
      </c>
      <c r="W364">
        <v>85.294117650000004</v>
      </c>
      <c r="X364" s="89">
        <f>ABS(IF(Table2929[[#This Row],[performance_2]]&lt;&gt;"", IF(Table2929[[#This Row],[performance_1]]&lt;&gt;"",(Table2929[[#This Row],[performance_1]]-Table2929[[#This Row],[performance_2]])/Table2929[[#This Row],[performance_1]],""), ""))</f>
        <v>0.8529411764705882</v>
      </c>
      <c r="Y364" s="55">
        <f>Table2929[[#This Row],[total_cost]]/Table2929[[#This Row],[cfa_post]]</f>
        <v>0.19972027972027973</v>
      </c>
      <c r="Z364" s="55">
        <f>Table2929[[#This Row],[total_cost]]/INDEX(CPI!$A$3:$C$31,MATCH(Table2929[[#This Row],[start_year]],CPI!$A$3:$A$31,0),3)</f>
        <v>345.88195937873365</v>
      </c>
      <c r="AA364" s="55">
        <f>Table2929[[#This Row],[$/sqft]]/INDEX(CPI!$A$3:$C$31,MATCH(Table2929[[#This Row],[start_year]],CPI!$A$3:$A$31,0),3)</f>
        <v>0.24187549606904449</v>
      </c>
      <c r="AB364" s="55" t="s">
        <v>71</v>
      </c>
    </row>
    <row r="365" spans="1:28" x14ac:dyDescent="0.2">
      <c r="A365" t="s">
        <v>5303</v>
      </c>
      <c r="B365">
        <v>5245</v>
      </c>
      <c r="C365">
        <v>13450</v>
      </c>
      <c r="D365" t="s">
        <v>5186</v>
      </c>
      <c r="E365" t="s">
        <v>4832</v>
      </c>
      <c r="F365" t="s">
        <v>5187</v>
      </c>
      <c r="G365" t="s">
        <v>1241</v>
      </c>
      <c r="H365">
        <v>785</v>
      </c>
      <c r="I365" t="s">
        <v>5191</v>
      </c>
      <c r="J365">
        <v>112</v>
      </c>
      <c r="K365" t="s">
        <v>5192</v>
      </c>
      <c r="L365">
        <v>3100</v>
      </c>
      <c r="M365" t="s">
        <v>4984</v>
      </c>
      <c r="N365" t="s">
        <v>4979</v>
      </c>
      <c r="O365" t="s">
        <v>4838</v>
      </c>
      <c r="P365" t="s">
        <v>1241</v>
      </c>
      <c r="R365">
        <v>1970</v>
      </c>
      <c r="S365">
        <v>1470</v>
      </c>
      <c r="U365" t="s">
        <v>4840</v>
      </c>
      <c r="V365">
        <v>2017</v>
      </c>
      <c r="W365">
        <v>85.732484080000006</v>
      </c>
      <c r="X365" s="89">
        <f>ABS(IF(Table2929[[#This Row],[performance_2]]&lt;&gt;"", IF(Table2929[[#This Row],[performance_1]]&lt;&gt;"",(Table2929[[#This Row],[performance_1]]-Table2929[[#This Row],[performance_2]])/Table2929[[#This Row],[performance_1]],""), ""))</f>
        <v>0.85732484076433124</v>
      </c>
      <c r="Y365" s="55">
        <f>Table2929[[#This Row],[total_cost]]/Table2929[[#This Row],[cfa_post]]</f>
        <v>2.1088435374149661</v>
      </c>
      <c r="Z365" s="55">
        <f>Table2929[[#This Row],[total_cost]]/INDEX(CPI!$A$3:$C$31,MATCH(Table2929[[#This Row],[start_year]],CPI!$A$3:$A$31,0),3)</f>
        <v>3846.226030191759</v>
      </c>
      <c r="AA365" s="55">
        <f>Table2929[[#This Row],[$/sqft]]/INDEX(CPI!$A$3:$C$31,MATCH(Table2929[[#This Row],[start_year]],CPI!$A$3:$A$31,0),3)</f>
        <v>2.6164802926474553</v>
      </c>
      <c r="AB365" s="55" t="s">
        <v>71</v>
      </c>
    </row>
    <row r="366" spans="1:28" x14ac:dyDescent="0.2">
      <c r="A366" t="s">
        <v>5303</v>
      </c>
      <c r="B366">
        <v>5201</v>
      </c>
      <c r="C366">
        <v>13209</v>
      </c>
      <c r="D366" t="s">
        <v>5186</v>
      </c>
      <c r="E366" t="s">
        <v>4832</v>
      </c>
      <c r="F366" t="s">
        <v>5187</v>
      </c>
      <c r="G366" t="s">
        <v>1241</v>
      </c>
      <c r="H366">
        <v>297</v>
      </c>
      <c r="I366" t="s">
        <v>5191</v>
      </c>
      <c r="J366">
        <v>42</v>
      </c>
      <c r="K366" t="s">
        <v>5192</v>
      </c>
      <c r="L366">
        <v>606.79999999999995</v>
      </c>
      <c r="M366" t="s">
        <v>4997</v>
      </c>
      <c r="N366" t="s">
        <v>4979</v>
      </c>
      <c r="O366" t="s">
        <v>4838</v>
      </c>
      <c r="P366" t="s">
        <v>4844</v>
      </c>
      <c r="R366">
        <v>1900</v>
      </c>
      <c r="S366">
        <v>1600</v>
      </c>
      <c r="U366" t="s">
        <v>4840</v>
      </c>
      <c r="V366">
        <v>2018</v>
      </c>
      <c r="W366">
        <v>85.858585860000005</v>
      </c>
      <c r="X366" s="89">
        <f>ABS(IF(Table2929[[#This Row],[performance_2]]&lt;&gt;"", IF(Table2929[[#This Row],[performance_1]]&lt;&gt;"",(Table2929[[#This Row],[performance_1]]-Table2929[[#This Row],[performance_2]])/Table2929[[#This Row],[performance_1]],""), ""))</f>
        <v>0.85858585858585856</v>
      </c>
      <c r="Y366" s="55">
        <f>Table2929[[#This Row],[total_cost]]/Table2929[[#This Row],[cfa_post]]</f>
        <v>0.37924999999999998</v>
      </c>
      <c r="Z366" s="55">
        <f>Table2929[[#This Row],[total_cost]]/INDEX(CPI!$A$3:$C$31,MATCH(Table2929[[#This Row],[start_year]],CPI!$A$3:$A$31,0),3)</f>
        <v>734.87805655117484</v>
      </c>
      <c r="AA366" s="55">
        <f>Table2929[[#This Row],[$/sqft]]/INDEX(CPI!$A$3:$C$31,MATCH(Table2929[[#This Row],[start_year]],CPI!$A$3:$A$31,0),3)</f>
        <v>0.45929878534448426</v>
      </c>
      <c r="AB366" s="55" t="s">
        <v>71</v>
      </c>
    </row>
    <row r="367" spans="1:28" x14ac:dyDescent="0.2">
      <c r="A367" t="s">
        <v>5303</v>
      </c>
      <c r="B367">
        <v>5265</v>
      </c>
      <c r="C367">
        <v>13558</v>
      </c>
      <c r="D367" t="s">
        <v>5186</v>
      </c>
      <c r="E367" t="s">
        <v>4832</v>
      </c>
      <c r="F367" t="s">
        <v>5187</v>
      </c>
      <c r="G367" t="s">
        <v>1241</v>
      </c>
      <c r="H367">
        <v>500</v>
      </c>
      <c r="I367" t="s">
        <v>5191</v>
      </c>
      <c r="J367">
        <v>70</v>
      </c>
      <c r="K367" t="s">
        <v>5192</v>
      </c>
      <c r="L367">
        <v>458.51</v>
      </c>
      <c r="M367" t="s">
        <v>4982</v>
      </c>
      <c r="N367" t="s">
        <v>4979</v>
      </c>
      <c r="O367" t="s">
        <v>4972</v>
      </c>
      <c r="P367" t="s">
        <v>4844</v>
      </c>
      <c r="R367">
        <v>1994</v>
      </c>
      <c r="S367">
        <v>1690</v>
      </c>
      <c r="U367" t="s">
        <v>4840</v>
      </c>
      <c r="V367">
        <v>2018</v>
      </c>
      <c r="W367">
        <v>86</v>
      </c>
      <c r="X367" s="89">
        <f>ABS(IF(Table2929[[#This Row],[performance_2]]&lt;&gt;"", IF(Table2929[[#This Row],[performance_1]]&lt;&gt;"",(Table2929[[#This Row],[performance_1]]-Table2929[[#This Row],[performance_2]])/Table2929[[#This Row],[performance_1]],""), ""))</f>
        <v>0.86</v>
      </c>
      <c r="Y367" s="55">
        <f>Table2929[[#This Row],[total_cost]]/Table2929[[#This Row],[cfa_post]]</f>
        <v>0.27130769230769231</v>
      </c>
      <c r="Z367" s="55">
        <f>Table2929[[#This Row],[total_cost]]/INDEX(CPI!$A$3:$C$31,MATCH(Table2929[[#This Row],[start_year]],CPI!$A$3:$A$31,0),3)</f>
        <v>555.28829549980094</v>
      </c>
      <c r="AA367" s="55">
        <f>Table2929[[#This Row],[$/sqft]]/INDEX(CPI!$A$3:$C$31,MATCH(Table2929[[#This Row],[start_year]],CPI!$A$3:$A$31,0),3)</f>
        <v>0.32857295591704194</v>
      </c>
      <c r="AB367" s="55" t="s">
        <v>71</v>
      </c>
    </row>
    <row r="368" spans="1:28" x14ac:dyDescent="0.2">
      <c r="A368" t="s">
        <v>5303</v>
      </c>
      <c r="B368">
        <v>5132</v>
      </c>
      <c r="C368">
        <v>12800</v>
      </c>
      <c r="D368" t="s">
        <v>5186</v>
      </c>
      <c r="E368" t="s">
        <v>4832</v>
      </c>
      <c r="F368" t="s">
        <v>5187</v>
      </c>
      <c r="G368" t="s">
        <v>1241</v>
      </c>
      <c r="H368">
        <v>800</v>
      </c>
      <c r="I368" t="s">
        <v>5191</v>
      </c>
      <c r="J368">
        <v>109</v>
      </c>
      <c r="K368" t="s">
        <v>5192</v>
      </c>
      <c r="L368">
        <v>809.1</v>
      </c>
      <c r="M368" t="s">
        <v>4988</v>
      </c>
      <c r="N368" t="s">
        <v>4979</v>
      </c>
      <c r="O368" t="s">
        <v>4972</v>
      </c>
      <c r="P368" t="s">
        <v>4844</v>
      </c>
      <c r="R368">
        <v>1991</v>
      </c>
      <c r="S368">
        <v>1620</v>
      </c>
      <c r="U368" t="s">
        <v>4840</v>
      </c>
      <c r="V368">
        <v>2019</v>
      </c>
      <c r="W368">
        <v>86.375</v>
      </c>
      <c r="X368" s="89">
        <f>ABS(IF(Table2929[[#This Row],[performance_2]]&lt;&gt;"", IF(Table2929[[#This Row],[performance_1]]&lt;&gt;"",(Table2929[[#This Row],[performance_1]]-Table2929[[#This Row],[performance_2]])/Table2929[[#This Row],[performance_1]],""), ""))</f>
        <v>0.86375000000000002</v>
      </c>
      <c r="Y368" s="55">
        <f>Table2929[[#This Row],[total_cost]]/Table2929[[#This Row],[cfa_post]]</f>
        <v>0.49944444444444447</v>
      </c>
      <c r="Z368" s="55">
        <f>Table2929[[#This Row],[total_cost]]/INDEX(CPI!$A$3:$C$31,MATCH(Table2929[[#This Row],[start_year]],CPI!$A$3:$A$31,0),3)</f>
        <v>962.24994133750499</v>
      </c>
      <c r="AA368" s="55">
        <f>Table2929[[#This Row],[$/sqft]]/INDEX(CPI!$A$3:$C$31,MATCH(Table2929[[#This Row],[start_year]],CPI!$A$3:$A$31,0),3)</f>
        <v>0.5939814452700648</v>
      </c>
      <c r="AB368" s="55" t="s">
        <v>71</v>
      </c>
    </row>
    <row r="369" spans="1:28" x14ac:dyDescent="0.2">
      <c r="A369" t="s">
        <v>5303</v>
      </c>
      <c r="B369">
        <v>5069</v>
      </c>
      <c r="C369">
        <v>12423</v>
      </c>
      <c r="D369" t="s">
        <v>5186</v>
      </c>
      <c r="E369" t="s">
        <v>4832</v>
      </c>
      <c r="F369" t="s">
        <v>5187</v>
      </c>
      <c r="G369" t="s">
        <v>1241</v>
      </c>
      <c r="H369">
        <v>295</v>
      </c>
      <c r="I369" t="s">
        <v>5191</v>
      </c>
      <c r="J369">
        <v>40</v>
      </c>
      <c r="K369" t="s">
        <v>5192</v>
      </c>
      <c r="L369">
        <v>1067.56</v>
      </c>
      <c r="M369" t="s">
        <v>4981</v>
      </c>
      <c r="N369" t="s">
        <v>4979</v>
      </c>
      <c r="O369" t="s">
        <v>4972</v>
      </c>
      <c r="P369" t="s">
        <v>4844</v>
      </c>
      <c r="R369">
        <v>1997</v>
      </c>
      <c r="S369">
        <v>1836</v>
      </c>
      <c r="U369" t="s">
        <v>4840</v>
      </c>
      <c r="V369">
        <v>2018</v>
      </c>
      <c r="W369">
        <v>86.440677969999996</v>
      </c>
      <c r="X369" s="89">
        <f>ABS(IF(Table2929[[#This Row],[performance_2]]&lt;&gt;"", IF(Table2929[[#This Row],[performance_1]]&lt;&gt;"",(Table2929[[#This Row],[performance_1]]-Table2929[[#This Row],[performance_2]])/Table2929[[#This Row],[performance_1]],""), ""))</f>
        <v>0.86440677966101698</v>
      </c>
      <c r="Y369" s="55">
        <f>Table2929[[#This Row],[total_cost]]/Table2929[[#This Row],[cfa_post]]</f>
        <v>0.58145969498910677</v>
      </c>
      <c r="Z369" s="55">
        <f>Table2929[[#This Row],[total_cost]]/INDEX(CPI!$A$3:$C$31,MATCH(Table2929[[#This Row],[start_year]],CPI!$A$3:$A$31,0),3)</f>
        <v>1292.891262445241</v>
      </c>
      <c r="AA369" s="55">
        <f>Table2929[[#This Row],[$/sqft]]/INDEX(CPI!$A$3:$C$31,MATCH(Table2929[[#This Row],[start_year]],CPI!$A$3:$A$31,0),3)</f>
        <v>0.70418914076538186</v>
      </c>
      <c r="AB369" s="55" t="s">
        <v>71</v>
      </c>
    </row>
    <row r="370" spans="1:28" x14ac:dyDescent="0.2">
      <c r="A370" t="s">
        <v>5303</v>
      </c>
      <c r="B370">
        <v>5057</v>
      </c>
      <c r="C370">
        <v>12352</v>
      </c>
      <c r="D370" t="s">
        <v>5186</v>
      </c>
      <c r="E370" t="s">
        <v>4832</v>
      </c>
      <c r="F370" t="s">
        <v>5187</v>
      </c>
      <c r="G370" t="s">
        <v>1241</v>
      </c>
      <c r="H370">
        <v>574</v>
      </c>
      <c r="I370" t="s">
        <v>5191</v>
      </c>
      <c r="J370">
        <v>77</v>
      </c>
      <c r="K370" t="s">
        <v>5192</v>
      </c>
      <c r="L370">
        <v>905.25</v>
      </c>
      <c r="M370" t="s">
        <v>4984</v>
      </c>
      <c r="N370" t="s">
        <v>4979</v>
      </c>
      <c r="O370" t="s">
        <v>4972</v>
      </c>
      <c r="P370" t="s">
        <v>1241</v>
      </c>
      <c r="R370">
        <v>1995</v>
      </c>
      <c r="S370">
        <v>1716</v>
      </c>
      <c r="U370" t="s">
        <v>4840</v>
      </c>
      <c r="V370">
        <v>2019</v>
      </c>
      <c r="W370">
        <v>86.585365850000002</v>
      </c>
      <c r="X370" s="89">
        <f>ABS(IF(Table2929[[#This Row],[performance_2]]&lt;&gt;"", IF(Table2929[[#This Row],[performance_1]]&lt;&gt;"",(Table2929[[#This Row],[performance_1]]-Table2929[[#This Row],[performance_2]])/Table2929[[#This Row],[performance_1]],""), ""))</f>
        <v>0.86585365853658536</v>
      </c>
      <c r="Y370" s="55">
        <f>Table2929[[#This Row],[total_cost]]/Table2929[[#This Row],[cfa_post]]</f>
        <v>0.527534965034965</v>
      </c>
      <c r="Z370" s="55">
        <f>Table2929[[#This Row],[total_cost]]/INDEX(CPI!$A$3:$C$31,MATCH(Table2929[[#This Row],[start_year]],CPI!$A$3:$A$31,0),3)</f>
        <v>1076.5996284708644</v>
      </c>
      <c r="AA370" s="55">
        <f>Table2929[[#This Row],[$/sqft]]/INDEX(CPI!$A$3:$C$31,MATCH(Table2929[[#This Row],[start_year]],CPI!$A$3:$A$31,0),3)</f>
        <v>0.62738906088045698</v>
      </c>
      <c r="AB370" s="55" t="s">
        <v>71</v>
      </c>
    </row>
    <row r="371" spans="1:28" x14ac:dyDescent="0.2">
      <c r="A371" t="s">
        <v>5303</v>
      </c>
      <c r="B371">
        <v>4051</v>
      </c>
      <c r="C371">
        <v>11221</v>
      </c>
      <c r="D371" t="s">
        <v>5186</v>
      </c>
      <c r="E371" t="s">
        <v>4832</v>
      </c>
      <c r="F371" t="s">
        <v>5187</v>
      </c>
      <c r="G371" t="s">
        <v>1241</v>
      </c>
      <c r="H371">
        <v>361</v>
      </c>
      <c r="I371" t="s">
        <v>5191</v>
      </c>
      <c r="J371">
        <v>48</v>
      </c>
      <c r="K371" t="s">
        <v>5192</v>
      </c>
      <c r="L371">
        <v>1182.5</v>
      </c>
      <c r="M371" t="s">
        <v>4973</v>
      </c>
      <c r="N371" t="s">
        <v>4969</v>
      </c>
      <c r="O371" t="s">
        <v>4972</v>
      </c>
      <c r="P371" t="s">
        <v>1241</v>
      </c>
      <c r="R371">
        <v>2009</v>
      </c>
      <c r="S371">
        <v>1906</v>
      </c>
      <c r="U371" t="s">
        <v>4840</v>
      </c>
      <c r="V371">
        <v>2019</v>
      </c>
      <c r="W371">
        <v>86.703601109999994</v>
      </c>
      <c r="X371" s="89">
        <f>ABS(IF(Table2929[[#This Row],[performance_2]]&lt;&gt;"", IF(Table2929[[#This Row],[performance_1]]&lt;&gt;"",(Table2929[[#This Row],[performance_1]]-Table2929[[#This Row],[performance_2]])/Table2929[[#This Row],[performance_1]],""), ""))</f>
        <v>0.86703601108033246</v>
      </c>
      <c r="Y371" s="55">
        <f>Table2929[[#This Row],[total_cost]]/Table2929[[#This Row],[cfa_post]]</f>
        <v>0.62040923399790138</v>
      </c>
      <c r="Z371" s="55">
        <f>Table2929[[#This Row],[total_cost]]/INDEX(CPI!$A$3:$C$31,MATCH(Table2929[[#This Row],[start_year]],CPI!$A$3:$A$31,0),3)</f>
        <v>1406.3287055142746</v>
      </c>
      <c r="AA371" s="55">
        <f>Table2929[[#This Row],[$/sqft]]/INDEX(CPI!$A$3:$C$31,MATCH(Table2929[[#This Row],[start_year]],CPI!$A$3:$A$31,0),3)</f>
        <v>0.73784297246289332</v>
      </c>
      <c r="AB371" s="55" t="s">
        <v>71</v>
      </c>
    </row>
    <row r="372" spans="1:28" x14ac:dyDescent="0.2">
      <c r="A372" t="s">
        <v>5303</v>
      </c>
      <c r="B372">
        <v>4047</v>
      </c>
      <c r="C372">
        <v>11206</v>
      </c>
      <c r="D372" t="s">
        <v>5186</v>
      </c>
      <c r="E372" t="s">
        <v>4832</v>
      </c>
      <c r="F372" t="s">
        <v>5187</v>
      </c>
      <c r="G372" t="s">
        <v>1241</v>
      </c>
      <c r="H372">
        <v>568</v>
      </c>
      <c r="I372" t="s">
        <v>5191</v>
      </c>
      <c r="J372">
        <v>73</v>
      </c>
      <c r="K372" t="s">
        <v>5192</v>
      </c>
      <c r="L372">
        <v>1982.5</v>
      </c>
      <c r="M372" t="s">
        <v>4976</v>
      </c>
      <c r="N372" t="s">
        <v>4969</v>
      </c>
      <c r="O372" t="s">
        <v>4838</v>
      </c>
      <c r="P372" t="s">
        <v>4844</v>
      </c>
      <c r="R372">
        <v>1975</v>
      </c>
      <c r="S372">
        <v>1275</v>
      </c>
      <c r="U372" t="s">
        <v>4840</v>
      </c>
      <c r="V372">
        <v>2019</v>
      </c>
      <c r="W372">
        <v>87.147887319999995</v>
      </c>
      <c r="X372" s="89">
        <f>ABS(IF(Table2929[[#This Row],[performance_2]]&lt;&gt;"", IF(Table2929[[#This Row],[performance_1]]&lt;&gt;"",(Table2929[[#This Row],[performance_1]]-Table2929[[#This Row],[performance_2]])/Table2929[[#This Row],[performance_1]],""), ""))</f>
        <v>0.87147887323943662</v>
      </c>
      <c r="Y372" s="55">
        <f>Table2929[[#This Row],[total_cost]]/Table2929[[#This Row],[cfa_post]]</f>
        <v>1.5549019607843138</v>
      </c>
      <c r="Z372" s="55">
        <f>Table2929[[#This Row],[total_cost]]/INDEX(CPI!$A$3:$C$31,MATCH(Table2929[[#This Row],[start_year]],CPI!$A$3:$A$31,0),3)</f>
        <v>2357.7561595619868</v>
      </c>
      <c r="AA372" s="55">
        <f>Table2929[[#This Row],[$/sqft]]/INDEX(CPI!$A$3:$C$31,MATCH(Table2929[[#This Row],[start_year]],CPI!$A$3:$A$31,0),3)</f>
        <v>1.8492205173035192</v>
      </c>
      <c r="AB372" s="55" t="s">
        <v>71</v>
      </c>
    </row>
    <row r="373" spans="1:28" x14ac:dyDescent="0.2">
      <c r="A373" t="s">
        <v>5303</v>
      </c>
      <c r="B373">
        <v>5202</v>
      </c>
      <c r="C373">
        <v>13214</v>
      </c>
      <c r="D373" t="s">
        <v>5186</v>
      </c>
      <c r="E373" t="s">
        <v>4832</v>
      </c>
      <c r="F373" t="s">
        <v>5187</v>
      </c>
      <c r="G373" t="s">
        <v>1241</v>
      </c>
      <c r="H373">
        <v>134</v>
      </c>
      <c r="I373" t="s">
        <v>5191</v>
      </c>
      <c r="J373">
        <v>17</v>
      </c>
      <c r="K373" t="s">
        <v>5192</v>
      </c>
      <c r="L373">
        <v>309.76</v>
      </c>
      <c r="M373" t="s">
        <v>4991</v>
      </c>
      <c r="N373" t="s">
        <v>4979</v>
      </c>
      <c r="O373" t="s">
        <v>4838</v>
      </c>
      <c r="P373" t="s">
        <v>4844</v>
      </c>
      <c r="R373">
        <v>1997</v>
      </c>
      <c r="S373">
        <v>644</v>
      </c>
      <c r="U373" t="s">
        <v>4840</v>
      </c>
      <c r="V373">
        <v>2018</v>
      </c>
      <c r="W373">
        <v>87.313432840000004</v>
      </c>
      <c r="X373" s="89">
        <f>ABS(IF(Table2929[[#This Row],[performance_2]]&lt;&gt;"", IF(Table2929[[#This Row],[performance_1]]&lt;&gt;"",(Table2929[[#This Row],[performance_1]]-Table2929[[#This Row],[performance_2]])/Table2929[[#This Row],[performance_1]],""), ""))</f>
        <v>0.87313432835820892</v>
      </c>
      <c r="Y373" s="55">
        <f>Table2929[[#This Row],[total_cost]]/Table2929[[#This Row],[cfa_post]]</f>
        <v>0.48099378881987576</v>
      </c>
      <c r="Z373" s="55">
        <f>Table2929[[#This Row],[total_cost]]/INDEX(CPI!$A$3:$C$31,MATCH(Table2929[[#This Row],[start_year]],CPI!$A$3:$A$31,0),3)</f>
        <v>375.14144165671047</v>
      </c>
      <c r="AA373" s="55">
        <f>Table2929[[#This Row],[$/sqft]]/INDEX(CPI!$A$3:$C$31,MATCH(Table2929[[#This Row],[start_year]],CPI!$A$3:$A$31,0),3)</f>
        <v>0.58251776654768705</v>
      </c>
      <c r="AB373" s="55" t="s">
        <v>71</v>
      </c>
    </row>
    <row r="374" spans="1:28" x14ac:dyDescent="0.2">
      <c r="A374" t="s">
        <v>5303</v>
      </c>
      <c r="B374">
        <v>5239</v>
      </c>
      <c r="C374">
        <v>13415</v>
      </c>
      <c r="D374" t="s">
        <v>5186</v>
      </c>
      <c r="E374" t="s">
        <v>4832</v>
      </c>
      <c r="F374" t="s">
        <v>5187</v>
      </c>
      <c r="G374" t="s">
        <v>1241</v>
      </c>
      <c r="H374">
        <v>665</v>
      </c>
      <c r="I374" t="s">
        <v>5191</v>
      </c>
      <c r="J374">
        <v>79</v>
      </c>
      <c r="K374" t="s">
        <v>5192</v>
      </c>
      <c r="L374">
        <v>378.43</v>
      </c>
      <c r="M374" t="s">
        <v>4978</v>
      </c>
      <c r="N374" t="s">
        <v>4979</v>
      </c>
      <c r="O374" t="s">
        <v>4972</v>
      </c>
      <c r="P374" t="s">
        <v>1241</v>
      </c>
      <c r="R374">
        <v>1998</v>
      </c>
      <c r="S374">
        <v>1040</v>
      </c>
      <c r="U374" t="s">
        <v>4840</v>
      </c>
      <c r="V374">
        <v>2018</v>
      </c>
      <c r="W374">
        <v>88.120300749999998</v>
      </c>
      <c r="X374" s="89">
        <f>ABS(IF(Table2929[[#This Row],[performance_2]]&lt;&gt;"", IF(Table2929[[#This Row],[performance_1]]&lt;&gt;"",(Table2929[[#This Row],[performance_1]]-Table2929[[#This Row],[performance_2]])/Table2929[[#This Row],[performance_1]],""), ""))</f>
        <v>0.88120300751879699</v>
      </c>
      <c r="Y374" s="55">
        <f>Table2929[[#This Row],[total_cost]]/Table2929[[#This Row],[cfa_post]]</f>
        <v>0.363875</v>
      </c>
      <c r="Z374" s="55">
        <f>Table2929[[#This Row],[total_cost]]/INDEX(CPI!$A$3:$C$31,MATCH(Table2929[[#This Row],[start_year]],CPI!$A$3:$A$31,0),3)</f>
        <v>458.30570688968544</v>
      </c>
      <c r="AA374" s="55">
        <f>Table2929[[#This Row],[$/sqft]]/INDEX(CPI!$A$3:$C$31,MATCH(Table2929[[#This Row],[start_year]],CPI!$A$3:$A$31,0),3)</f>
        <v>0.44067856431700519</v>
      </c>
      <c r="AB374" s="55" t="s">
        <v>71</v>
      </c>
    </row>
    <row r="375" spans="1:28" x14ac:dyDescent="0.2">
      <c r="A375" t="s">
        <v>5303</v>
      </c>
      <c r="B375">
        <v>4028</v>
      </c>
      <c r="C375">
        <v>11119</v>
      </c>
      <c r="D375" t="s">
        <v>5186</v>
      </c>
      <c r="E375" t="s">
        <v>4832</v>
      </c>
      <c r="F375" t="s">
        <v>5187</v>
      </c>
      <c r="G375" t="s">
        <v>1241</v>
      </c>
      <c r="H375">
        <v>800</v>
      </c>
      <c r="I375" t="s">
        <v>5191</v>
      </c>
      <c r="J375">
        <v>95</v>
      </c>
      <c r="K375" t="s">
        <v>5192</v>
      </c>
      <c r="L375">
        <v>2674.9</v>
      </c>
      <c r="M375" t="s">
        <v>4971</v>
      </c>
      <c r="N375" t="s">
        <v>4969</v>
      </c>
      <c r="O375" t="s">
        <v>4838</v>
      </c>
      <c r="P375" t="s">
        <v>1241</v>
      </c>
      <c r="R375">
        <v>1988</v>
      </c>
      <c r="S375">
        <v>1722</v>
      </c>
      <c r="U375" t="s">
        <v>4840</v>
      </c>
      <c r="V375">
        <v>2019</v>
      </c>
      <c r="W375">
        <v>88.125</v>
      </c>
      <c r="X375" s="89">
        <f>ABS(IF(Table2929[[#This Row],[performance_2]]&lt;&gt;"", IF(Table2929[[#This Row],[performance_1]]&lt;&gt;"",(Table2929[[#This Row],[performance_1]]-Table2929[[#This Row],[performance_2]])/Table2929[[#This Row],[performance_1]],""), ""))</f>
        <v>0.88124999999999998</v>
      </c>
      <c r="Y375" s="55">
        <f>Table2929[[#This Row],[total_cost]]/Table2929[[#This Row],[cfa_post]]</f>
        <v>1.5533681765389082</v>
      </c>
      <c r="Z375" s="55">
        <f>Table2929[[#This Row],[total_cost]]/INDEX(CPI!$A$3:$C$31,MATCH(Table2929[[#This Row],[start_year]],CPI!$A$3:$A$31,0),3)</f>
        <v>3181.216621040282</v>
      </c>
      <c r="AA375" s="55">
        <f>Table2929[[#This Row],[$/sqft]]/INDEX(CPI!$A$3:$C$31,MATCH(Table2929[[#This Row],[start_year]],CPI!$A$3:$A$31,0),3)</f>
        <v>1.8473964117539383</v>
      </c>
      <c r="AB375" s="55" t="s">
        <v>71</v>
      </c>
    </row>
    <row r="376" spans="1:28" x14ac:dyDescent="0.2">
      <c r="A376" t="s">
        <v>5303</v>
      </c>
      <c r="B376">
        <v>5193</v>
      </c>
      <c r="C376">
        <v>13169</v>
      </c>
      <c r="D376" t="s">
        <v>5186</v>
      </c>
      <c r="E376" t="s">
        <v>4832</v>
      </c>
      <c r="F376" t="s">
        <v>5187</v>
      </c>
      <c r="G376" t="s">
        <v>1241</v>
      </c>
      <c r="H376">
        <v>489</v>
      </c>
      <c r="I376" t="s">
        <v>5191</v>
      </c>
      <c r="J376">
        <v>55</v>
      </c>
      <c r="K376" t="s">
        <v>5192</v>
      </c>
      <c r="L376">
        <v>792.51</v>
      </c>
      <c r="M376" t="s">
        <v>4990</v>
      </c>
      <c r="N376" t="s">
        <v>4979</v>
      </c>
      <c r="O376" t="s">
        <v>4972</v>
      </c>
      <c r="P376" t="s">
        <v>4844</v>
      </c>
      <c r="R376">
        <v>1994</v>
      </c>
      <c r="S376">
        <v>1468</v>
      </c>
      <c r="U376" t="s">
        <v>4840</v>
      </c>
      <c r="V376">
        <v>2018</v>
      </c>
      <c r="W376">
        <v>88.752556240000004</v>
      </c>
      <c r="X376" s="89">
        <f>ABS(IF(Table2929[[#This Row],[performance_2]]&lt;&gt;"", IF(Table2929[[#This Row],[performance_1]]&lt;&gt;"",(Table2929[[#This Row],[performance_1]]-Table2929[[#This Row],[performance_2]])/Table2929[[#This Row],[performance_1]],""), ""))</f>
        <v>0.88752556237218816</v>
      </c>
      <c r="Y376" s="55">
        <f>Table2929[[#This Row],[total_cost]]/Table2929[[#This Row],[cfa_post]]</f>
        <v>0.53985694822888286</v>
      </c>
      <c r="Z376" s="55">
        <f>Table2929[[#This Row],[total_cost]]/INDEX(CPI!$A$3:$C$31,MATCH(Table2929[[#This Row],[start_year]],CPI!$A$3:$A$31,0),3)</f>
        <v>959.78610513739557</v>
      </c>
      <c r="AA376" s="55">
        <f>Table2929[[#This Row],[$/sqft]]/INDEX(CPI!$A$3:$C$31,MATCH(Table2929[[#This Row],[start_year]],CPI!$A$3:$A$31,0),3)</f>
        <v>0.65380524873119594</v>
      </c>
      <c r="AB376" s="55" t="s">
        <v>71</v>
      </c>
    </row>
    <row r="377" spans="1:28" x14ac:dyDescent="0.2">
      <c r="A377" t="s">
        <v>5303</v>
      </c>
      <c r="B377">
        <v>5067</v>
      </c>
      <c r="C377">
        <v>12410</v>
      </c>
      <c r="D377" t="s">
        <v>5186</v>
      </c>
      <c r="E377" t="s">
        <v>4832</v>
      </c>
      <c r="F377" t="s">
        <v>5187</v>
      </c>
      <c r="G377" t="s">
        <v>1241</v>
      </c>
      <c r="H377">
        <v>1000</v>
      </c>
      <c r="I377" t="s">
        <v>5191</v>
      </c>
      <c r="J377">
        <v>99</v>
      </c>
      <c r="K377" t="s">
        <v>5192</v>
      </c>
      <c r="L377">
        <v>628.29999999999995</v>
      </c>
      <c r="M377" t="s">
        <v>4981</v>
      </c>
      <c r="N377" t="s">
        <v>4979</v>
      </c>
      <c r="O377" t="s">
        <v>4972</v>
      </c>
      <c r="P377" t="s">
        <v>4844</v>
      </c>
      <c r="R377">
        <v>1992</v>
      </c>
      <c r="S377">
        <v>1800</v>
      </c>
      <c r="U377" t="s">
        <v>4840</v>
      </c>
      <c r="V377">
        <v>2019</v>
      </c>
      <c r="W377">
        <v>90.1</v>
      </c>
      <c r="X377" s="89">
        <f>ABS(IF(Table2929[[#This Row],[performance_2]]&lt;&gt;"", IF(Table2929[[#This Row],[performance_1]]&lt;&gt;"",(Table2929[[#This Row],[performance_1]]-Table2929[[#This Row],[performance_2]])/Table2929[[#This Row],[performance_1]],""), ""))</f>
        <v>0.90100000000000002</v>
      </c>
      <c r="Y377" s="55">
        <f>Table2929[[#This Row],[total_cost]]/Table2929[[#This Row],[cfa_post]]</f>
        <v>0.34905555555555551</v>
      </c>
      <c r="Z377" s="55">
        <f>Table2929[[#This Row],[total_cost]]/INDEX(CPI!$A$3:$C$31,MATCH(Table2929[[#This Row],[start_year]],CPI!$A$3:$A$31,0),3)</f>
        <v>747.22733672272193</v>
      </c>
      <c r="AA377" s="55">
        <f>Table2929[[#This Row],[$/sqft]]/INDEX(CPI!$A$3:$C$31,MATCH(Table2929[[#This Row],[start_year]],CPI!$A$3:$A$31,0),3)</f>
        <v>0.41512629817928992</v>
      </c>
      <c r="AB377" s="55" t="s">
        <v>71</v>
      </c>
    </row>
    <row r="378" spans="1:28" x14ac:dyDescent="0.2">
      <c r="A378" t="s">
        <v>5303</v>
      </c>
      <c r="B378">
        <v>5125</v>
      </c>
      <c r="C378">
        <v>12762</v>
      </c>
      <c r="D378" t="s">
        <v>5186</v>
      </c>
      <c r="E378" t="s">
        <v>4832</v>
      </c>
      <c r="F378" t="s">
        <v>5187</v>
      </c>
      <c r="G378" t="s">
        <v>1241</v>
      </c>
      <c r="H378">
        <v>1000</v>
      </c>
      <c r="I378" t="s">
        <v>5191</v>
      </c>
      <c r="J378">
        <v>92</v>
      </c>
      <c r="K378" t="s">
        <v>5192</v>
      </c>
      <c r="L378">
        <v>1267</v>
      </c>
      <c r="M378" t="s">
        <v>4988</v>
      </c>
      <c r="N378" t="s">
        <v>4979</v>
      </c>
      <c r="O378" t="s">
        <v>4972</v>
      </c>
      <c r="P378" t="s">
        <v>4844</v>
      </c>
      <c r="R378">
        <v>1994</v>
      </c>
      <c r="S378">
        <v>1657</v>
      </c>
      <c r="U378" t="s">
        <v>4840</v>
      </c>
      <c r="V378">
        <v>2019</v>
      </c>
      <c r="W378">
        <v>90.8</v>
      </c>
      <c r="X378" s="89">
        <f>ABS(IF(Table2929[[#This Row],[performance_2]]&lt;&gt;"", IF(Table2929[[#This Row],[performance_1]]&lt;&gt;"",(Table2929[[#This Row],[performance_1]]-Table2929[[#This Row],[performance_2]])/Table2929[[#This Row],[performance_1]],""), ""))</f>
        <v>0.90800000000000003</v>
      </c>
      <c r="Y378" s="55">
        <f>Table2929[[#This Row],[total_cost]]/Table2929[[#This Row],[cfa_post]]</f>
        <v>0.76463488231744114</v>
      </c>
      <c r="Z378" s="55">
        <f>Table2929[[#This Row],[total_cost]]/INDEX(CPI!$A$3:$C$31,MATCH(Table2929[[#This Row],[start_year]],CPI!$A$3:$A$31,0),3)</f>
        <v>1506.8232303480643</v>
      </c>
      <c r="AA378" s="55">
        <f>Table2929[[#This Row],[$/sqft]]/INDEX(CPI!$A$3:$C$31,MATCH(Table2929[[#This Row],[start_year]],CPI!$A$3:$A$31,0),3)</f>
        <v>0.90936827419919386</v>
      </c>
      <c r="AB378" s="55" t="s">
        <v>71</v>
      </c>
    </row>
    <row r="379" spans="1:28" x14ac:dyDescent="0.2">
      <c r="A379" t="s">
        <v>5303</v>
      </c>
      <c r="B379">
        <v>5253</v>
      </c>
      <c r="C379">
        <v>13494</v>
      </c>
      <c r="D379" t="s">
        <v>5186</v>
      </c>
      <c r="E379" t="s">
        <v>4832</v>
      </c>
      <c r="F379" t="s">
        <v>5187</v>
      </c>
      <c r="G379" t="s">
        <v>1241</v>
      </c>
      <c r="H379">
        <v>548</v>
      </c>
      <c r="I379" t="s">
        <v>5191</v>
      </c>
      <c r="J379">
        <v>40</v>
      </c>
      <c r="K379" t="s">
        <v>5192</v>
      </c>
      <c r="L379">
        <v>576.57000000000005</v>
      </c>
      <c r="M379" t="s">
        <v>4900</v>
      </c>
      <c r="N379" t="s">
        <v>4979</v>
      </c>
      <c r="O379" t="s">
        <v>4972</v>
      </c>
      <c r="P379" t="s">
        <v>1241</v>
      </c>
      <c r="R379">
        <v>1999</v>
      </c>
      <c r="S379">
        <v>1982</v>
      </c>
      <c r="U379" t="s">
        <v>4840</v>
      </c>
      <c r="V379">
        <v>2018</v>
      </c>
      <c r="W379">
        <v>92.700729929999994</v>
      </c>
      <c r="X379" s="89">
        <f>ABS(IF(Table2929[[#This Row],[performance_2]]&lt;&gt;"", IF(Table2929[[#This Row],[performance_1]]&lt;&gt;"",(Table2929[[#This Row],[performance_1]]-Table2929[[#This Row],[performance_2]])/Table2929[[#This Row],[performance_1]],""), ""))</f>
        <v>0.92700729927007297</v>
      </c>
      <c r="Y379" s="55">
        <f>Table2929[[#This Row],[total_cost]]/Table2929[[#This Row],[cfa_post]]</f>
        <v>0.29090312815338043</v>
      </c>
      <c r="Z379" s="55">
        <f>Table2929[[#This Row],[total_cost]]/INDEX(CPI!$A$3:$C$31,MATCH(Table2929[[#This Row],[start_year]],CPI!$A$3:$A$31,0),3)</f>
        <v>698.26737156511365</v>
      </c>
      <c r="AA379" s="55">
        <f>Table2929[[#This Row],[$/sqft]]/INDEX(CPI!$A$3:$C$31,MATCH(Table2929[[#This Row],[start_year]],CPI!$A$3:$A$31,0),3)</f>
        <v>0.35230442561307446</v>
      </c>
      <c r="AB379" s="55" t="s">
        <v>71</v>
      </c>
    </row>
    <row r="380" spans="1:28" hidden="1" x14ac:dyDescent="0.2">
      <c r="A380" t="s">
        <v>5303</v>
      </c>
      <c r="B380">
        <v>5262</v>
      </c>
      <c r="C380">
        <v>13545</v>
      </c>
      <c r="D380" t="s">
        <v>5186</v>
      </c>
      <c r="E380" t="s">
        <v>4832</v>
      </c>
      <c r="F380" t="s">
        <v>5187</v>
      </c>
      <c r="G380" t="s">
        <v>1241</v>
      </c>
      <c r="I380" t="s">
        <v>5191</v>
      </c>
      <c r="K380" t="s">
        <v>5192</v>
      </c>
      <c r="L380">
        <v>419.36</v>
      </c>
      <c r="M380" t="s">
        <v>4983</v>
      </c>
      <c r="N380" t="s">
        <v>4979</v>
      </c>
      <c r="O380" t="s">
        <v>4838</v>
      </c>
      <c r="P380" t="s">
        <v>1241</v>
      </c>
      <c r="R380">
        <v>1989</v>
      </c>
      <c r="S380">
        <v>925</v>
      </c>
      <c r="U380" t="s">
        <v>4840</v>
      </c>
      <c r="V380">
        <v>2018</v>
      </c>
      <c r="X380" t="str">
        <f>IF(Table2929[[#This Row],[performance_2]]&lt;&gt;"", IF(Table2929[[#This Row],[performance_1]]&lt;&gt;"",(Table2929[[#This Row],[performance_1]]-Table2929[[#This Row],[performance_2]])/Table2929[[#This Row],[performance_1]],""), "")</f>
        <v/>
      </c>
      <c r="Y380" s="55">
        <f>Table2929[[#This Row],[total_cost]]/Table2929[[#This Row],[cfa_post]]</f>
        <v>0.45336216216216219</v>
      </c>
      <c r="Z380" s="55">
        <f>Table2929[[#This Row],[total_cost]]/INDEX(CPI!$A$3:$C$31,MATCH(Table2929[[#This Row],[start_year]],CPI!$A$3:$A$31,0),3)</f>
        <v>507.87485463958586</v>
      </c>
      <c r="AA380" s="55">
        <f>Table2929[[#This Row],[$/sqft]]/INDEX(CPI!$A$3:$C$31,MATCH(Table2929[[#This Row],[start_year]],CPI!$A$3:$A$31,0),3)</f>
        <v>0.54905389690766038</v>
      </c>
      <c r="AB380" s="55" t="s">
        <v>72</v>
      </c>
    </row>
    <row r="381" spans="1:28" x14ac:dyDescent="0.2">
      <c r="A381" t="s">
        <v>5303</v>
      </c>
      <c r="B381">
        <v>4043</v>
      </c>
      <c r="C381">
        <v>11189</v>
      </c>
      <c r="D381" t="s">
        <v>5186</v>
      </c>
      <c r="E381" t="s">
        <v>4832</v>
      </c>
      <c r="F381" t="s">
        <v>5187</v>
      </c>
      <c r="G381" t="s">
        <v>1241</v>
      </c>
      <c r="H381">
        <v>561</v>
      </c>
      <c r="I381" t="s">
        <v>5191</v>
      </c>
      <c r="J381">
        <v>39</v>
      </c>
      <c r="K381" t="s">
        <v>5192</v>
      </c>
      <c r="L381">
        <v>2582.5</v>
      </c>
      <c r="M381" t="s">
        <v>4973</v>
      </c>
      <c r="N381" t="s">
        <v>4969</v>
      </c>
      <c r="O381" t="s">
        <v>4838</v>
      </c>
      <c r="P381" t="s">
        <v>1241</v>
      </c>
      <c r="R381">
        <v>1980</v>
      </c>
      <c r="S381">
        <v>1352</v>
      </c>
      <c r="U381" t="s">
        <v>4840</v>
      </c>
      <c r="V381">
        <v>2019</v>
      </c>
      <c r="W381">
        <v>93.048128340000005</v>
      </c>
      <c r="X381" s="89">
        <f>ABS(IF(Table2929[[#This Row],[performance_2]]&lt;&gt;"", IF(Table2929[[#This Row],[performance_1]]&lt;&gt;"",(Table2929[[#This Row],[performance_1]]-Table2929[[#This Row],[performance_2]])/Table2929[[#This Row],[performance_1]],""), ""))</f>
        <v>0.93048128342245995</v>
      </c>
      <c r="Y381" s="55">
        <f>Table2929[[#This Row],[total_cost]]/Table2929[[#This Row],[cfa_post]]</f>
        <v>1.9101331360946745</v>
      </c>
      <c r="Z381" s="55">
        <f>Table2929[[#This Row],[total_cost]]/INDEX(CPI!$A$3:$C$31,MATCH(Table2929[[#This Row],[start_year]],CPI!$A$3:$A$31,0),3)</f>
        <v>3071.3267500977709</v>
      </c>
      <c r="AA381" s="55">
        <f>Table2929[[#This Row],[$/sqft]]/INDEX(CPI!$A$3:$C$31,MATCH(Table2929[[#This Row],[start_year]],CPI!$A$3:$A$31,0),3)</f>
        <v>2.2716913832084105</v>
      </c>
      <c r="AB381" s="55" t="s">
        <v>71</v>
      </c>
    </row>
    <row r="382" spans="1:28" x14ac:dyDescent="0.2">
      <c r="A382" t="s">
        <v>5303</v>
      </c>
      <c r="B382">
        <v>5160</v>
      </c>
      <c r="C382">
        <v>12978</v>
      </c>
      <c r="D382" t="s">
        <v>5186</v>
      </c>
      <c r="E382" t="s">
        <v>4832</v>
      </c>
      <c r="F382" t="s">
        <v>5187</v>
      </c>
      <c r="G382" t="s">
        <v>1241</v>
      </c>
      <c r="H382">
        <v>1200</v>
      </c>
      <c r="I382" t="s">
        <v>5191</v>
      </c>
      <c r="J382">
        <v>81</v>
      </c>
      <c r="K382" t="s">
        <v>5192</v>
      </c>
      <c r="L382">
        <v>2144.92</v>
      </c>
      <c r="M382" t="s">
        <v>4978</v>
      </c>
      <c r="N382" t="s">
        <v>4979</v>
      </c>
      <c r="O382" t="s">
        <v>4838</v>
      </c>
      <c r="P382" t="s">
        <v>4844</v>
      </c>
      <c r="R382">
        <v>1940</v>
      </c>
      <c r="S382">
        <v>1457</v>
      </c>
      <c r="U382" t="s">
        <v>4840</v>
      </c>
      <c r="V382">
        <v>2017</v>
      </c>
      <c r="W382">
        <v>93.25</v>
      </c>
      <c r="X382" s="89">
        <f>ABS(IF(Table2929[[#This Row],[performance_2]]&lt;&gt;"", IF(Table2929[[#This Row],[performance_1]]&lt;&gt;"",(Table2929[[#This Row],[performance_1]]-Table2929[[#This Row],[performance_2]])/Table2929[[#This Row],[performance_1]],""), ""))</f>
        <v>0.9325</v>
      </c>
      <c r="Y382" s="55">
        <f>Table2929[[#This Row],[total_cost]]/Table2929[[#This Row],[cfa_post]]</f>
        <v>1.4721482498284146</v>
      </c>
      <c r="Z382" s="55">
        <f>Table2929[[#This Row],[total_cost]]/INDEX(CPI!$A$3:$C$31,MATCH(Table2929[[#This Row],[start_year]],CPI!$A$3:$A$31,0),3)</f>
        <v>2661.2410118319058</v>
      </c>
      <c r="AA382" s="55">
        <f>Table2929[[#This Row],[$/sqft]]/INDEX(CPI!$A$3:$C$31,MATCH(Table2929[[#This Row],[start_year]],CPI!$A$3:$A$31,0),3)</f>
        <v>1.826520941545577</v>
      </c>
      <c r="AB382" s="55" t="s">
        <v>71</v>
      </c>
    </row>
    <row r="383" spans="1:28" x14ac:dyDescent="0.2">
      <c r="A383" t="s">
        <v>5303</v>
      </c>
      <c r="B383">
        <v>4009</v>
      </c>
      <c r="C383">
        <v>11040</v>
      </c>
      <c r="D383" t="s">
        <v>5186</v>
      </c>
      <c r="E383" t="s">
        <v>4832</v>
      </c>
      <c r="F383" t="s">
        <v>5187</v>
      </c>
      <c r="G383" t="s">
        <v>1241</v>
      </c>
      <c r="H383">
        <v>498</v>
      </c>
      <c r="I383" t="s">
        <v>5191</v>
      </c>
      <c r="J383">
        <v>32</v>
      </c>
      <c r="K383" t="s">
        <v>5192</v>
      </c>
      <c r="L383">
        <v>1492.13</v>
      </c>
      <c r="M383" t="s">
        <v>4973</v>
      </c>
      <c r="N383" t="s">
        <v>4969</v>
      </c>
      <c r="O383" t="s">
        <v>4838</v>
      </c>
      <c r="P383" t="s">
        <v>56</v>
      </c>
      <c r="R383">
        <v>1972</v>
      </c>
      <c r="S383">
        <v>1325</v>
      </c>
      <c r="U383" t="s">
        <v>4840</v>
      </c>
      <c r="V383">
        <v>2019</v>
      </c>
      <c r="W383">
        <v>93.574297189999996</v>
      </c>
      <c r="X383" s="89">
        <f>ABS(IF(Table2929[[#This Row],[performance_2]]&lt;&gt;"", IF(Table2929[[#This Row],[performance_1]]&lt;&gt;"",(Table2929[[#This Row],[performance_1]]-Table2929[[#This Row],[performance_2]])/Table2929[[#This Row],[performance_1]],""), ""))</f>
        <v>0.93574297188755018</v>
      </c>
      <c r="Y383" s="55">
        <f>Table2929[[#This Row],[total_cost]]/Table2929[[#This Row],[cfa_post]]</f>
        <v>1.1261358490566038</v>
      </c>
      <c r="Z383" s="55">
        <f>Table2929[[#This Row],[total_cost]]/INDEX(CPI!$A$3:$C$31,MATCH(Table2929[[#This Row],[start_year]],CPI!$A$3:$A$31,0),3)</f>
        <v>1774.5668087602662</v>
      </c>
      <c r="AA383" s="55">
        <f>Table2929[[#This Row],[$/sqft]]/INDEX(CPI!$A$3:$C$31,MATCH(Table2929[[#This Row],[start_year]],CPI!$A$3:$A$31,0),3)</f>
        <v>1.3392957047247291</v>
      </c>
      <c r="AB383" s="55" t="s">
        <v>71</v>
      </c>
    </row>
    <row r="384" spans="1:28" x14ac:dyDescent="0.2">
      <c r="A384" t="s">
        <v>5303</v>
      </c>
      <c r="B384">
        <v>5054</v>
      </c>
      <c r="C384">
        <v>12332</v>
      </c>
      <c r="D384" t="s">
        <v>5186</v>
      </c>
      <c r="E384" t="s">
        <v>4832</v>
      </c>
      <c r="F384" t="s">
        <v>5187</v>
      </c>
      <c r="G384" t="s">
        <v>1241</v>
      </c>
      <c r="H384">
        <v>610</v>
      </c>
      <c r="I384" t="s">
        <v>5191</v>
      </c>
      <c r="J384">
        <v>35</v>
      </c>
      <c r="K384" t="s">
        <v>5192</v>
      </c>
      <c r="L384">
        <v>1165.3800000000001</v>
      </c>
      <c r="M384" t="s">
        <v>4988</v>
      </c>
      <c r="N384" t="s">
        <v>4979</v>
      </c>
      <c r="O384" t="s">
        <v>4972</v>
      </c>
      <c r="P384" t="s">
        <v>4844</v>
      </c>
      <c r="R384">
        <v>1995</v>
      </c>
      <c r="S384">
        <v>1000</v>
      </c>
      <c r="U384" t="s">
        <v>4840</v>
      </c>
      <c r="V384">
        <v>2018</v>
      </c>
      <c r="W384">
        <v>94.262295080000001</v>
      </c>
      <c r="X384" s="89">
        <f>ABS(IF(Table2929[[#This Row],[performance_2]]&lt;&gt;"", IF(Table2929[[#This Row],[performance_1]]&lt;&gt;"",(Table2929[[#This Row],[performance_1]]-Table2929[[#This Row],[performance_2]])/Table2929[[#This Row],[performance_1]],""), ""))</f>
        <v>0.94262295081967218</v>
      </c>
      <c r="Y384" s="55">
        <f>Table2929[[#This Row],[total_cost]]/Table2929[[#This Row],[cfa_post]]</f>
        <v>1.1653800000000001</v>
      </c>
      <c r="Z384" s="55">
        <f>Table2929[[#This Row],[total_cost]]/INDEX(CPI!$A$3:$C$31,MATCH(Table2929[[#This Row],[start_year]],CPI!$A$3:$A$31,0),3)</f>
        <v>1411.35825567503</v>
      </c>
      <c r="AA384" s="55">
        <f>Table2929[[#This Row],[$/sqft]]/INDEX(CPI!$A$3:$C$31,MATCH(Table2929[[#This Row],[start_year]],CPI!$A$3:$A$31,0),3)</f>
        <v>1.4113582556750301</v>
      </c>
      <c r="AB384" s="55" t="s">
        <v>71</v>
      </c>
    </row>
    <row r="385" spans="1:28" x14ac:dyDescent="0.2">
      <c r="A385" t="s">
        <v>5303</v>
      </c>
      <c r="B385">
        <v>5039</v>
      </c>
      <c r="C385">
        <v>12242</v>
      </c>
      <c r="D385" t="s">
        <v>5186</v>
      </c>
      <c r="E385" t="s">
        <v>4832</v>
      </c>
      <c r="F385" t="s">
        <v>5187</v>
      </c>
      <c r="G385" t="s">
        <v>1241</v>
      </c>
      <c r="H385">
        <v>600</v>
      </c>
      <c r="I385" t="s">
        <v>5191</v>
      </c>
      <c r="J385">
        <v>34</v>
      </c>
      <c r="K385" t="s">
        <v>5192</v>
      </c>
      <c r="L385">
        <v>1178.1199999999999</v>
      </c>
      <c r="M385" t="s">
        <v>4980</v>
      </c>
      <c r="N385" t="s">
        <v>4979</v>
      </c>
      <c r="O385" t="s">
        <v>4972</v>
      </c>
      <c r="P385" t="s">
        <v>4844</v>
      </c>
      <c r="R385">
        <v>1998</v>
      </c>
      <c r="S385">
        <v>1800</v>
      </c>
      <c r="U385" t="s">
        <v>4840</v>
      </c>
      <c r="V385">
        <v>2018</v>
      </c>
      <c r="W385">
        <v>94.333333330000002</v>
      </c>
      <c r="X385" s="89">
        <f>ABS(IF(Table2929[[#This Row],[performance_2]]&lt;&gt;"", IF(Table2929[[#This Row],[performance_1]]&lt;&gt;"",(Table2929[[#This Row],[performance_1]]-Table2929[[#This Row],[performance_2]])/Table2929[[#This Row],[performance_1]],""), ""))</f>
        <v>0.94333333333333336</v>
      </c>
      <c r="Y385" s="55">
        <f>Table2929[[#This Row],[total_cost]]/Table2929[[#This Row],[cfa_post]]</f>
        <v>0.65451111111111104</v>
      </c>
      <c r="Z385" s="55">
        <f>Table2929[[#This Row],[total_cost]]/INDEX(CPI!$A$3:$C$31,MATCH(Table2929[[#This Row],[start_year]],CPI!$A$3:$A$31,0),3)</f>
        <v>1426.7873038630028</v>
      </c>
      <c r="AA385" s="55">
        <f>Table2929[[#This Row],[$/sqft]]/INDEX(CPI!$A$3:$C$31,MATCH(Table2929[[#This Row],[start_year]],CPI!$A$3:$A$31,0),3)</f>
        <v>0.79265961325722378</v>
      </c>
      <c r="AB385" s="55" t="s">
        <v>71</v>
      </c>
    </row>
    <row r="386" spans="1:28" x14ac:dyDescent="0.2">
      <c r="A386" t="s">
        <v>5303</v>
      </c>
      <c r="B386">
        <v>4006</v>
      </c>
      <c r="C386">
        <v>11028</v>
      </c>
      <c r="D386" t="s">
        <v>5186</v>
      </c>
      <c r="E386" t="s">
        <v>4832</v>
      </c>
      <c r="F386" t="s">
        <v>5187</v>
      </c>
      <c r="G386" t="s">
        <v>1241</v>
      </c>
      <c r="H386">
        <v>529</v>
      </c>
      <c r="I386" t="s">
        <v>5191</v>
      </c>
      <c r="J386">
        <v>17</v>
      </c>
      <c r="K386" t="s">
        <v>5192</v>
      </c>
      <c r="L386">
        <v>1482.5</v>
      </c>
      <c r="M386" t="s">
        <v>4968</v>
      </c>
      <c r="N386" t="s">
        <v>4969</v>
      </c>
      <c r="O386" t="s">
        <v>4838</v>
      </c>
      <c r="P386" t="s">
        <v>1241</v>
      </c>
      <c r="R386">
        <v>1965</v>
      </c>
      <c r="S386">
        <v>1514</v>
      </c>
      <c r="U386" t="s">
        <v>4840</v>
      </c>
      <c r="V386">
        <v>2019</v>
      </c>
      <c r="W386">
        <v>96.786389409999998</v>
      </c>
      <c r="X386" s="89">
        <f>ABS(IF(Table2929[[#This Row],[performance_2]]&lt;&gt;"", IF(Table2929[[#This Row],[performance_1]]&lt;&gt;"",(Table2929[[#This Row],[performance_1]]-Table2929[[#This Row],[performance_2]])/Table2929[[#This Row],[performance_1]],""), ""))</f>
        <v>0.9678638941398866</v>
      </c>
      <c r="Y386" s="55">
        <f>Table2929[[#This Row],[total_cost]]/Table2929[[#This Row],[cfa_post]]</f>
        <v>0.97919418758256271</v>
      </c>
      <c r="Z386" s="55">
        <f>Table2929[[#This Row],[total_cost]]/INDEX(CPI!$A$3:$C$31,MATCH(Table2929[[#This Row],[start_year]],CPI!$A$3:$A$31,0),3)</f>
        <v>1763.1140007821666</v>
      </c>
      <c r="AA386" s="55">
        <f>Table2929[[#This Row],[$/sqft]]/INDEX(CPI!$A$3:$C$31,MATCH(Table2929[[#This Row],[start_year]],CPI!$A$3:$A$31,0),3)</f>
        <v>1.1645402911374945</v>
      </c>
      <c r="AB386" s="55" t="s">
        <v>71</v>
      </c>
    </row>
  </sheetData>
  <hyperlinks>
    <hyperlink ref="A1" location="'Table of Contents'!A1" display="Table of Contents" xr:uid="{B4920BF5-46C1-4ADA-8161-6DCF14C1E849}"/>
  </hyperlinks>
  <pageMargins left="0.7" right="0.7" top="0.75" bottom="0.75" header="0.3" footer="0.3"/>
  <pageSetup orientation="portrait" horizontalDpi="0" verticalDpi="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465B0-5463-403F-98FB-761D4E8A4792}">
  <dimension ref="A1:AD28"/>
  <sheetViews>
    <sheetView showGridLines="0" workbookViewId="0">
      <selection activeCell="G5" sqref="G5"/>
    </sheetView>
  </sheetViews>
  <sheetFormatPr baseColWidth="10" defaultColWidth="8.83203125" defaultRowHeight="15" x14ac:dyDescent="0.2"/>
  <cols>
    <col min="1" max="1" width="17.5" customWidth="1"/>
    <col min="3" max="3" width="11.6640625" bestFit="1" customWidth="1"/>
    <col min="4" max="5" width="13.6640625" bestFit="1" customWidth="1"/>
    <col min="6" max="6" width="14.33203125" bestFit="1" customWidth="1"/>
    <col min="9" max="9" width="12" bestFit="1" customWidth="1"/>
    <col min="10" max="10" width="12.33203125" bestFit="1" customWidth="1"/>
    <col min="11" max="11" width="13.6640625" bestFit="1" customWidth="1"/>
    <col min="12" max="12" width="18.33203125" bestFit="1" customWidth="1"/>
    <col min="13" max="13" width="14.33203125" bestFit="1" customWidth="1"/>
    <col min="18" max="20" width="9" bestFit="1" customWidth="1"/>
    <col min="21" max="21" width="17" bestFit="1" customWidth="1"/>
    <col min="22" max="22" width="7.6640625" bestFit="1" customWidth="1"/>
    <col min="23" max="23" width="17" bestFit="1" customWidth="1"/>
    <col min="24" max="24" width="7.6640625" bestFit="1" customWidth="1"/>
    <col min="25" max="25" width="8.5" bestFit="1" customWidth="1"/>
    <col min="26" max="26" width="27.6640625" bestFit="1" customWidth="1"/>
    <col min="27" max="27" width="12.33203125" bestFit="1" customWidth="1"/>
    <col min="28" max="28" width="16.5" bestFit="1" customWidth="1"/>
    <col min="29" max="29" width="6.33203125" bestFit="1" customWidth="1"/>
  </cols>
  <sheetData>
    <row r="1" spans="1:30" x14ac:dyDescent="0.2">
      <c r="A1" s="4" t="s">
        <v>21</v>
      </c>
    </row>
    <row r="2" spans="1:30" ht="16" thickBot="1" x14ac:dyDescent="0.25">
      <c r="A2" s="41" t="s">
        <v>342</v>
      </c>
    </row>
    <row r="3" spans="1:30" x14ac:dyDescent="0.2">
      <c r="A3" s="434" t="s">
        <v>343</v>
      </c>
      <c r="B3" s="435"/>
      <c r="C3" s="436"/>
      <c r="D3" s="437" t="s">
        <v>344</v>
      </c>
      <c r="E3" s="437"/>
      <c r="F3" s="437"/>
      <c r="G3" s="437"/>
      <c r="H3" s="437"/>
      <c r="I3" s="437"/>
      <c r="J3" s="438"/>
      <c r="K3" s="439" t="s">
        <v>345</v>
      </c>
      <c r="L3" s="440"/>
      <c r="M3" s="440"/>
      <c r="N3" s="440"/>
      <c r="O3" s="440"/>
      <c r="P3" s="440"/>
      <c r="Q3" s="441"/>
      <c r="R3" s="442" t="s">
        <v>346</v>
      </c>
      <c r="S3" s="443"/>
      <c r="T3" s="448"/>
      <c r="U3" s="430" t="s">
        <v>4571</v>
      </c>
      <c r="V3" s="444"/>
      <c r="W3" s="430" t="s">
        <v>4572</v>
      </c>
      <c r="X3" s="430"/>
      <c r="Y3" s="431" t="s">
        <v>347</v>
      </c>
      <c r="Z3" s="432"/>
      <c r="AA3" s="432"/>
      <c r="AB3" s="432"/>
      <c r="AC3" s="433"/>
    </row>
    <row r="4" spans="1:30" ht="16" thickBot="1" x14ac:dyDescent="0.25">
      <c r="A4" s="106" t="s">
        <v>0</v>
      </c>
      <c r="B4" s="107" t="s">
        <v>348</v>
      </c>
      <c r="C4" s="108" t="s">
        <v>349</v>
      </c>
      <c r="D4" s="109" t="s">
        <v>350</v>
      </c>
      <c r="E4" s="110" t="s">
        <v>351</v>
      </c>
      <c r="F4" s="110" t="s">
        <v>352</v>
      </c>
      <c r="G4" s="110" t="s">
        <v>353</v>
      </c>
      <c r="H4" s="110" t="s">
        <v>354</v>
      </c>
      <c r="I4" s="110" t="s">
        <v>355</v>
      </c>
      <c r="J4" s="110" t="s">
        <v>356</v>
      </c>
      <c r="K4" s="111" t="s">
        <v>350</v>
      </c>
      <c r="L4" s="112" t="s">
        <v>351</v>
      </c>
      <c r="M4" s="112" t="s">
        <v>352</v>
      </c>
      <c r="N4" s="112" t="s">
        <v>353</v>
      </c>
      <c r="O4" s="112" t="s">
        <v>354</v>
      </c>
      <c r="P4" s="112" t="s">
        <v>355</v>
      </c>
      <c r="Q4" s="119" t="s">
        <v>356</v>
      </c>
      <c r="R4" s="113" t="s">
        <v>357</v>
      </c>
      <c r="S4" s="114" t="s">
        <v>358</v>
      </c>
      <c r="T4" s="115" t="s">
        <v>359</v>
      </c>
      <c r="U4" s="116" t="s">
        <v>360</v>
      </c>
      <c r="V4" s="116" t="s">
        <v>361</v>
      </c>
      <c r="W4" s="328" t="s">
        <v>360</v>
      </c>
      <c r="X4" s="116" t="s">
        <v>361</v>
      </c>
      <c r="Y4" s="102" t="s">
        <v>39</v>
      </c>
      <c r="Z4" s="103" t="s">
        <v>5321</v>
      </c>
      <c r="AA4" s="103" t="s">
        <v>362</v>
      </c>
      <c r="AB4" s="103" t="s">
        <v>5385</v>
      </c>
      <c r="AC4" s="182" t="s">
        <v>41</v>
      </c>
    </row>
    <row r="5" spans="1:30" ht="16" thickBot="1" x14ac:dyDescent="0.25">
      <c r="A5" s="156" t="s">
        <v>5472</v>
      </c>
      <c r="B5" s="156" t="s">
        <v>5303</v>
      </c>
      <c r="C5" s="157" t="s">
        <v>364</v>
      </c>
      <c r="D5" s="157">
        <v>0.151667</v>
      </c>
      <c r="E5" s="157">
        <v>0.29858800000000002</v>
      </c>
      <c r="F5" s="157">
        <v>0.70672299999999999</v>
      </c>
      <c r="G5" s="157" t="s">
        <v>5316</v>
      </c>
      <c r="H5" s="246" t="s">
        <v>5317</v>
      </c>
      <c r="I5" s="157">
        <v>0</v>
      </c>
      <c r="J5" s="189">
        <v>0.97</v>
      </c>
      <c r="K5" s="157" t="s">
        <v>366</v>
      </c>
      <c r="L5" s="157" t="s">
        <v>366</v>
      </c>
      <c r="M5" s="157" t="s">
        <v>366</v>
      </c>
      <c r="N5" s="157" t="s">
        <v>366</v>
      </c>
      <c r="O5" s="157" t="s">
        <v>366</v>
      </c>
      <c r="P5" s="157" t="s">
        <v>366</v>
      </c>
      <c r="Q5" s="157" t="s">
        <v>366</v>
      </c>
      <c r="R5" s="157">
        <v>0.19558800000000001</v>
      </c>
      <c r="S5" s="157">
        <v>0.37568499999999999</v>
      </c>
      <c r="T5" s="157">
        <v>0.74518499999999999</v>
      </c>
      <c r="U5" s="247" t="s">
        <v>366</v>
      </c>
      <c r="V5" s="311">
        <v>1</v>
      </c>
      <c r="W5" s="236" t="s">
        <v>366</v>
      </c>
      <c r="X5" s="247" t="s">
        <v>366</v>
      </c>
      <c r="Y5" s="15">
        <v>999</v>
      </c>
      <c r="Z5" s="15" t="s">
        <v>5477</v>
      </c>
      <c r="AA5" s="15">
        <v>6</v>
      </c>
      <c r="AB5" s="15" t="s">
        <v>5443</v>
      </c>
      <c r="AC5" t="s">
        <v>5381</v>
      </c>
      <c r="AD5" s="18"/>
    </row>
    <row r="6" spans="1:30" x14ac:dyDescent="0.2">
      <c r="AC6" s="36"/>
    </row>
    <row r="10" spans="1:30" x14ac:dyDescent="0.2">
      <c r="A10" s="34" t="s">
        <v>372</v>
      </c>
    </row>
    <row r="11" spans="1:30" s="15" customFormat="1" ht="16" thickBot="1" x14ac:dyDescent="0.25"/>
    <row r="12" spans="1:30" x14ac:dyDescent="0.2">
      <c r="A12" s="34" t="s">
        <v>5303</v>
      </c>
    </row>
    <row r="13" spans="1:30" x14ac:dyDescent="0.2">
      <c r="A13" s="37" t="s">
        <v>5307</v>
      </c>
      <c r="B13" s="281" t="s">
        <v>5445</v>
      </c>
      <c r="C13" s="308"/>
      <c r="J13" s="41"/>
    </row>
    <row r="14" spans="1:30" x14ac:dyDescent="0.2">
      <c r="A14" s="37" t="s">
        <v>375</v>
      </c>
      <c r="B14" s="38">
        <v>211</v>
      </c>
    </row>
    <row r="15" spans="1:30" ht="17" x14ac:dyDescent="0.2">
      <c r="A15" s="37" t="s">
        <v>376</v>
      </c>
      <c r="B15">
        <v>1.6289999999999999E-2</v>
      </c>
    </row>
    <row r="16" spans="1:30" x14ac:dyDescent="0.2">
      <c r="B16" s="38"/>
      <c r="O16" s="41" t="s">
        <v>4810</v>
      </c>
    </row>
    <row r="17" spans="2:18" x14ac:dyDescent="0.2">
      <c r="B17" s="38"/>
      <c r="M17" s="243" t="s">
        <v>5031</v>
      </c>
      <c r="O17" t="s">
        <v>4806</v>
      </c>
      <c r="P17">
        <f>VALUE(TRIM(RIGHT(TEXT(M19,),LEN(M19)-LEN("Metric_1")-4)))</f>
        <v>0.151667</v>
      </c>
      <c r="Q17">
        <f>VALUE(TRIM(RIGHT(TEXT(M23,),LEN(M23)-LEN("Metric_1")-4)))</f>
        <v>0.29858800000000002</v>
      </c>
      <c r="R17">
        <f>VALUE(TRIM(RIGHT(TEXT(M27,),LEN(M27)-LEN("Metric_1")-4)))</f>
        <v>0.70672299999999999</v>
      </c>
    </row>
    <row r="18" spans="2:18" x14ac:dyDescent="0.2">
      <c r="B18" s="38"/>
      <c r="M18" t="s">
        <v>5312</v>
      </c>
      <c r="O18" t="s">
        <v>4807</v>
      </c>
      <c r="P18">
        <f>VALUE(TRIM(RIGHT(TEXT(M20,),LEN(M20)-LEN("Metric_2")-4)))</f>
        <v>0</v>
      </c>
      <c r="Q18">
        <f>VALUE(TRIM(RIGHT(TEXT(M24,),LEN(M24)-LEN("Metric_2")-4)))</f>
        <v>0</v>
      </c>
      <c r="R18">
        <f>VALUE(TRIM(RIGHT(TEXT(M28,),LEN(M28)-LEN("Metric_2")-4)))</f>
        <v>0</v>
      </c>
    </row>
    <row r="19" spans="2:18" x14ac:dyDescent="0.2">
      <c r="B19" s="38"/>
      <c r="M19" t="s">
        <v>5313</v>
      </c>
      <c r="O19" t="s">
        <v>4808</v>
      </c>
      <c r="P19">
        <f>VALUE(TRIM(RIGHT(M18,LEN(M18)-LEN("Intercept")-4)))</f>
        <v>0.19558800000000001</v>
      </c>
      <c r="Q19">
        <f>VALUE(TRIM(RIGHT(M22,LEN(M22)-LEN("Intercept")-4)))</f>
        <v>0.37568499999999999</v>
      </c>
      <c r="R19">
        <f>VALUE(TRIM(RIGHT(M26,LEN(M26)-LEN("Intercept")-4)))</f>
        <v>0.74518499999999999</v>
      </c>
    </row>
    <row r="20" spans="2:18" x14ac:dyDescent="0.2">
      <c r="B20" s="38"/>
      <c r="M20" t="s">
        <v>5116</v>
      </c>
    </row>
    <row r="21" spans="2:18" x14ac:dyDescent="0.2">
      <c r="B21" s="38"/>
      <c r="M21" t="s">
        <v>5032</v>
      </c>
    </row>
    <row r="22" spans="2:18" x14ac:dyDescent="0.2">
      <c r="B22" s="38"/>
      <c r="M22" t="s">
        <v>5310</v>
      </c>
    </row>
    <row r="23" spans="2:18" x14ac:dyDescent="0.2">
      <c r="B23" s="38"/>
      <c r="M23" t="s">
        <v>5311</v>
      </c>
    </row>
    <row r="24" spans="2:18" x14ac:dyDescent="0.2">
      <c r="B24" s="38"/>
      <c r="M24" t="s">
        <v>5116</v>
      </c>
    </row>
    <row r="25" spans="2:18" x14ac:dyDescent="0.2">
      <c r="B25" s="38"/>
      <c r="M25" t="s">
        <v>5033</v>
      </c>
    </row>
    <row r="26" spans="2:18" x14ac:dyDescent="0.2">
      <c r="B26" s="38"/>
      <c r="M26" t="s">
        <v>5308</v>
      </c>
    </row>
    <row r="27" spans="2:18" x14ac:dyDescent="0.2">
      <c r="B27" s="38"/>
      <c r="M27" t="s">
        <v>5309</v>
      </c>
    </row>
    <row r="28" spans="2:18" x14ac:dyDescent="0.2">
      <c r="B28" s="38"/>
      <c r="M28" t="s">
        <v>5116</v>
      </c>
    </row>
  </sheetData>
  <mergeCells count="7">
    <mergeCell ref="W3:X3"/>
    <mergeCell ref="Y3:AC3"/>
    <mergeCell ref="A3:C3"/>
    <mergeCell ref="D3:J3"/>
    <mergeCell ref="K3:Q3"/>
    <mergeCell ref="R3:T3"/>
    <mergeCell ref="U3:V3"/>
  </mergeCells>
  <hyperlinks>
    <hyperlink ref="A1" location="'Table of Contents'!A1" display="Table of Contents" xr:uid="{44F42832-EDA8-4C88-8F89-A68097E4D99D}"/>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94CB4-0EFA-4A77-B20E-0891D34652CF}">
  <dimension ref="A1:AJ539"/>
  <sheetViews>
    <sheetView topLeftCell="K1" zoomScale="90" zoomScaleNormal="90" workbookViewId="0">
      <selection activeCell="AB9" sqref="AB9"/>
    </sheetView>
  </sheetViews>
  <sheetFormatPr baseColWidth="10" defaultColWidth="8.83203125" defaultRowHeight="15" x14ac:dyDescent="0.2"/>
  <cols>
    <col min="1" max="1" width="12.5" customWidth="1"/>
    <col min="2" max="2" width="14.5" customWidth="1"/>
    <col min="3" max="3" width="8.6640625" bestFit="1" customWidth="1"/>
    <col min="4" max="4" width="8.6640625" style="38" bestFit="1" customWidth="1"/>
    <col min="5" max="5" width="10" customWidth="1"/>
    <col min="6" max="6" width="9.5" customWidth="1"/>
    <col min="7" max="7" width="8.6640625" bestFit="1" customWidth="1"/>
    <col min="8" max="8" width="12.5" customWidth="1"/>
    <col min="9" max="10" width="8.6640625" bestFit="1" customWidth="1"/>
    <col min="11" max="11" width="9.5" customWidth="1"/>
    <col min="12" max="12" width="10.5" style="39" bestFit="1" customWidth="1"/>
    <col min="13" max="14" width="10.5" style="39" customWidth="1"/>
    <col min="15" max="15" width="11.5" customWidth="1"/>
    <col min="16" max="16" width="10.5" customWidth="1"/>
    <col min="17" max="17" width="13.5" customWidth="1"/>
    <col min="18" max="18" width="12" customWidth="1"/>
    <col min="19" max="19" width="11.5" customWidth="1"/>
    <col min="20" max="20" width="10" customWidth="1"/>
    <col min="21" max="21" width="8.6640625" bestFit="1" customWidth="1"/>
    <col min="22" max="22" width="14.5" customWidth="1"/>
    <col min="23" max="23" width="8.6640625" bestFit="1" customWidth="1"/>
    <col min="24" max="24" width="16.33203125" customWidth="1"/>
    <col min="25" max="25" width="17.33203125" customWidth="1"/>
    <col min="27" max="27" width="20.6640625" bestFit="1" customWidth="1"/>
    <col min="28" max="36" width="8.6640625" bestFit="1" customWidth="1"/>
  </cols>
  <sheetData>
    <row r="1" spans="1:36" x14ac:dyDescent="0.2">
      <c r="A1" s="51" t="s">
        <v>21</v>
      </c>
    </row>
    <row r="2" spans="1:36" ht="19" x14ac:dyDescent="0.25">
      <c r="A2" s="24" t="s">
        <v>22</v>
      </c>
      <c r="M2" s="358" t="s">
        <v>5305</v>
      </c>
      <c r="AA2" s="169" t="s">
        <v>23</v>
      </c>
      <c r="AB2" s="64"/>
      <c r="AC2" s="170"/>
      <c r="AD2" s="170"/>
      <c r="AE2" s="170"/>
      <c r="AF2" s="170"/>
      <c r="AG2" s="445" t="s">
        <v>24</v>
      </c>
      <c r="AH2" s="446"/>
      <c r="AI2" s="170"/>
      <c r="AJ2" s="170"/>
    </row>
    <row r="3" spans="1:36" s="70" customFormat="1" ht="36" x14ac:dyDescent="0.2">
      <c r="A3" s="59" t="s">
        <v>0</v>
      </c>
      <c r="B3" s="60" t="s">
        <v>25</v>
      </c>
      <c r="C3" s="69" t="s">
        <v>389</v>
      </c>
      <c r="D3" s="359" t="s">
        <v>1319</v>
      </c>
      <c r="E3" s="69" t="s">
        <v>27</v>
      </c>
      <c r="F3" s="69" t="s">
        <v>1830</v>
      </c>
      <c r="G3" s="69" t="s">
        <v>1831</v>
      </c>
      <c r="H3" s="69" t="s">
        <v>1832</v>
      </c>
      <c r="I3" s="69" t="s">
        <v>1833</v>
      </c>
      <c r="J3" s="69" t="s">
        <v>5110</v>
      </c>
      <c r="K3" s="60" t="s">
        <v>31</v>
      </c>
      <c r="L3" s="71" t="s">
        <v>395</v>
      </c>
      <c r="M3" s="71" t="s">
        <v>1834</v>
      </c>
      <c r="N3" s="71" t="s">
        <v>5111</v>
      </c>
      <c r="O3" s="60" t="s">
        <v>396</v>
      </c>
      <c r="P3" s="60" t="s">
        <v>35</v>
      </c>
      <c r="Q3" s="60" t="s">
        <v>36</v>
      </c>
      <c r="R3" s="60" t="s">
        <v>37</v>
      </c>
      <c r="S3" s="60" t="s">
        <v>38</v>
      </c>
      <c r="T3" s="60" t="s">
        <v>39</v>
      </c>
      <c r="U3" s="62" t="s">
        <v>40</v>
      </c>
      <c r="V3" s="62" t="s">
        <v>41</v>
      </c>
      <c r="W3" s="62" t="s">
        <v>43</v>
      </c>
      <c r="X3" s="67" t="s">
        <v>44</v>
      </c>
      <c r="Y3" s="123" t="s">
        <v>2707</v>
      </c>
      <c r="AA3" s="171" t="s">
        <v>0</v>
      </c>
      <c r="AB3" s="172" t="s">
        <v>25</v>
      </c>
      <c r="AC3" s="172" t="s">
        <v>58</v>
      </c>
      <c r="AD3" s="172" t="s">
        <v>59</v>
      </c>
      <c r="AE3" s="172" t="s">
        <v>60</v>
      </c>
      <c r="AF3" s="172" t="s">
        <v>61</v>
      </c>
      <c r="AG3" s="172" t="s">
        <v>62</v>
      </c>
      <c r="AH3" s="172" t="s">
        <v>63</v>
      </c>
      <c r="AI3" s="172" t="s">
        <v>64</v>
      </c>
      <c r="AJ3" s="173" t="s">
        <v>43</v>
      </c>
    </row>
    <row r="4" spans="1:36" x14ac:dyDescent="0.2">
      <c r="A4" s="272" t="s">
        <v>7</v>
      </c>
      <c r="B4" s="273"/>
      <c r="C4" s="273" t="s">
        <v>5035</v>
      </c>
      <c r="D4" s="360">
        <v>69114182</v>
      </c>
      <c r="E4" s="273" t="s">
        <v>401</v>
      </c>
      <c r="F4" s="273">
        <v>58.33</v>
      </c>
      <c r="G4" s="273" t="s">
        <v>1835</v>
      </c>
      <c r="H4" s="273" t="s">
        <v>5036</v>
      </c>
      <c r="I4" s="273" t="s">
        <v>1836</v>
      </c>
      <c r="J4" s="273"/>
      <c r="K4" s="273"/>
      <c r="L4" s="274">
        <v>111.49</v>
      </c>
      <c r="M4" s="274">
        <v>1.91</v>
      </c>
      <c r="N4" s="274"/>
      <c r="O4" s="273"/>
      <c r="P4" s="273"/>
      <c r="Q4" s="273"/>
      <c r="R4" s="273"/>
      <c r="S4" s="273"/>
      <c r="T4" s="273"/>
      <c r="U4" s="273">
        <v>2023</v>
      </c>
      <c r="V4" s="273"/>
      <c r="W4" s="273" t="s">
        <v>99</v>
      </c>
      <c r="X4" s="273" t="s">
        <v>5037</v>
      </c>
      <c r="Y4" s="275" t="s">
        <v>5038</v>
      </c>
      <c r="AA4" s="25" t="s">
        <v>7</v>
      </c>
      <c r="AB4" s="25" t="s">
        <v>401</v>
      </c>
      <c r="AC4" s="197">
        <f>AVERAGE(Q436:Q455)</f>
        <v>10.549999999999999</v>
      </c>
      <c r="AD4" s="197">
        <f>AVERAGE(S436:S455)</f>
        <v>1.3825000000000001</v>
      </c>
      <c r="AE4" s="303">
        <f>AC4</f>
        <v>10.549999999999999</v>
      </c>
      <c r="AF4" s="303">
        <f>AE4+AD4</f>
        <v>11.932499999999999</v>
      </c>
      <c r="AG4" s="304">
        <f>1+(AC4/(AVERAGE(M436:M455)))</f>
        <v>3.2496900570295066</v>
      </c>
      <c r="AH4" s="304">
        <f>AG4+(AD4/AVERAGE(M436:M455))</f>
        <v>3.5444954128440367</v>
      </c>
      <c r="AI4" s="305">
        <v>2023</v>
      </c>
      <c r="AJ4" s="305" t="s">
        <v>338</v>
      </c>
    </row>
    <row r="5" spans="1:36" x14ac:dyDescent="0.2">
      <c r="A5" s="276" t="s">
        <v>7</v>
      </c>
      <c r="B5" s="277"/>
      <c r="C5" s="277" t="s">
        <v>5035</v>
      </c>
      <c r="D5" s="361">
        <v>6912458</v>
      </c>
      <c r="E5" s="277" t="s">
        <v>401</v>
      </c>
      <c r="F5" s="277">
        <v>100</v>
      </c>
      <c r="G5" s="277" t="s">
        <v>1835</v>
      </c>
      <c r="H5" s="277" t="s">
        <v>5039</v>
      </c>
      <c r="I5" s="277" t="s">
        <v>1836</v>
      </c>
      <c r="J5" s="277"/>
      <c r="K5" s="277"/>
      <c r="L5" s="278">
        <v>92</v>
      </c>
      <c r="M5" s="278">
        <v>0.92</v>
      </c>
      <c r="N5" s="278"/>
      <c r="O5" s="277"/>
      <c r="P5" s="277"/>
      <c r="Q5" s="277"/>
      <c r="R5" s="277"/>
      <c r="S5" s="277"/>
      <c r="T5" s="277"/>
      <c r="U5" s="277">
        <v>2023</v>
      </c>
      <c r="V5" s="277"/>
      <c r="W5" s="277" t="s">
        <v>99</v>
      </c>
      <c r="X5" s="277" t="s">
        <v>5040</v>
      </c>
      <c r="Y5" s="279" t="s">
        <v>5038</v>
      </c>
      <c r="AA5" s="305" t="s">
        <v>7</v>
      </c>
      <c r="AB5" s="305" t="s">
        <v>4691</v>
      </c>
      <c r="AC5" s="303">
        <f>AVERAGE(Q336:Q355)</f>
        <v>8.1254859423811201</v>
      </c>
      <c r="AD5" s="303">
        <f>AVERAGE(S336:S355)</f>
        <v>1.4092000000000002</v>
      </c>
      <c r="AE5" s="303">
        <f>AC5</f>
        <v>8.1254859423811201</v>
      </c>
      <c r="AF5" s="303">
        <f>AE5+AD5</f>
        <v>9.5346859423811203</v>
      </c>
      <c r="AG5" s="304">
        <f>1+(AC5/(AVERAGE(M336:M355)))</f>
        <v>2.7131448664985935</v>
      </c>
      <c r="AH5" s="304">
        <f>AG5+(AD5/AVERAGE(M336:M355))</f>
        <v>3.0102549424976131</v>
      </c>
      <c r="AI5" s="305">
        <v>2023</v>
      </c>
      <c r="AJ5" s="305" t="s">
        <v>338</v>
      </c>
    </row>
    <row r="6" spans="1:36" x14ac:dyDescent="0.2">
      <c r="A6" s="272" t="s">
        <v>7</v>
      </c>
      <c r="B6" s="273"/>
      <c r="C6" s="273" t="s">
        <v>5035</v>
      </c>
      <c r="D6" s="360">
        <v>69124</v>
      </c>
      <c r="E6" s="273" t="s">
        <v>401</v>
      </c>
      <c r="F6" s="273">
        <v>100</v>
      </c>
      <c r="G6" s="273" t="s">
        <v>1837</v>
      </c>
      <c r="H6" s="273" t="s">
        <v>5041</v>
      </c>
      <c r="I6" s="273" t="s">
        <v>1836</v>
      </c>
      <c r="J6" s="273"/>
      <c r="K6" s="273"/>
      <c r="L6" s="274">
        <v>156</v>
      </c>
      <c r="M6" s="274">
        <v>1.56</v>
      </c>
      <c r="N6" s="274"/>
      <c r="O6" s="273"/>
      <c r="P6" s="273"/>
      <c r="Q6" s="273"/>
      <c r="R6" s="273"/>
      <c r="S6" s="273"/>
      <c r="T6" s="273"/>
      <c r="U6" s="273">
        <v>2023</v>
      </c>
      <c r="V6" s="273"/>
      <c r="W6" s="273" t="s">
        <v>99</v>
      </c>
      <c r="X6" s="273" t="s">
        <v>5042</v>
      </c>
      <c r="Y6" s="275" t="s">
        <v>5038</v>
      </c>
      <c r="AA6" s="305" t="s">
        <v>7</v>
      </c>
      <c r="AB6" s="25" t="s">
        <v>917</v>
      </c>
      <c r="AC6" s="197">
        <f>AVERAGE(Q356:Q375)</f>
        <v>8.9527131782945766</v>
      </c>
      <c r="AD6" s="197">
        <f>AVERAGE(S356:S374)</f>
        <v>1.4289473684210527</v>
      </c>
      <c r="AE6" s="303">
        <f t="shared" ref="AE6:AE8" si="0">AC6</f>
        <v>8.9527131782945766</v>
      </c>
      <c r="AF6" s="303">
        <f t="shared" ref="AF6:AF8" si="1">AE6+AD6</f>
        <v>10.381660546715629</v>
      </c>
      <c r="AG6" s="304">
        <f>1+(AC6/(AVERAGE(M356:M375)))</f>
        <v>3.8123706319249973</v>
      </c>
      <c r="AH6" s="304">
        <f>AG6+(AD6/AVERAGE(M356:M375))</f>
        <v>4.261254622004909</v>
      </c>
      <c r="AI6" s="305">
        <v>2023</v>
      </c>
      <c r="AJ6" s="305" t="s">
        <v>338</v>
      </c>
    </row>
    <row r="7" spans="1:36" x14ac:dyDescent="0.2">
      <c r="A7" s="276" t="s">
        <v>7</v>
      </c>
      <c r="B7" s="277"/>
      <c r="C7" s="277" t="s">
        <v>5035</v>
      </c>
      <c r="D7" s="362">
        <v>691000000</v>
      </c>
      <c r="E7" s="277" t="s">
        <v>401</v>
      </c>
      <c r="F7" s="277">
        <v>100</v>
      </c>
      <c r="G7" s="277" t="s">
        <v>1838</v>
      </c>
      <c r="H7" s="277" t="s">
        <v>5043</v>
      </c>
      <c r="I7" s="277" t="s">
        <v>1836</v>
      </c>
      <c r="J7" s="277"/>
      <c r="K7" s="277"/>
      <c r="L7" s="278">
        <v>142.19999999999999</v>
      </c>
      <c r="M7" s="278">
        <v>1.42</v>
      </c>
      <c r="N7" s="278"/>
      <c r="O7" s="277"/>
      <c r="P7" s="277"/>
      <c r="Q7" s="277"/>
      <c r="R7" s="277"/>
      <c r="S7" s="277"/>
      <c r="T7" s="277"/>
      <c r="U7" s="277">
        <v>2023</v>
      </c>
      <c r="V7" s="277"/>
      <c r="W7" s="277" t="s">
        <v>99</v>
      </c>
      <c r="X7" s="277" t="s">
        <v>5044</v>
      </c>
      <c r="Y7" s="279" t="s">
        <v>5038</v>
      </c>
      <c r="AA7" s="305" t="s">
        <v>7</v>
      </c>
      <c r="AB7" s="25" t="s">
        <v>991</v>
      </c>
      <c r="AC7" s="197">
        <f>AVERAGE(Q376:Q395)</f>
        <v>12.126356589147289</v>
      </c>
      <c r="AD7" s="197">
        <f>AVERAGE(S376:S395)</f>
        <v>1.4010562015503878</v>
      </c>
      <c r="AE7" s="303">
        <f t="shared" si="0"/>
        <v>12.126356589147289</v>
      </c>
      <c r="AF7" s="303">
        <f t="shared" si="1"/>
        <v>13.527412790697676</v>
      </c>
      <c r="AG7" s="304">
        <f>1+(AC7/(AVERAGE(M376:M395)))</f>
        <v>2.6602632137550417</v>
      </c>
      <c r="AH7" s="304">
        <f>AG7+(AD7/AVERAGE(M376:M395))</f>
        <v>2.8520868711526219</v>
      </c>
      <c r="AI7" s="305">
        <v>2023</v>
      </c>
      <c r="AJ7" s="305" t="s">
        <v>338</v>
      </c>
    </row>
    <row r="8" spans="1:36" x14ac:dyDescent="0.2">
      <c r="A8" s="272" t="s">
        <v>7</v>
      </c>
      <c r="B8" s="273"/>
      <c r="C8" s="273" t="s">
        <v>5035</v>
      </c>
      <c r="D8" s="360">
        <v>69124027</v>
      </c>
      <c r="E8" s="273" t="s">
        <v>401</v>
      </c>
      <c r="F8" s="273">
        <v>100</v>
      </c>
      <c r="G8" s="273" t="s">
        <v>1839</v>
      </c>
      <c r="H8" s="273" t="s">
        <v>5045</v>
      </c>
      <c r="I8" s="273" t="s">
        <v>1836</v>
      </c>
      <c r="J8" s="273"/>
      <c r="K8" s="273"/>
      <c r="L8" s="274">
        <v>134</v>
      </c>
      <c r="M8" s="274">
        <v>1.34</v>
      </c>
      <c r="N8" s="274"/>
      <c r="O8" s="273"/>
      <c r="P8" s="273"/>
      <c r="Q8" s="273"/>
      <c r="R8" s="273"/>
      <c r="S8" s="273"/>
      <c r="T8" s="273"/>
      <c r="U8" s="273">
        <v>2023</v>
      </c>
      <c r="V8" s="273"/>
      <c r="W8" s="273" t="s">
        <v>99</v>
      </c>
      <c r="X8" s="273" t="s">
        <v>5046</v>
      </c>
      <c r="Y8" s="275" t="s">
        <v>5038</v>
      </c>
      <c r="AA8" s="305" t="s">
        <v>7</v>
      </c>
      <c r="AB8" s="25" t="s">
        <v>4765</v>
      </c>
      <c r="AC8" s="197">
        <f>AVERAGE(Q396:Q415)</f>
        <v>10.681007751937987</v>
      </c>
      <c r="AD8" s="197">
        <f>AVERAGE(S396:S415)</f>
        <v>1.4091666666666669</v>
      </c>
      <c r="AE8" s="303">
        <f t="shared" si="0"/>
        <v>10.681007751937987</v>
      </c>
      <c r="AF8" s="303">
        <f t="shared" si="1"/>
        <v>12.090174418604654</v>
      </c>
      <c r="AG8" s="304">
        <f>1+(AC8/(AVERAGE(M396:M415)))</f>
        <v>3.1295981452859349</v>
      </c>
      <c r="AH8" s="304">
        <f>AG8+(AD8/AVERAGE(M396:M415))</f>
        <v>3.4105602782071096</v>
      </c>
      <c r="AI8" s="305">
        <v>2023</v>
      </c>
      <c r="AJ8" s="305" t="s">
        <v>338</v>
      </c>
    </row>
    <row r="9" spans="1:36" x14ac:dyDescent="0.2">
      <c r="A9" s="276" t="s">
        <v>7</v>
      </c>
      <c r="B9" s="277"/>
      <c r="C9" s="277" t="s">
        <v>5035</v>
      </c>
      <c r="D9" s="361">
        <v>69124033</v>
      </c>
      <c r="E9" s="277" t="s">
        <v>401</v>
      </c>
      <c r="F9" s="277">
        <v>100</v>
      </c>
      <c r="G9" s="277" t="s">
        <v>1837</v>
      </c>
      <c r="H9" s="277" t="s">
        <v>5047</v>
      </c>
      <c r="I9" s="277" t="s">
        <v>1836</v>
      </c>
      <c r="J9" s="277"/>
      <c r="K9" s="277"/>
      <c r="L9" s="278">
        <v>109.13</v>
      </c>
      <c r="M9" s="278">
        <v>1.0900000000000001</v>
      </c>
      <c r="N9" s="278"/>
      <c r="O9" s="277"/>
      <c r="P9" s="277"/>
      <c r="Q9" s="277"/>
      <c r="R9" s="277"/>
      <c r="S9" s="277"/>
      <c r="T9" s="277"/>
      <c r="U9" s="277">
        <v>2023</v>
      </c>
      <c r="V9" s="277"/>
      <c r="W9" s="277" t="s">
        <v>99</v>
      </c>
      <c r="X9" s="277" t="s">
        <v>5048</v>
      </c>
      <c r="Y9" s="279" t="s">
        <v>5038</v>
      </c>
      <c r="AA9" s="305" t="s">
        <v>7</v>
      </c>
      <c r="AB9" s="25" t="s">
        <v>4805</v>
      </c>
      <c r="AC9" s="197">
        <f>AVERAGE(Q416:Q435)</f>
        <v>17.906589147286816</v>
      </c>
      <c r="AD9" s="197">
        <f>AVERAGE(S416:S435)</f>
        <v>1.4091666666666669</v>
      </c>
      <c r="AE9" s="303">
        <f>AC9</f>
        <v>17.906589147286816</v>
      </c>
      <c r="AF9" s="303">
        <f>AE9+AD9</f>
        <v>19.315755813953484</v>
      </c>
      <c r="AG9" s="304">
        <f>1+(AC9/(AVERAGE(M416:M435)))</f>
        <v>2.7232002983961205</v>
      </c>
      <c r="AH9" s="304">
        <f>AG9+(AD9/AVERAGE(M416:M435))</f>
        <v>2.8588082804923531</v>
      </c>
      <c r="AI9" s="305">
        <v>2023</v>
      </c>
      <c r="AJ9" s="305" t="s">
        <v>338</v>
      </c>
    </row>
    <row r="10" spans="1:36" x14ac:dyDescent="0.2">
      <c r="A10" s="272" t="s">
        <v>7</v>
      </c>
      <c r="B10" s="273"/>
      <c r="C10" s="273" t="s">
        <v>5035</v>
      </c>
      <c r="D10" s="360">
        <v>6912484</v>
      </c>
      <c r="E10" s="273" t="s">
        <v>401</v>
      </c>
      <c r="F10" s="273">
        <v>100</v>
      </c>
      <c r="G10" s="273" t="s">
        <v>1835</v>
      </c>
      <c r="H10" s="273" t="s">
        <v>5049</v>
      </c>
      <c r="I10" s="273" t="s">
        <v>1836</v>
      </c>
      <c r="J10" s="273"/>
      <c r="K10" s="273"/>
      <c r="L10" s="274">
        <v>107.68</v>
      </c>
      <c r="M10" s="274">
        <v>1.08</v>
      </c>
      <c r="N10" s="274"/>
      <c r="O10" s="273"/>
      <c r="P10" s="273"/>
      <c r="Q10" s="273"/>
      <c r="R10" s="273"/>
      <c r="S10" s="273"/>
      <c r="T10" s="273"/>
      <c r="U10" s="273">
        <v>2023</v>
      </c>
      <c r="V10" s="273"/>
      <c r="W10" s="273" t="s">
        <v>99</v>
      </c>
      <c r="X10" s="273" t="s">
        <v>5050</v>
      </c>
      <c r="Y10" s="275" t="s">
        <v>5038</v>
      </c>
      <c r="AA10" s="305" t="s">
        <v>7</v>
      </c>
      <c r="AB10" s="25" t="s">
        <v>5112</v>
      </c>
      <c r="AC10" s="197">
        <f>AVERAGE(Q456:Q475)</f>
        <v>12.886046511627907</v>
      </c>
      <c r="AD10" s="197">
        <f>AVERAGE(S456:S475)</f>
        <v>1.4091666666666669</v>
      </c>
      <c r="AE10" s="303">
        <f>AC10</f>
        <v>12.886046511627907</v>
      </c>
      <c r="AF10" s="303">
        <f>AE10+AD10</f>
        <v>14.295213178294574</v>
      </c>
      <c r="AG10" s="304">
        <f>1+(AC10/(AVERAGE(M456:M475)))</f>
        <v>2.7567239101717309</v>
      </c>
      <c r="AH10" s="306">
        <f>AG10+(AD10/AVERAGE(M456:M475))</f>
        <v>2.9488322324966978</v>
      </c>
      <c r="AI10" s="305">
        <v>2023</v>
      </c>
      <c r="AJ10" s="305" t="s">
        <v>338</v>
      </c>
    </row>
    <row r="11" spans="1:36" x14ac:dyDescent="0.2">
      <c r="A11" s="276" t="s">
        <v>7</v>
      </c>
      <c r="B11" s="277"/>
      <c r="C11" s="277" t="s">
        <v>5035</v>
      </c>
      <c r="D11" s="362">
        <v>691000000</v>
      </c>
      <c r="E11" s="277" t="s">
        <v>401</v>
      </c>
      <c r="F11" s="277">
        <v>58.33</v>
      </c>
      <c r="G11" s="277" t="s">
        <v>1838</v>
      </c>
      <c r="H11" s="277" t="s">
        <v>5043</v>
      </c>
      <c r="I11" s="277" t="s">
        <v>1836</v>
      </c>
      <c r="J11" s="277"/>
      <c r="K11" s="277"/>
      <c r="L11" s="278">
        <v>107.1</v>
      </c>
      <c r="M11" s="278">
        <v>1.84</v>
      </c>
      <c r="N11" s="278"/>
      <c r="O11" s="277"/>
      <c r="P11" s="277"/>
      <c r="Q11" s="277"/>
      <c r="R11" s="277"/>
      <c r="S11" s="277"/>
      <c r="T11" s="277"/>
      <c r="U11" s="277">
        <v>2023</v>
      </c>
      <c r="V11" s="277"/>
      <c r="W11" s="277" t="s">
        <v>99</v>
      </c>
      <c r="X11" s="277" t="s">
        <v>5051</v>
      </c>
      <c r="Y11" s="279" t="s">
        <v>5038</v>
      </c>
      <c r="AA11" s="305" t="s">
        <v>7</v>
      </c>
      <c r="AB11" s="25" t="s">
        <v>1151</v>
      </c>
      <c r="AC11" s="197">
        <f>AVERAGE(Q336:Q475)</f>
        <v>11.604028445810815</v>
      </c>
      <c r="AD11" s="197">
        <f>AVERAGE(S336:S475)</f>
        <v>1.4042032668881501</v>
      </c>
      <c r="AE11" s="303">
        <f>AC11</f>
        <v>11.604028445810815</v>
      </c>
      <c r="AF11" s="303">
        <f>AE11+AD11</f>
        <v>13.008231712698965</v>
      </c>
      <c r="AG11" s="304">
        <f>1+(AC11/(AVERAGE(M336:M475)))</f>
        <v>2.9039934743189955</v>
      </c>
      <c r="AH11" s="304">
        <f>AG11+(AD11/AVERAGE(M336:M475))</f>
        <v>3.1343956893133624</v>
      </c>
      <c r="AI11" s="305">
        <v>2023</v>
      </c>
      <c r="AJ11" s="305" t="s">
        <v>338</v>
      </c>
    </row>
    <row r="12" spans="1:36" x14ac:dyDescent="0.2">
      <c r="A12" s="272" t="s">
        <v>7</v>
      </c>
      <c r="B12" s="273"/>
      <c r="C12" s="273" t="s">
        <v>5052</v>
      </c>
      <c r="D12" s="360" t="s">
        <v>5053</v>
      </c>
      <c r="E12" s="273" t="s">
        <v>401</v>
      </c>
      <c r="F12" s="273">
        <v>58.33</v>
      </c>
      <c r="G12" s="273" t="s">
        <v>1835</v>
      </c>
      <c r="H12" s="273" t="s">
        <v>1835</v>
      </c>
      <c r="I12" s="273" t="s">
        <v>1836</v>
      </c>
      <c r="J12" s="273"/>
      <c r="K12" s="273"/>
      <c r="L12" s="274">
        <v>117</v>
      </c>
      <c r="M12" s="274">
        <v>2.0099999999999998</v>
      </c>
      <c r="N12" s="274"/>
      <c r="O12" s="273"/>
      <c r="P12" s="273"/>
      <c r="Q12" s="273"/>
      <c r="R12" s="273"/>
      <c r="S12" s="273"/>
      <c r="T12" s="273"/>
      <c r="U12" s="273">
        <v>2023</v>
      </c>
      <c r="V12" s="273"/>
      <c r="W12" s="273" t="s">
        <v>99</v>
      </c>
      <c r="X12" s="273" t="s">
        <v>5054</v>
      </c>
      <c r="Y12" s="275" t="s">
        <v>5038</v>
      </c>
    </row>
    <row r="13" spans="1:36" x14ac:dyDescent="0.2">
      <c r="A13" s="276" t="s">
        <v>7</v>
      </c>
      <c r="B13" s="277"/>
      <c r="C13" s="277" t="s">
        <v>5035</v>
      </c>
      <c r="D13" s="361">
        <v>6912430</v>
      </c>
      <c r="E13" s="277" t="s">
        <v>401</v>
      </c>
      <c r="F13" s="277">
        <v>100</v>
      </c>
      <c r="G13" s="277" t="s">
        <v>1837</v>
      </c>
      <c r="H13" s="277" t="s">
        <v>5055</v>
      </c>
      <c r="I13" s="277" t="s">
        <v>1836</v>
      </c>
      <c r="J13" s="277"/>
      <c r="K13" s="277"/>
      <c r="L13" s="278">
        <v>108.89</v>
      </c>
      <c r="M13" s="278">
        <v>1.0900000000000001</v>
      </c>
      <c r="N13" s="278"/>
      <c r="O13" s="277"/>
      <c r="P13" s="277"/>
      <c r="Q13" s="277"/>
      <c r="R13" s="277"/>
      <c r="S13" s="277"/>
      <c r="T13" s="277"/>
      <c r="U13" s="277">
        <v>2023</v>
      </c>
      <c r="V13" s="277"/>
      <c r="W13" s="277" t="s">
        <v>99</v>
      </c>
      <c r="X13" s="277" t="s">
        <v>5056</v>
      </c>
      <c r="Y13" s="279" t="s">
        <v>5038</v>
      </c>
    </row>
    <row r="14" spans="1:36" x14ac:dyDescent="0.2">
      <c r="A14" s="272" t="s">
        <v>7</v>
      </c>
      <c r="B14" s="273"/>
      <c r="C14" s="273" t="s">
        <v>5035</v>
      </c>
      <c r="D14" s="360">
        <v>69124101</v>
      </c>
      <c r="E14" s="273" t="s">
        <v>401</v>
      </c>
      <c r="F14" s="273">
        <v>100</v>
      </c>
      <c r="G14" s="273" t="s">
        <v>1840</v>
      </c>
      <c r="H14" s="273" t="s">
        <v>5057</v>
      </c>
      <c r="I14" s="273" t="s">
        <v>1836</v>
      </c>
      <c r="J14" s="273"/>
      <c r="K14" s="273"/>
      <c r="L14" s="274">
        <v>101.77</v>
      </c>
      <c r="M14" s="274">
        <v>1.02</v>
      </c>
      <c r="N14" s="274"/>
      <c r="O14" s="273"/>
      <c r="P14" s="273"/>
      <c r="Q14" s="273"/>
      <c r="R14" s="273"/>
      <c r="S14" s="273"/>
      <c r="T14" s="273"/>
      <c r="U14" s="273">
        <v>2023</v>
      </c>
      <c r="V14" s="273"/>
      <c r="W14" s="273" t="s">
        <v>99</v>
      </c>
      <c r="X14" s="273" t="s">
        <v>5058</v>
      </c>
      <c r="Y14" s="275" t="s">
        <v>5038</v>
      </c>
    </row>
    <row r="15" spans="1:36" x14ac:dyDescent="0.2">
      <c r="A15" s="276" t="s">
        <v>7</v>
      </c>
      <c r="B15" s="277"/>
      <c r="C15" s="277" t="s">
        <v>5035</v>
      </c>
      <c r="D15" s="361">
        <v>6912488</v>
      </c>
      <c r="E15" s="277" t="s">
        <v>401</v>
      </c>
      <c r="F15" s="277">
        <v>100</v>
      </c>
      <c r="G15" s="277" t="s">
        <v>1841</v>
      </c>
      <c r="H15" s="277" t="s">
        <v>5059</v>
      </c>
      <c r="I15" s="277" t="s">
        <v>1836</v>
      </c>
      <c r="J15" s="277"/>
      <c r="K15" s="277"/>
      <c r="L15" s="278">
        <v>129.80000000000001</v>
      </c>
      <c r="M15" s="278">
        <v>1.3</v>
      </c>
      <c r="N15" s="278"/>
      <c r="O15" s="277"/>
      <c r="P15" s="277"/>
      <c r="Q15" s="277"/>
      <c r="R15" s="277"/>
      <c r="S15" s="277"/>
      <c r="T15" s="277"/>
      <c r="U15" s="277">
        <v>2023</v>
      </c>
      <c r="V15" s="277"/>
      <c r="W15" s="277" t="s">
        <v>99</v>
      </c>
      <c r="X15" s="277" t="s">
        <v>5060</v>
      </c>
      <c r="Y15" s="279" t="s">
        <v>5038</v>
      </c>
    </row>
    <row r="16" spans="1:36" x14ac:dyDescent="0.2">
      <c r="A16" s="272" t="s">
        <v>7</v>
      </c>
      <c r="B16" s="273"/>
      <c r="C16" s="273" t="s">
        <v>5035</v>
      </c>
      <c r="D16" s="360">
        <v>69124240</v>
      </c>
      <c r="E16" s="273" t="s">
        <v>401</v>
      </c>
      <c r="F16" s="273">
        <v>100</v>
      </c>
      <c r="G16" s="273" t="s">
        <v>1842</v>
      </c>
      <c r="H16" s="273" t="s">
        <v>5061</v>
      </c>
      <c r="I16" s="273" t="s">
        <v>1836</v>
      </c>
      <c r="J16" s="273"/>
      <c r="K16" s="273"/>
      <c r="L16" s="274">
        <v>108.89</v>
      </c>
      <c r="M16" s="274">
        <v>1.0900000000000001</v>
      </c>
      <c r="N16" s="274"/>
      <c r="O16" s="273"/>
      <c r="P16" s="273"/>
      <c r="Q16" s="273"/>
      <c r="R16" s="273"/>
      <c r="S16" s="273"/>
      <c r="T16" s="273"/>
      <c r="U16" s="273">
        <v>2023</v>
      </c>
      <c r="V16" s="273"/>
      <c r="W16" s="273" t="s">
        <v>99</v>
      </c>
      <c r="X16" s="273" t="s">
        <v>5062</v>
      </c>
      <c r="Y16" s="275" t="s">
        <v>5038</v>
      </c>
    </row>
    <row r="17" spans="1:25" x14ac:dyDescent="0.2">
      <c r="A17" s="276" t="s">
        <v>7</v>
      </c>
      <c r="B17" s="277"/>
      <c r="C17" s="277" t="s">
        <v>5035</v>
      </c>
      <c r="D17" s="361">
        <v>6912469</v>
      </c>
      <c r="E17" s="277" t="s">
        <v>401</v>
      </c>
      <c r="F17" s="277">
        <v>100</v>
      </c>
      <c r="G17" s="277" t="s">
        <v>1839</v>
      </c>
      <c r="H17" s="277" t="s">
        <v>5063</v>
      </c>
      <c r="I17" s="277" t="s">
        <v>1836</v>
      </c>
      <c r="J17" s="277"/>
      <c r="K17" s="277"/>
      <c r="L17" s="278">
        <v>108.89</v>
      </c>
      <c r="M17" s="278">
        <v>1.0900000000000001</v>
      </c>
      <c r="N17" s="278"/>
      <c r="O17" s="277"/>
      <c r="P17" s="277"/>
      <c r="Q17" s="277"/>
      <c r="R17" s="277"/>
      <c r="S17" s="277"/>
      <c r="T17" s="277"/>
      <c r="U17" s="277">
        <v>2023</v>
      </c>
      <c r="V17" s="277"/>
      <c r="W17" s="277" t="s">
        <v>99</v>
      </c>
      <c r="X17" s="277" t="s">
        <v>5064</v>
      </c>
      <c r="Y17" s="279" t="s">
        <v>5038</v>
      </c>
    </row>
    <row r="18" spans="1:25" x14ac:dyDescent="0.2">
      <c r="A18" s="272" t="s">
        <v>7</v>
      </c>
      <c r="B18" s="273"/>
      <c r="C18" s="273" t="s">
        <v>5035</v>
      </c>
      <c r="D18" s="360">
        <v>69124059</v>
      </c>
      <c r="E18" s="273" t="s">
        <v>401</v>
      </c>
      <c r="F18" s="273">
        <v>100</v>
      </c>
      <c r="G18" s="273" t="s">
        <v>1837</v>
      </c>
      <c r="H18" s="273" t="s">
        <v>5055</v>
      </c>
      <c r="I18" s="273" t="s">
        <v>1836</v>
      </c>
      <c r="J18" s="273"/>
      <c r="K18" s="273"/>
      <c r="L18" s="274">
        <v>107.73</v>
      </c>
      <c r="M18" s="274">
        <v>1.08</v>
      </c>
      <c r="N18" s="274"/>
      <c r="O18" s="273"/>
      <c r="P18" s="273"/>
      <c r="Q18" s="273"/>
      <c r="R18" s="273"/>
      <c r="S18" s="273"/>
      <c r="T18" s="273"/>
      <c r="U18" s="273">
        <v>2023</v>
      </c>
      <c r="V18" s="273"/>
      <c r="W18" s="273" t="s">
        <v>99</v>
      </c>
      <c r="X18" s="273" t="s">
        <v>5065</v>
      </c>
      <c r="Y18" s="275" t="s">
        <v>5038</v>
      </c>
    </row>
    <row r="19" spans="1:25" x14ac:dyDescent="0.2">
      <c r="A19" s="276" t="s">
        <v>7</v>
      </c>
      <c r="B19" s="277"/>
      <c r="C19" s="277" t="s">
        <v>5035</v>
      </c>
      <c r="D19" s="361">
        <v>6912459</v>
      </c>
      <c r="E19" s="277" t="s">
        <v>401</v>
      </c>
      <c r="F19" s="277">
        <v>43.75</v>
      </c>
      <c r="G19" s="277" t="s">
        <v>1837</v>
      </c>
      <c r="H19" s="277" t="s">
        <v>5055</v>
      </c>
      <c r="I19" s="277" t="s">
        <v>1836</v>
      </c>
      <c r="J19" s="277"/>
      <c r="K19" s="277"/>
      <c r="L19" s="278">
        <v>189</v>
      </c>
      <c r="M19" s="278">
        <v>4.32</v>
      </c>
      <c r="N19" s="278"/>
      <c r="O19" s="277"/>
      <c r="P19" s="277"/>
      <c r="Q19" s="277"/>
      <c r="R19" s="277"/>
      <c r="S19" s="277"/>
      <c r="T19" s="277"/>
      <c r="U19" s="277">
        <v>2023</v>
      </c>
      <c r="V19" s="277"/>
      <c r="W19" s="277" t="s">
        <v>99</v>
      </c>
      <c r="X19" s="280" t="s">
        <v>5066</v>
      </c>
      <c r="Y19" s="279" t="s">
        <v>5038</v>
      </c>
    </row>
    <row r="20" spans="1:25" x14ac:dyDescent="0.2">
      <c r="A20" s="272" t="s">
        <v>7</v>
      </c>
      <c r="B20" s="273"/>
      <c r="C20" s="273" t="s">
        <v>5035</v>
      </c>
      <c r="D20" s="360">
        <v>69124103</v>
      </c>
      <c r="E20" s="273" t="s">
        <v>401</v>
      </c>
      <c r="F20" s="273">
        <v>100</v>
      </c>
      <c r="G20" s="273" t="s">
        <v>1841</v>
      </c>
      <c r="H20" s="273" t="s">
        <v>5067</v>
      </c>
      <c r="I20" s="273" t="s">
        <v>1836</v>
      </c>
      <c r="J20" s="273"/>
      <c r="K20" s="273"/>
      <c r="L20" s="274">
        <v>107.06</v>
      </c>
      <c r="M20" s="274">
        <v>1.07</v>
      </c>
      <c r="N20" s="274"/>
      <c r="O20" s="273"/>
      <c r="P20" s="273"/>
      <c r="Q20" s="273"/>
      <c r="R20" s="273"/>
      <c r="S20" s="273"/>
      <c r="T20" s="273"/>
      <c r="U20" s="273">
        <v>2023</v>
      </c>
      <c r="V20" s="273"/>
      <c r="W20" s="273" t="s">
        <v>99</v>
      </c>
      <c r="X20" s="273" t="s">
        <v>5068</v>
      </c>
      <c r="Y20" s="275" t="s">
        <v>5038</v>
      </c>
    </row>
    <row r="21" spans="1:25" x14ac:dyDescent="0.2">
      <c r="A21" s="276" t="s">
        <v>7</v>
      </c>
      <c r="B21" s="277"/>
      <c r="C21" s="277" t="s">
        <v>5035</v>
      </c>
      <c r="D21" s="361">
        <v>6912452</v>
      </c>
      <c r="E21" s="277" t="s">
        <v>401</v>
      </c>
      <c r="F21" s="277">
        <v>100</v>
      </c>
      <c r="G21" s="277" t="s">
        <v>1837</v>
      </c>
      <c r="H21" s="277" t="s">
        <v>5069</v>
      </c>
      <c r="I21" s="277" t="s">
        <v>1836</v>
      </c>
      <c r="J21" s="277"/>
      <c r="K21" s="277"/>
      <c r="L21" s="278">
        <v>123.42</v>
      </c>
      <c r="M21" s="278">
        <v>1.23</v>
      </c>
      <c r="N21" s="278"/>
      <c r="O21" s="277"/>
      <c r="P21" s="277"/>
      <c r="Q21" s="277"/>
      <c r="R21" s="277"/>
      <c r="S21" s="277"/>
      <c r="T21" s="277"/>
      <c r="U21" s="277">
        <v>2023</v>
      </c>
      <c r="V21" s="277"/>
      <c r="W21" s="277" t="s">
        <v>99</v>
      </c>
      <c r="X21" s="277" t="s">
        <v>5070</v>
      </c>
      <c r="Y21" s="279" t="s">
        <v>5038</v>
      </c>
    </row>
    <row r="22" spans="1:25" x14ac:dyDescent="0.2">
      <c r="A22" s="272" t="s">
        <v>7</v>
      </c>
      <c r="B22" s="273"/>
      <c r="C22" s="273" t="s">
        <v>5035</v>
      </c>
      <c r="D22" s="360">
        <v>6912477</v>
      </c>
      <c r="E22" s="273" t="s">
        <v>401</v>
      </c>
      <c r="F22" s="273">
        <v>100</v>
      </c>
      <c r="G22" s="273" t="s">
        <v>1839</v>
      </c>
      <c r="H22" s="273" t="s">
        <v>5071</v>
      </c>
      <c r="I22" s="273" t="s">
        <v>1836</v>
      </c>
      <c r="J22" s="273"/>
      <c r="K22" s="273"/>
      <c r="L22" s="274">
        <v>108.94</v>
      </c>
      <c r="M22" s="274">
        <v>1.0900000000000001</v>
      </c>
      <c r="N22" s="274"/>
      <c r="O22" s="273"/>
      <c r="P22" s="273"/>
      <c r="Q22" s="273"/>
      <c r="R22" s="273"/>
      <c r="S22" s="273"/>
      <c r="T22" s="273"/>
      <c r="U22" s="273">
        <v>2023</v>
      </c>
      <c r="V22" s="273"/>
      <c r="W22" s="273" t="s">
        <v>99</v>
      </c>
      <c r="X22" s="273" t="s">
        <v>5072</v>
      </c>
      <c r="Y22" s="275" t="s">
        <v>5038</v>
      </c>
    </row>
    <row r="23" spans="1:25" x14ac:dyDescent="0.2">
      <c r="A23" s="276" t="s">
        <v>7</v>
      </c>
      <c r="B23" s="277"/>
      <c r="C23" s="277" t="s">
        <v>5035</v>
      </c>
      <c r="D23" s="361">
        <v>6912447</v>
      </c>
      <c r="E23" s="277" t="s">
        <v>401</v>
      </c>
      <c r="F23" s="277">
        <v>100</v>
      </c>
      <c r="G23" s="277" t="s">
        <v>1841</v>
      </c>
      <c r="H23" s="277" t="s">
        <v>5073</v>
      </c>
      <c r="I23" s="277" t="s">
        <v>1836</v>
      </c>
      <c r="J23" s="277"/>
      <c r="K23" s="277"/>
      <c r="L23" s="278">
        <v>120.27</v>
      </c>
      <c r="M23" s="278">
        <v>1.2</v>
      </c>
      <c r="N23" s="278"/>
      <c r="O23" s="277"/>
      <c r="P23" s="277"/>
      <c r="Q23" s="277"/>
      <c r="R23" s="277"/>
      <c r="S23" s="277"/>
      <c r="T23" s="277"/>
      <c r="U23" s="277">
        <v>2023</v>
      </c>
      <c r="V23" s="277"/>
      <c r="W23" s="277" t="s">
        <v>99</v>
      </c>
      <c r="X23" s="277" t="s">
        <v>5074</v>
      </c>
      <c r="Y23" s="279" t="s">
        <v>5038</v>
      </c>
    </row>
    <row r="24" spans="1:25" x14ac:dyDescent="0.2">
      <c r="A24" s="272" t="s">
        <v>7</v>
      </c>
      <c r="B24" s="273"/>
      <c r="C24" s="273" t="s">
        <v>5035</v>
      </c>
      <c r="D24" s="360">
        <v>6912415</v>
      </c>
      <c r="E24" s="273" t="s">
        <v>401</v>
      </c>
      <c r="F24" s="273">
        <v>100</v>
      </c>
      <c r="G24" s="273" t="s">
        <v>1837</v>
      </c>
      <c r="H24" s="273" t="s">
        <v>5075</v>
      </c>
      <c r="I24" s="273" t="s">
        <v>1836</v>
      </c>
      <c r="J24" s="273"/>
      <c r="K24" s="273"/>
      <c r="L24" s="274">
        <v>116.23</v>
      </c>
      <c r="M24" s="274">
        <v>1.1599999999999999</v>
      </c>
      <c r="N24" s="274"/>
      <c r="O24" s="273"/>
      <c r="P24" s="273"/>
      <c r="Q24" s="273"/>
      <c r="R24" s="273"/>
      <c r="S24" s="273"/>
      <c r="T24" s="273"/>
      <c r="U24" s="273">
        <v>2023</v>
      </c>
      <c r="V24" s="273"/>
      <c r="W24" s="273" t="s">
        <v>99</v>
      </c>
      <c r="X24" s="273" t="s">
        <v>5076</v>
      </c>
      <c r="Y24" s="275" t="s">
        <v>5038</v>
      </c>
    </row>
    <row r="25" spans="1:25" x14ac:dyDescent="0.2">
      <c r="A25" s="276" t="s">
        <v>7</v>
      </c>
      <c r="B25" s="277"/>
      <c r="C25" s="277" t="s">
        <v>5035</v>
      </c>
      <c r="D25" s="361">
        <v>6912460</v>
      </c>
      <c r="E25" s="277" t="s">
        <v>401</v>
      </c>
      <c r="F25" s="277">
        <v>100</v>
      </c>
      <c r="G25" s="277" t="s">
        <v>1843</v>
      </c>
      <c r="H25" s="277" t="s">
        <v>5077</v>
      </c>
      <c r="I25" s="277" t="s">
        <v>1836</v>
      </c>
      <c r="J25" s="277"/>
      <c r="K25" s="277"/>
      <c r="L25" s="278">
        <v>117.25</v>
      </c>
      <c r="M25" s="278">
        <v>1.17</v>
      </c>
      <c r="N25" s="278"/>
      <c r="O25" s="277"/>
      <c r="P25" s="277"/>
      <c r="Q25" s="277"/>
      <c r="R25" s="277"/>
      <c r="S25" s="277"/>
      <c r="T25" s="277"/>
      <c r="U25" s="277">
        <v>2023</v>
      </c>
      <c r="V25" s="277"/>
      <c r="W25" s="277" t="s">
        <v>99</v>
      </c>
      <c r="X25" s="277" t="s">
        <v>5078</v>
      </c>
      <c r="Y25" s="279" t="s">
        <v>5038</v>
      </c>
    </row>
    <row r="26" spans="1:25" x14ac:dyDescent="0.2">
      <c r="A26" s="272" t="s">
        <v>7</v>
      </c>
      <c r="B26" s="273"/>
      <c r="C26" s="273" t="s">
        <v>5035</v>
      </c>
      <c r="D26" s="360">
        <v>69124239</v>
      </c>
      <c r="E26" s="273" t="s">
        <v>401</v>
      </c>
      <c r="F26" s="273">
        <v>100</v>
      </c>
      <c r="G26" s="273" t="s">
        <v>1843</v>
      </c>
      <c r="H26" s="273" t="s">
        <v>5079</v>
      </c>
      <c r="I26" s="273" t="s">
        <v>1836</v>
      </c>
      <c r="J26" s="273"/>
      <c r="K26" s="273"/>
      <c r="L26" s="274">
        <v>107.73</v>
      </c>
      <c r="M26" s="274">
        <v>1.08</v>
      </c>
      <c r="N26" s="274"/>
      <c r="O26" s="273"/>
      <c r="P26" s="273"/>
      <c r="Q26" s="273"/>
      <c r="R26" s="273"/>
      <c r="S26" s="273"/>
      <c r="T26" s="273"/>
      <c r="U26" s="273">
        <v>2023</v>
      </c>
      <c r="V26" s="273"/>
      <c r="W26" s="273" t="s">
        <v>99</v>
      </c>
      <c r="X26" s="273" t="s">
        <v>5080</v>
      </c>
      <c r="Y26" s="275" t="s">
        <v>5038</v>
      </c>
    </row>
    <row r="27" spans="1:25" x14ac:dyDescent="0.2">
      <c r="A27" s="276" t="s">
        <v>7</v>
      </c>
      <c r="B27" s="277"/>
      <c r="C27" s="277" t="s">
        <v>5035</v>
      </c>
      <c r="D27" s="361">
        <v>6912474</v>
      </c>
      <c r="E27" s="277" t="s">
        <v>401</v>
      </c>
      <c r="F27" s="277">
        <v>100</v>
      </c>
      <c r="G27" s="277" t="s">
        <v>1839</v>
      </c>
      <c r="H27" s="277" t="s">
        <v>5081</v>
      </c>
      <c r="I27" s="277" t="s">
        <v>1836</v>
      </c>
      <c r="J27" s="277"/>
      <c r="K27" s="277"/>
      <c r="L27" s="278">
        <v>104.9</v>
      </c>
      <c r="M27" s="278">
        <v>1.05</v>
      </c>
      <c r="N27" s="278"/>
      <c r="O27" s="277"/>
      <c r="P27" s="277"/>
      <c r="Q27" s="277"/>
      <c r="R27" s="277"/>
      <c r="S27" s="277"/>
      <c r="T27" s="277"/>
      <c r="U27" s="277">
        <v>2023</v>
      </c>
      <c r="V27" s="277"/>
      <c r="W27" s="277" t="s">
        <v>99</v>
      </c>
      <c r="X27" s="277" t="s">
        <v>5082</v>
      </c>
      <c r="Y27" s="279" t="s">
        <v>5038</v>
      </c>
    </row>
    <row r="28" spans="1:25" x14ac:dyDescent="0.2">
      <c r="A28" s="272" t="s">
        <v>7</v>
      </c>
      <c r="B28" s="273"/>
      <c r="C28" s="273" t="s">
        <v>5035</v>
      </c>
      <c r="D28" s="360">
        <v>6912453</v>
      </c>
      <c r="E28" s="273" t="s">
        <v>401</v>
      </c>
      <c r="F28" s="273">
        <v>100</v>
      </c>
      <c r="G28" s="273" t="s">
        <v>1841</v>
      </c>
      <c r="H28" s="273" t="s">
        <v>5083</v>
      </c>
      <c r="I28" s="273" t="s">
        <v>1836</v>
      </c>
      <c r="J28" s="273"/>
      <c r="K28" s="273"/>
      <c r="L28" s="274">
        <v>108.89</v>
      </c>
      <c r="M28" s="274">
        <v>1.0900000000000001</v>
      </c>
      <c r="N28" s="274"/>
      <c r="O28" s="273"/>
      <c r="P28" s="273"/>
      <c r="Q28" s="273"/>
      <c r="R28" s="273"/>
      <c r="S28" s="273"/>
      <c r="T28" s="273"/>
      <c r="U28" s="273">
        <v>2023</v>
      </c>
      <c r="V28" s="273"/>
      <c r="W28" s="273" t="s">
        <v>99</v>
      </c>
      <c r="X28" s="273"/>
      <c r="Y28" s="275"/>
    </row>
    <row r="29" spans="1:25" x14ac:dyDescent="0.2">
      <c r="A29" s="276" t="s">
        <v>7</v>
      </c>
      <c r="B29" s="277"/>
      <c r="C29" s="277" t="s">
        <v>5035</v>
      </c>
      <c r="D29" s="361">
        <v>69124230</v>
      </c>
      <c r="E29" s="277" t="s">
        <v>401</v>
      </c>
      <c r="F29" s="277">
        <v>100</v>
      </c>
      <c r="G29" s="277" t="s">
        <v>1839</v>
      </c>
      <c r="H29" s="277" t="s">
        <v>5084</v>
      </c>
      <c r="I29" s="277" t="s">
        <v>1836</v>
      </c>
      <c r="J29" s="277"/>
      <c r="K29" s="277"/>
      <c r="L29" s="278">
        <v>107.73</v>
      </c>
      <c r="M29" s="278">
        <v>1.08</v>
      </c>
      <c r="N29" s="278"/>
      <c r="O29" s="277"/>
      <c r="P29" s="277"/>
      <c r="Q29" s="277"/>
      <c r="R29" s="277"/>
      <c r="S29" s="277"/>
      <c r="T29" s="277"/>
      <c r="U29" s="277">
        <v>2023</v>
      </c>
      <c r="V29" s="277"/>
      <c r="W29" s="277" t="s">
        <v>99</v>
      </c>
      <c r="X29" s="277" t="s">
        <v>5085</v>
      </c>
      <c r="Y29" s="279" t="s">
        <v>5038</v>
      </c>
    </row>
    <row r="30" spans="1:25" x14ac:dyDescent="0.2">
      <c r="A30" s="272" t="s">
        <v>7</v>
      </c>
      <c r="B30" s="273"/>
      <c r="C30" s="273" t="s">
        <v>5035</v>
      </c>
      <c r="D30" s="360">
        <v>6912440</v>
      </c>
      <c r="E30" s="273" t="s">
        <v>401</v>
      </c>
      <c r="F30" s="273">
        <v>100</v>
      </c>
      <c r="G30" s="273" t="s">
        <v>1841</v>
      </c>
      <c r="H30" s="273" t="s">
        <v>5086</v>
      </c>
      <c r="I30" s="273" t="s">
        <v>1836</v>
      </c>
      <c r="J30" s="273"/>
      <c r="K30" s="273"/>
      <c r="L30" s="274">
        <v>107.73</v>
      </c>
      <c r="M30" s="274">
        <v>1.08</v>
      </c>
      <c r="N30" s="274"/>
      <c r="O30" s="273"/>
      <c r="P30" s="273"/>
      <c r="Q30" s="273"/>
      <c r="R30" s="273"/>
      <c r="S30" s="273"/>
      <c r="T30" s="273"/>
      <c r="U30" s="273">
        <v>2023</v>
      </c>
      <c r="V30" s="273"/>
      <c r="W30" s="273" t="s">
        <v>99</v>
      </c>
      <c r="X30" s="273" t="s">
        <v>5087</v>
      </c>
      <c r="Y30" s="275" t="s">
        <v>5038</v>
      </c>
    </row>
    <row r="31" spans="1:25" x14ac:dyDescent="0.2">
      <c r="A31" s="276" t="s">
        <v>7</v>
      </c>
      <c r="B31" s="277"/>
      <c r="C31" s="277" t="s">
        <v>5035</v>
      </c>
      <c r="D31" s="361">
        <v>6912421</v>
      </c>
      <c r="E31" s="277" t="s">
        <v>401</v>
      </c>
      <c r="F31" s="277">
        <v>100</v>
      </c>
      <c r="G31" s="277" t="s">
        <v>1837</v>
      </c>
      <c r="H31" s="277" t="s">
        <v>5088</v>
      </c>
      <c r="I31" s="277" t="s">
        <v>1836</v>
      </c>
      <c r="J31" s="277"/>
      <c r="K31" s="277"/>
      <c r="L31" s="278">
        <v>107.73</v>
      </c>
      <c r="M31" s="278">
        <v>1.08</v>
      </c>
      <c r="N31" s="278"/>
      <c r="O31" s="277"/>
      <c r="P31" s="277"/>
      <c r="Q31" s="277"/>
      <c r="R31" s="277"/>
      <c r="S31" s="277"/>
      <c r="T31" s="277"/>
      <c r="U31" s="277">
        <v>2023</v>
      </c>
      <c r="V31" s="277"/>
      <c r="W31" s="277" t="s">
        <v>99</v>
      </c>
      <c r="X31" s="277" t="s">
        <v>5089</v>
      </c>
      <c r="Y31" s="279" t="s">
        <v>5038</v>
      </c>
    </row>
    <row r="32" spans="1:25" x14ac:dyDescent="0.2">
      <c r="A32" s="272" t="s">
        <v>7</v>
      </c>
      <c r="B32" s="273"/>
      <c r="C32" s="273" t="s">
        <v>5035</v>
      </c>
      <c r="D32" s="360">
        <v>69124182</v>
      </c>
      <c r="E32" s="273" t="s">
        <v>401</v>
      </c>
      <c r="F32" s="273">
        <v>100</v>
      </c>
      <c r="G32" s="273" t="s">
        <v>1835</v>
      </c>
      <c r="H32" s="273" t="s">
        <v>5036</v>
      </c>
      <c r="I32" s="273" t="s">
        <v>1836</v>
      </c>
      <c r="J32" s="273"/>
      <c r="K32" s="273"/>
      <c r="L32" s="274">
        <v>189</v>
      </c>
      <c r="M32" s="274">
        <v>1.89</v>
      </c>
      <c r="N32" s="274"/>
      <c r="O32" s="273"/>
      <c r="P32" s="273"/>
      <c r="Q32" s="273"/>
      <c r="R32" s="273"/>
      <c r="S32" s="273"/>
      <c r="T32" s="273"/>
      <c r="U32" s="273">
        <v>2023</v>
      </c>
      <c r="V32" s="273"/>
      <c r="W32" s="273" t="s">
        <v>99</v>
      </c>
      <c r="X32" s="273" t="s">
        <v>5090</v>
      </c>
      <c r="Y32" s="275" t="s">
        <v>5038</v>
      </c>
    </row>
    <row r="33" spans="1:25" x14ac:dyDescent="0.2">
      <c r="A33" s="276" t="s">
        <v>7</v>
      </c>
      <c r="B33" s="277"/>
      <c r="C33" s="277" t="s">
        <v>5035</v>
      </c>
      <c r="D33" s="361">
        <v>6912434</v>
      </c>
      <c r="E33" s="277" t="s">
        <v>401</v>
      </c>
      <c r="F33" s="277">
        <v>100</v>
      </c>
      <c r="G33" s="277" t="s">
        <v>1844</v>
      </c>
      <c r="H33" s="277" t="s">
        <v>5091</v>
      </c>
      <c r="I33" s="277" t="s">
        <v>1836</v>
      </c>
      <c r="J33" s="277"/>
      <c r="K33" s="277"/>
      <c r="L33" s="278">
        <v>108.89</v>
      </c>
      <c r="M33" s="278">
        <v>1.0900000000000001</v>
      </c>
      <c r="N33" s="278"/>
      <c r="O33" s="277"/>
      <c r="P33" s="277"/>
      <c r="Q33" s="277"/>
      <c r="R33" s="277"/>
      <c r="S33" s="277"/>
      <c r="T33" s="277"/>
      <c r="U33" s="277">
        <v>2023</v>
      </c>
      <c r="V33" s="277"/>
      <c r="W33" s="277" t="s">
        <v>99</v>
      </c>
      <c r="X33" s="277" t="s">
        <v>5092</v>
      </c>
      <c r="Y33" s="279" t="s">
        <v>5038</v>
      </c>
    </row>
    <row r="34" spans="1:25" x14ac:dyDescent="0.2">
      <c r="A34" s="272" t="s">
        <v>7</v>
      </c>
      <c r="B34" s="273"/>
      <c r="C34" s="273" t="s">
        <v>5035</v>
      </c>
      <c r="D34" s="360">
        <v>69124028</v>
      </c>
      <c r="E34" s="273" t="s">
        <v>401</v>
      </c>
      <c r="F34" s="273">
        <v>100</v>
      </c>
      <c r="G34" s="273" t="s">
        <v>1839</v>
      </c>
      <c r="H34" s="273" t="s">
        <v>5093</v>
      </c>
      <c r="I34" s="273" t="s">
        <v>1836</v>
      </c>
      <c r="J34" s="273"/>
      <c r="K34" s="273"/>
      <c r="L34" s="274">
        <v>107.73</v>
      </c>
      <c r="M34" s="274">
        <v>1.08</v>
      </c>
      <c r="N34" s="274"/>
      <c r="O34" s="273"/>
      <c r="P34" s="273"/>
      <c r="Q34" s="273"/>
      <c r="R34" s="273"/>
      <c r="S34" s="273"/>
      <c r="T34" s="273"/>
      <c r="U34" s="273">
        <v>2023</v>
      </c>
      <c r="V34" s="273"/>
      <c r="W34" s="273" t="s">
        <v>99</v>
      </c>
      <c r="X34" s="273" t="s">
        <v>5094</v>
      </c>
      <c r="Y34" s="275" t="s">
        <v>5038</v>
      </c>
    </row>
    <row r="35" spans="1:25" x14ac:dyDescent="0.2">
      <c r="A35" s="276" t="s">
        <v>7</v>
      </c>
      <c r="B35" s="277"/>
      <c r="C35" s="277" t="s">
        <v>5095</v>
      </c>
      <c r="D35" s="361" t="s">
        <v>5096</v>
      </c>
      <c r="E35" s="277" t="s">
        <v>401</v>
      </c>
      <c r="F35" s="277">
        <v>0.23</v>
      </c>
      <c r="G35" s="277" t="s">
        <v>1845</v>
      </c>
      <c r="H35" s="277" t="s">
        <v>5097</v>
      </c>
      <c r="I35" s="277" t="s">
        <v>1846</v>
      </c>
      <c r="J35" s="277"/>
      <c r="K35" s="277"/>
      <c r="L35" s="278">
        <v>6.82</v>
      </c>
      <c r="M35" s="278">
        <v>29.65</v>
      </c>
      <c r="N35" s="278"/>
      <c r="O35" s="277"/>
      <c r="P35" s="277"/>
      <c r="Q35" s="277"/>
      <c r="R35" s="277"/>
      <c r="S35" s="277"/>
      <c r="T35" s="277"/>
      <c r="U35" s="277">
        <v>2023</v>
      </c>
      <c r="V35" s="277"/>
      <c r="W35" s="277" t="s">
        <v>99</v>
      </c>
      <c r="X35" s="277" t="s">
        <v>3415</v>
      </c>
      <c r="Y35" s="279" t="s">
        <v>5098</v>
      </c>
    </row>
    <row r="36" spans="1:25" x14ac:dyDescent="0.2">
      <c r="A36" s="272" t="s">
        <v>7</v>
      </c>
      <c r="B36" s="273"/>
      <c r="C36" s="273" t="s">
        <v>1847</v>
      </c>
      <c r="D36" s="360">
        <v>2384</v>
      </c>
      <c r="E36" s="273" t="s">
        <v>401</v>
      </c>
      <c r="F36" s="273">
        <v>0.25</v>
      </c>
      <c r="G36" s="273" t="s">
        <v>1835</v>
      </c>
      <c r="H36" s="273" t="s">
        <v>5099</v>
      </c>
      <c r="I36" s="273" t="s">
        <v>1846</v>
      </c>
      <c r="J36" s="273"/>
      <c r="K36" s="273"/>
      <c r="L36" s="274">
        <v>6.67</v>
      </c>
      <c r="M36" s="274">
        <v>26.68</v>
      </c>
      <c r="N36" s="274"/>
      <c r="O36" s="273"/>
      <c r="P36" s="273"/>
      <c r="Q36" s="273"/>
      <c r="R36" s="273"/>
      <c r="S36" s="273"/>
      <c r="T36" s="273"/>
      <c r="U36" s="273">
        <v>2023</v>
      </c>
      <c r="V36" s="273"/>
      <c r="W36" s="273" t="s">
        <v>99</v>
      </c>
      <c r="X36" s="273" t="s">
        <v>5100</v>
      </c>
      <c r="Y36" s="275" t="s">
        <v>5098</v>
      </c>
    </row>
    <row r="37" spans="1:25" x14ac:dyDescent="0.2">
      <c r="A37" s="276" t="s">
        <v>7</v>
      </c>
      <c r="B37" s="277"/>
      <c r="C37" s="277" t="s">
        <v>5095</v>
      </c>
      <c r="D37" s="361" t="s">
        <v>5101</v>
      </c>
      <c r="E37" s="277" t="s">
        <v>401</v>
      </c>
      <c r="F37" s="277">
        <v>0.36</v>
      </c>
      <c r="G37" s="277" t="s">
        <v>1845</v>
      </c>
      <c r="H37" s="277" t="s">
        <v>5097</v>
      </c>
      <c r="I37" s="277" t="s">
        <v>1846</v>
      </c>
      <c r="J37" s="277"/>
      <c r="K37" s="277"/>
      <c r="L37" s="278">
        <v>15.58</v>
      </c>
      <c r="M37" s="278">
        <v>43.28</v>
      </c>
      <c r="N37" s="278"/>
      <c r="O37" s="277"/>
      <c r="P37" s="277"/>
      <c r="Q37" s="277"/>
      <c r="R37" s="277"/>
      <c r="S37" s="277"/>
      <c r="T37" s="277"/>
      <c r="U37" s="277">
        <v>2023</v>
      </c>
      <c r="V37" s="277"/>
      <c r="W37" s="277" t="s">
        <v>99</v>
      </c>
      <c r="X37" s="277" t="s">
        <v>5102</v>
      </c>
      <c r="Y37" s="279" t="s">
        <v>5098</v>
      </c>
    </row>
    <row r="38" spans="1:25" x14ac:dyDescent="0.2">
      <c r="A38" s="272" t="s">
        <v>7</v>
      </c>
      <c r="B38" s="273"/>
      <c r="C38" s="273" t="s">
        <v>5095</v>
      </c>
      <c r="D38" s="360" t="s">
        <v>5103</v>
      </c>
      <c r="E38" s="273" t="s">
        <v>401</v>
      </c>
      <c r="F38" s="273">
        <v>0.35</v>
      </c>
      <c r="G38" s="273" t="s">
        <v>1845</v>
      </c>
      <c r="H38" s="273" t="s">
        <v>5104</v>
      </c>
      <c r="I38" s="273" t="s">
        <v>1846</v>
      </c>
      <c r="J38" s="273"/>
      <c r="K38" s="273"/>
      <c r="L38" s="274">
        <v>8.7200000000000006</v>
      </c>
      <c r="M38" s="274">
        <v>24.91</v>
      </c>
      <c r="N38" s="274"/>
      <c r="O38" s="273"/>
      <c r="P38" s="273"/>
      <c r="Q38" s="273"/>
      <c r="R38" s="273"/>
      <c r="S38" s="273"/>
      <c r="T38" s="273"/>
      <c r="U38" s="273">
        <v>2023</v>
      </c>
      <c r="V38" s="273"/>
      <c r="W38" s="273" t="s">
        <v>99</v>
      </c>
      <c r="X38" s="273" t="s">
        <v>5105</v>
      </c>
      <c r="Y38" s="275" t="s">
        <v>5106</v>
      </c>
    </row>
    <row r="39" spans="1:25" x14ac:dyDescent="0.2">
      <c r="A39" s="276" t="s">
        <v>7</v>
      </c>
      <c r="B39" s="277"/>
      <c r="C39" s="277" t="s">
        <v>5095</v>
      </c>
      <c r="D39" s="361" t="s">
        <v>5107</v>
      </c>
      <c r="E39" s="277" t="s">
        <v>401</v>
      </c>
      <c r="F39" s="277">
        <v>0.36</v>
      </c>
      <c r="G39" s="277" t="s">
        <v>1845</v>
      </c>
      <c r="H39" s="277" t="s">
        <v>5108</v>
      </c>
      <c r="I39" s="277" t="s">
        <v>1846</v>
      </c>
      <c r="J39" s="277"/>
      <c r="K39" s="277"/>
      <c r="L39" s="278">
        <v>8.99</v>
      </c>
      <c r="M39" s="278">
        <v>24.97</v>
      </c>
      <c r="N39" s="278"/>
      <c r="O39" s="277"/>
      <c r="P39" s="277"/>
      <c r="Q39" s="277"/>
      <c r="R39" s="277"/>
      <c r="S39" s="277"/>
      <c r="T39" s="277"/>
      <c r="U39" s="277">
        <v>2023</v>
      </c>
      <c r="V39" s="277"/>
      <c r="W39" s="277" t="s">
        <v>99</v>
      </c>
      <c r="X39" s="277" t="s">
        <v>5109</v>
      </c>
      <c r="Y39" s="279" t="s">
        <v>5098</v>
      </c>
    </row>
    <row r="40" spans="1:25" x14ac:dyDescent="0.2">
      <c r="A40" t="s">
        <v>7</v>
      </c>
      <c r="C40" s="64" t="s">
        <v>1848</v>
      </c>
      <c r="D40" s="363">
        <v>6000666</v>
      </c>
      <c r="E40" s="64" t="s">
        <v>1849</v>
      </c>
      <c r="F40" s="64">
        <v>0.17</v>
      </c>
      <c r="G40" s="64" t="s">
        <v>1841</v>
      </c>
      <c r="H40" s="64" t="s">
        <v>1850</v>
      </c>
      <c r="I40" s="64" t="s">
        <v>1836</v>
      </c>
      <c r="J40" s="64"/>
      <c r="L40" s="65">
        <v>1</v>
      </c>
      <c r="M40" s="65">
        <f>Table13[[#This Row],[Price]]/Table13[[#This Row],[Area (ft2)]]</f>
        <v>5.8823529411764701</v>
      </c>
      <c r="N40" s="65"/>
      <c r="P40" s="39"/>
      <c r="S40" s="39"/>
      <c r="U40">
        <v>2023</v>
      </c>
      <c r="W40" t="s">
        <v>99</v>
      </c>
      <c r="X40" s="64" t="s">
        <v>3415</v>
      </c>
      <c r="Y40" t="s">
        <v>3414</v>
      </c>
    </row>
    <row r="41" spans="1:25" x14ac:dyDescent="0.2">
      <c r="A41" t="s">
        <v>7</v>
      </c>
      <c r="C41" s="64" t="s">
        <v>1847</v>
      </c>
      <c r="D41" s="363" t="s">
        <v>1852</v>
      </c>
      <c r="E41" s="64" t="s">
        <v>1849</v>
      </c>
      <c r="F41" s="64">
        <v>33.299999999999997</v>
      </c>
      <c r="G41" s="64" t="s">
        <v>1835</v>
      </c>
      <c r="H41" s="64" t="s">
        <v>1835</v>
      </c>
      <c r="I41" s="64" t="s">
        <v>1846</v>
      </c>
      <c r="J41" s="64"/>
      <c r="L41" s="65">
        <v>165.45</v>
      </c>
      <c r="M41" s="65">
        <f>Table13[[#This Row],[Price]]/Table13[[#This Row],[Area (ft2)]]</f>
        <v>4.9684684684684681</v>
      </c>
      <c r="N41" s="65"/>
      <c r="P41" s="39"/>
      <c r="S41" s="39"/>
      <c r="U41">
        <v>2023</v>
      </c>
      <c r="W41" t="s">
        <v>99</v>
      </c>
      <c r="X41" s="64" t="s">
        <v>1853</v>
      </c>
      <c r="Y41" t="s">
        <v>3416</v>
      </c>
    </row>
    <row r="42" spans="1:25" x14ac:dyDescent="0.2">
      <c r="A42" t="s">
        <v>7</v>
      </c>
      <c r="C42" s="64" t="s">
        <v>1847</v>
      </c>
      <c r="D42" s="363" t="s">
        <v>1854</v>
      </c>
      <c r="E42" s="64" t="s">
        <v>1849</v>
      </c>
      <c r="F42" s="64">
        <v>33.299999999999997</v>
      </c>
      <c r="G42" s="64" t="s">
        <v>1835</v>
      </c>
      <c r="H42" s="64" t="s">
        <v>1835</v>
      </c>
      <c r="I42" s="64" t="s">
        <v>1846</v>
      </c>
      <c r="J42" s="64"/>
      <c r="L42" s="65">
        <v>143.62</v>
      </c>
      <c r="M42" s="65">
        <f>Table13[[#This Row],[Price]]/Table13[[#This Row],[Area (ft2)]]</f>
        <v>4.3129129129129131</v>
      </c>
      <c r="N42" s="65"/>
      <c r="P42" s="39"/>
      <c r="S42" s="39"/>
      <c r="U42">
        <v>2023</v>
      </c>
      <c r="W42" t="s">
        <v>99</v>
      </c>
      <c r="X42" s="64" t="s">
        <v>1855</v>
      </c>
      <c r="Y42" t="s">
        <v>3416</v>
      </c>
    </row>
    <row r="43" spans="1:25" x14ac:dyDescent="0.2">
      <c r="A43" t="s">
        <v>7</v>
      </c>
      <c r="C43" s="64" t="s">
        <v>1847</v>
      </c>
      <c r="D43" s="363" t="s">
        <v>1856</v>
      </c>
      <c r="E43" s="64" t="s">
        <v>1849</v>
      </c>
      <c r="F43" s="64">
        <v>33.299999999999997</v>
      </c>
      <c r="G43" s="64" t="s">
        <v>1835</v>
      </c>
      <c r="H43" s="64" t="s">
        <v>1835</v>
      </c>
      <c r="I43" s="64" t="s">
        <v>1846</v>
      </c>
      <c r="J43" s="64"/>
      <c r="L43" s="65">
        <v>109</v>
      </c>
      <c r="M43" s="65">
        <f>Table13[[#This Row],[Price]]/Table13[[#This Row],[Area (ft2)]]</f>
        <v>3.2732732732732734</v>
      </c>
      <c r="N43" s="65"/>
      <c r="P43" s="39"/>
      <c r="S43" s="39"/>
      <c r="U43">
        <v>2023</v>
      </c>
      <c r="W43" t="s">
        <v>99</v>
      </c>
      <c r="X43" s="64" t="s">
        <v>1857</v>
      </c>
      <c r="Y43" t="s">
        <v>3416</v>
      </c>
    </row>
    <row r="44" spans="1:25" x14ac:dyDescent="0.2">
      <c r="A44" t="s">
        <v>7</v>
      </c>
      <c r="C44" s="64" t="s">
        <v>1848</v>
      </c>
      <c r="D44" s="363">
        <v>9000523</v>
      </c>
      <c r="E44" s="64" t="s">
        <v>1849</v>
      </c>
      <c r="F44" s="64">
        <v>32</v>
      </c>
      <c r="G44" s="64" t="s">
        <v>1844</v>
      </c>
      <c r="H44" s="64" t="s">
        <v>1846</v>
      </c>
      <c r="I44" s="64" t="s">
        <v>1846</v>
      </c>
      <c r="J44" s="64"/>
      <c r="L44" s="65">
        <v>59.34</v>
      </c>
      <c r="M44" s="65">
        <f>Table13[[#This Row],[Price]]/Table13[[#This Row],[Area (ft2)]]</f>
        <v>1.8543750000000001</v>
      </c>
      <c r="N44" s="65"/>
      <c r="P44" s="39"/>
      <c r="S44" s="39"/>
      <c r="U44">
        <v>2023</v>
      </c>
      <c r="W44" t="s">
        <v>99</v>
      </c>
      <c r="X44" s="64" t="s">
        <v>1858</v>
      </c>
      <c r="Y44" t="s">
        <v>3414</v>
      </c>
    </row>
    <row r="45" spans="1:25" x14ac:dyDescent="0.2">
      <c r="A45" t="s">
        <v>7</v>
      </c>
      <c r="C45" s="64" t="s">
        <v>1848</v>
      </c>
      <c r="D45" s="363">
        <v>215572</v>
      </c>
      <c r="E45" s="64" t="s">
        <v>1849</v>
      </c>
      <c r="F45" s="64">
        <v>8.25</v>
      </c>
      <c r="G45" s="64" t="s">
        <v>1844</v>
      </c>
      <c r="H45" s="64" t="s">
        <v>1846</v>
      </c>
      <c r="I45" s="64" t="s">
        <v>1846</v>
      </c>
      <c r="J45" s="64"/>
      <c r="L45" s="65">
        <v>11.47</v>
      </c>
      <c r="M45" s="65">
        <f>Table13[[#This Row],[Price]]/Table13[[#This Row],[Area (ft2)]]</f>
        <v>1.3903030303030304</v>
      </c>
      <c r="N45" s="65"/>
      <c r="P45" s="39"/>
      <c r="S45" s="39"/>
      <c r="U45">
        <v>2023</v>
      </c>
      <c r="W45" t="s">
        <v>99</v>
      </c>
      <c r="X45" s="64" t="s">
        <v>1859</v>
      </c>
      <c r="Y45" t="s">
        <v>3414</v>
      </c>
    </row>
    <row r="46" spans="1:25" x14ac:dyDescent="0.2">
      <c r="A46" t="s">
        <v>7</v>
      </c>
      <c r="C46" s="64" t="s">
        <v>1847</v>
      </c>
      <c r="D46" s="363" t="s">
        <v>1860</v>
      </c>
      <c r="E46" s="64" t="s">
        <v>1849</v>
      </c>
      <c r="F46" s="64">
        <v>33.299999999999997</v>
      </c>
      <c r="G46" s="64" t="s">
        <v>1835</v>
      </c>
      <c r="H46" s="64" t="s">
        <v>1835</v>
      </c>
      <c r="I46" s="64" t="s">
        <v>1846</v>
      </c>
      <c r="J46" s="64"/>
      <c r="L46" s="65">
        <v>109</v>
      </c>
      <c r="M46" s="65">
        <f>Table13[[#This Row],[Price]]/Table13[[#This Row],[Area (ft2)]]</f>
        <v>3.2732732732732734</v>
      </c>
      <c r="N46" s="65"/>
      <c r="P46" s="39"/>
      <c r="S46" s="39"/>
      <c r="U46">
        <v>2023</v>
      </c>
      <c r="W46" t="s">
        <v>99</v>
      </c>
      <c r="X46" s="64" t="s">
        <v>1861</v>
      </c>
      <c r="Y46" t="s">
        <v>3416</v>
      </c>
    </row>
    <row r="47" spans="1:25" x14ac:dyDescent="0.2">
      <c r="A47" t="s">
        <v>7</v>
      </c>
      <c r="C47" s="64" t="s">
        <v>1847</v>
      </c>
      <c r="D47" s="363" t="s">
        <v>1862</v>
      </c>
      <c r="E47" s="64" t="s">
        <v>1849</v>
      </c>
      <c r="F47" s="64">
        <v>33.299999999999997</v>
      </c>
      <c r="G47" s="64" t="s">
        <v>1835</v>
      </c>
      <c r="H47" s="64" t="s">
        <v>1835</v>
      </c>
      <c r="I47" s="64" t="s">
        <v>1846</v>
      </c>
      <c r="J47" s="64"/>
      <c r="L47" s="65">
        <v>173.01</v>
      </c>
      <c r="M47" s="65">
        <f>Table13[[#This Row],[Price]]/Table13[[#This Row],[Area (ft2)]]</f>
        <v>5.1954954954954955</v>
      </c>
      <c r="N47" s="65"/>
      <c r="P47" s="39"/>
      <c r="S47" s="39"/>
      <c r="U47">
        <v>2023</v>
      </c>
      <c r="W47" t="s">
        <v>99</v>
      </c>
      <c r="X47" s="64" t="s">
        <v>1863</v>
      </c>
      <c r="Y47" t="s">
        <v>3416</v>
      </c>
    </row>
    <row r="48" spans="1:25" x14ac:dyDescent="0.2">
      <c r="A48" t="s">
        <v>7</v>
      </c>
      <c r="C48" s="64" t="s">
        <v>1847</v>
      </c>
      <c r="D48" s="363" t="s">
        <v>1864</v>
      </c>
      <c r="E48" s="64" t="s">
        <v>1849</v>
      </c>
      <c r="F48" s="64">
        <v>33.299999999999997</v>
      </c>
      <c r="G48" s="64" t="s">
        <v>1835</v>
      </c>
      <c r="H48" s="64" t="s">
        <v>1835</v>
      </c>
      <c r="I48" s="64" t="s">
        <v>1846</v>
      </c>
      <c r="J48" s="64"/>
      <c r="L48" s="65">
        <v>142.63999999999999</v>
      </c>
      <c r="M48" s="65">
        <f>Table13[[#This Row],[Price]]/Table13[[#This Row],[Area (ft2)]]</f>
        <v>4.2834834834834838</v>
      </c>
      <c r="N48" s="65"/>
      <c r="P48" s="39"/>
      <c r="S48" s="39"/>
      <c r="U48">
        <v>2023</v>
      </c>
      <c r="W48" t="s">
        <v>99</v>
      </c>
      <c r="X48" s="64" t="s">
        <v>1865</v>
      </c>
      <c r="Y48" t="s">
        <v>3416</v>
      </c>
    </row>
    <row r="49" spans="1:25" x14ac:dyDescent="0.2">
      <c r="A49" t="s">
        <v>7</v>
      </c>
      <c r="C49" s="64" t="s">
        <v>1847</v>
      </c>
      <c r="D49" s="363" t="s">
        <v>1866</v>
      </c>
      <c r="E49" s="64" t="s">
        <v>1849</v>
      </c>
      <c r="F49" s="64">
        <v>25</v>
      </c>
      <c r="G49" s="64" t="s">
        <v>1835</v>
      </c>
      <c r="H49" s="64" t="s">
        <v>1835</v>
      </c>
      <c r="I49" s="64" t="s">
        <v>1846</v>
      </c>
      <c r="J49" s="64"/>
      <c r="L49" s="65">
        <v>178.42</v>
      </c>
      <c r="M49" s="65">
        <f>Table13[[#This Row],[Price]]/Table13[[#This Row],[Area (ft2)]]</f>
        <v>7.1367999999999991</v>
      </c>
      <c r="N49" s="65"/>
      <c r="P49" s="39"/>
      <c r="S49" s="39"/>
      <c r="U49">
        <v>2023</v>
      </c>
      <c r="W49" t="s">
        <v>99</v>
      </c>
      <c r="X49" s="64" t="s">
        <v>1867</v>
      </c>
      <c r="Y49" t="s">
        <v>3416</v>
      </c>
    </row>
    <row r="50" spans="1:25" x14ac:dyDescent="0.2">
      <c r="A50" t="s">
        <v>7</v>
      </c>
      <c r="C50" s="64" t="s">
        <v>1848</v>
      </c>
      <c r="D50" s="363">
        <v>9000631</v>
      </c>
      <c r="E50" s="64" t="s">
        <v>1849</v>
      </c>
      <c r="F50" s="64">
        <v>9.25</v>
      </c>
      <c r="G50" s="64" t="s">
        <v>1844</v>
      </c>
      <c r="H50" s="64" t="s">
        <v>1846</v>
      </c>
      <c r="I50" s="64" t="s">
        <v>1846</v>
      </c>
      <c r="J50" s="64"/>
      <c r="L50" s="65">
        <v>17.22</v>
      </c>
      <c r="M50" s="65">
        <f>Table13[[#This Row],[Price]]/Table13[[#This Row],[Area (ft2)]]</f>
        <v>1.8616216216216215</v>
      </c>
      <c r="N50" s="65"/>
      <c r="P50" s="39"/>
      <c r="S50" s="39"/>
      <c r="U50">
        <v>2023</v>
      </c>
      <c r="W50" t="s">
        <v>99</v>
      </c>
      <c r="X50" s="64" t="s">
        <v>1868</v>
      </c>
      <c r="Y50" t="s">
        <v>3414</v>
      </c>
    </row>
    <row r="51" spans="1:25" x14ac:dyDescent="0.2">
      <c r="A51" t="s">
        <v>7</v>
      </c>
      <c r="C51" s="64" t="s">
        <v>1872</v>
      </c>
      <c r="D51" s="363" t="s">
        <v>1873</v>
      </c>
      <c r="E51" s="64" t="s">
        <v>1849</v>
      </c>
      <c r="F51" s="64">
        <v>0.42</v>
      </c>
      <c r="G51" s="64" t="s">
        <v>1845</v>
      </c>
      <c r="H51" s="64" t="s">
        <v>1874</v>
      </c>
      <c r="I51" s="64" t="s">
        <v>1871</v>
      </c>
      <c r="J51" s="64"/>
      <c r="L51" s="65">
        <v>27.63</v>
      </c>
      <c r="M51" s="65">
        <f>Table13[[#This Row],[Price]]/Table13[[#This Row],[Area (ft2)]]</f>
        <v>65.785714285714292</v>
      </c>
      <c r="N51" s="65"/>
      <c r="P51" s="39"/>
      <c r="S51" s="39"/>
      <c r="U51">
        <v>2023</v>
      </c>
      <c r="W51" t="s">
        <v>99</v>
      </c>
      <c r="X51" s="64" t="s">
        <v>1875</v>
      </c>
      <c r="Y51" t="s">
        <v>3405</v>
      </c>
    </row>
    <row r="52" spans="1:25" x14ac:dyDescent="0.2">
      <c r="A52" t="s">
        <v>7</v>
      </c>
      <c r="C52" s="64" t="s">
        <v>1879</v>
      </c>
      <c r="D52" s="363" t="s">
        <v>1880</v>
      </c>
      <c r="E52" s="64" t="s">
        <v>1849</v>
      </c>
      <c r="F52" s="64">
        <v>10.76</v>
      </c>
      <c r="G52" s="64" t="s">
        <v>1835</v>
      </c>
      <c r="H52" s="64" t="s">
        <v>1835</v>
      </c>
      <c r="I52" s="64"/>
      <c r="J52" s="64"/>
      <c r="L52" s="65">
        <v>68.48</v>
      </c>
      <c r="M52" s="65">
        <f>Table13[[#This Row],[Price]]/Table13[[#This Row],[Area (ft2)]]</f>
        <v>6.3643122676579926</v>
      </c>
      <c r="N52" s="65"/>
      <c r="P52" s="39"/>
      <c r="S52" s="39"/>
      <c r="U52">
        <v>2023</v>
      </c>
      <c r="W52" t="s">
        <v>99</v>
      </c>
      <c r="X52" s="64" t="s">
        <v>1881</v>
      </c>
      <c r="Y52" t="s">
        <v>3414</v>
      </c>
    </row>
    <row r="53" spans="1:25" x14ac:dyDescent="0.2">
      <c r="A53" t="s">
        <v>7</v>
      </c>
      <c r="C53" s="64" t="s">
        <v>1879</v>
      </c>
      <c r="D53" s="363" t="s">
        <v>1882</v>
      </c>
      <c r="E53" s="64" t="s">
        <v>1849</v>
      </c>
      <c r="F53" s="64">
        <v>10.76</v>
      </c>
      <c r="G53" s="64" t="s">
        <v>1840</v>
      </c>
      <c r="H53" s="64" t="s">
        <v>1840</v>
      </c>
      <c r="I53" s="64"/>
      <c r="J53" s="64"/>
      <c r="L53" s="65">
        <v>66.849999999999994</v>
      </c>
      <c r="M53" s="65">
        <f>Table13[[#This Row],[Price]]/Table13[[#This Row],[Area (ft2)]]</f>
        <v>6.2128252788104081</v>
      </c>
      <c r="N53" s="65"/>
      <c r="P53" s="39"/>
      <c r="S53" s="39"/>
      <c r="U53">
        <v>2023</v>
      </c>
      <c r="W53" t="s">
        <v>99</v>
      </c>
      <c r="X53" s="64" t="s">
        <v>1883</v>
      </c>
      <c r="Y53" t="s">
        <v>3414</v>
      </c>
    </row>
    <row r="54" spans="1:25" x14ac:dyDescent="0.2">
      <c r="A54" t="s">
        <v>7</v>
      </c>
      <c r="C54" s="64" t="s">
        <v>1872</v>
      </c>
      <c r="D54" s="363" t="s">
        <v>1884</v>
      </c>
      <c r="E54" s="64" t="s">
        <v>1849</v>
      </c>
      <c r="F54" s="64">
        <v>1</v>
      </c>
      <c r="G54" s="64" t="s">
        <v>1845</v>
      </c>
      <c r="H54" s="64" t="s">
        <v>1885</v>
      </c>
      <c r="I54" s="64"/>
      <c r="J54" s="64"/>
      <c r="L54" s="65">
        <v>149</v>
      </c>
      <c r="M54" s="65">
        <f>Table13[[#This Row],[Price]]/Table13[[#This Row],[Area (ft2)]]</f>
        <v>149</v>
      </c>
      <c r="N54" s="65"/>
      <c r="P54" s="39"/>
      <c r="S54" s="39"/>
      <c r="U54">
        <v>2023</v>
      </c>
      <c r="W54" t="s">
        <v>99</v>
      </c>
      <c r="X54" s="64" t="s">
        <v>1886</v>
      </c>
      <c r="Y54" t="s">
        <v>3405</v>
      </c>
    </row>
    <row r="55" spans="1:25" x14ac:dyDescent="0.2">
      <c r="A55" t="s">
        <v>7</v>
      </c>
      <c r="C55" s="64" t="s">
        <v>1887</v>
      </c>
      <c r="D55" s="363" t="s">
        <v>1888</v>
      </c>
      <c r="E55" s="64" t="s">
        <v>1849</v>
      </c>
      <c r="F55" s="64">
        <v>8</v>
      </c>
      <c r="G55" s="64" t="s">
        <v>1837</v>
      </c>
      <c r="H55" s="64" t="s">
        <v>1889</v>
      </c>
      <c r="I55" s="64"/>
      <c r="J55" s="64"/>
      <c r="L55" s="65">
        <v>88.81</v>
      </c>
      <c r="M55" s="65">
        <f>Table13[[#This Row],[Price]]/Table13[[#This Row],[Area (ft2)]]</f>
        <v>11.10125</v>
      </c>
      <c r="N55" s="65"/>
      <c r="P55" s="39"/>
      <c r="S55" s="39"/>
      <c r="U55">
        <v>2023</v>
      </c>
      <c r="W55" t="s">
        <v>99</v>
      </c>
      <c r="X55" s="64" t="s">
        <v>1890</v>
      </c>
      <c r="Y55" t="s">
        <v>3414</v>
      </c>
    </row>
    <row r="56" spans="1:25" x14ac:dyDescent="0.2">
      <c r="A56" t="s">
        <v>7</v>
      </c>
      <c r="C56" s="64" t="s">
        <v>1872</v>
      </c>
      <c r="D56" s="363" t="s">
        <v>1891</v>
      </c>
      <c r="E56" s="64" t="s">
        <v>1849</v>
      </c>
      <c r="F56" s="64">
        <v>1</v>
      </c>
      <c r="G56" s="64" t="s">
        <v>1845</v>
      </c>
      <c r="H56" s="64" t="s">
        <v>1874</v>
      </c>
      <c r="I56" s="64"/>
      <c r="J56" s="64"/>
      <c r="L56" s="65">
        <v>159</v>
      </c>
      <c r="M56" s="65">
        <f>Table13[[#This Row],[Price]]/Table13[[#This Row],[Area (ft2)]]</f>
        <v>159</v>
      </c>
      <c r="N56" s="65"/>
      <c r="P56" s="39"/>
      <c r="S56" s="39"/>
      <c r="U56">
        <v>2023</v>
      </c>
      <c r="W56" t="s">
        <v>99</v>
      </c>
      <c r="X56" s="64" t="s">
        <v>1892</v>
      </c>
      <c r="Y56" t="s">
        <v>3405</v>
      </c>
    </row>
    <row r="57" spans="1:25" x14ac:dyDescent="0.2">
      <c r="A57" t="s">
        <v>7</v>
      </c>
      <c r="C57" s="64" t="s">
        <v>1872</v>
      </c>
      <c r="D57" s="363" t="s">
        <v>1893</v>
      </c>
      <c r="E57" s="64" t="s">
        <v>1849</v>
      </c>
      <c r="F57" s="64">
        <v>1</v>
      </c>
      <c r="G57" s="64" t="s">
        <v>1845</v>
      </c>
      <c r="H57" s="64" t="s">
        <v>1894</v>
      </c>
      <c r="I57" s="64"/>
      <c r="J57" s="64"/>
      <c r="L57" s="65">
        <v>149</v>
      </c>
      <c r="M57" s="65">
        <f>Table13[[#This Row],[Price]]/Table13[[#This Row],[Area (ft2)]]</f>
        <v>149</v>
      </c>
      <c r="N57" s="65"/>
      <c r="P57" s="39"/>
      <c r="S57" s="39"/>
      <c r="U57">
        <v>2023</v>
      </c>
      <c r="W57" t="s">
        <v>99</v>
      </c>
      <c r="X57" s="64" t="s">
        <v>1895</v>
      </c>
      <c r="Y57" t="s">
        <v>3405</v>
      </c>
    </row>
    <row r="58" spans="1:25" x14ac:dyDescent="0.2">
      <c r="A58" t="s">
        <v>7</v>
      </c>
      <c r="C58" s="64" t="s">
        <v>1879</v>
      </c>
      <c r="D58" s="363" t="s">
        <v>1896</v>
      </c>
      <c r="E58" s="64" t="s">
        <v>1849</v>
      </c>
      <c r="F58" s="64">
        <v>10.76</v>
      </c>
      <c r="G58" s="64" t="s">
        <v>1845</v>
      </c>
      <c r="H58" s="64" t="s">
        <v>1897</v>
      </c>
      <c r="I58" s="64"/>
      <c r="J58" s="64"/>
      <c r="L58" s="65">
        <v>53</v>
      </c>
      <c r="M58" s="65">
        <f>Table13[[#This Row],[Price]]/Table13[[#This Row],[Area (ft2)]]</f>
        <v>4.925650557620818</v>
      </c>
      <c r="N58" s="65"/>
      <c r="P58" s="39"/>
      <c r="S58" s="39"/>
      <c r="U58">
        <v>2023</v>
      </c>
      <c r="W58" t="s">
        <v>99</v>
      </c>
      <c r="X58" s="64" t="s">
        <v>1898</v>
      </c>
      <c r="Y58" t="s">
        <v>3414</v>
      </c>
    </row>
    <row r="59" spans="1:25" x14ac:dyDescent="0.2">
      <c r="A59" t="s">
        <v>7</v>
      </c>
      <c r="C59" s="64" t="s">
        <v>1878</v>
      </c>
      <c r="D59" s="363">
        <v>4210625</v>
      </c>
      <c r="E59" s="64" t="s">
        <v>1849</v>
      </c>
      <c r="F59" s="64">
        <v>24</v>
      </c>
      <c r="G59" s="64" t="s">
        <v>1845</v>
      </c>
      <c r="H59" s="64" t="s">
        <v>1899</v>
      </c>
      <c r="I59" s="64"/>
      <c r="J59" s="64"/>
      <c r="L59" s="65">
        <v>632.89</v>
      </c>
      <c r="M59" s="65">
        <f>Table13[[#This Row],[Price]]/Table13[[#This Row],[Area (ft2)]]</f>
        <v>26.370416666666667</v>
      </c>
      <c r="N59" s="65"/>
      <c r="P59" s="39"/>
      <c r="S59" s="39"/>
      <c r="U59">
        <v>2023</v>
      </c>
      <c r="W59" t="s">
        <v>99</v>
      </c>
      <c r="X59" s="64" t="s">
        <v>1900</v>
      </c>
      <c r="Y59" t="s">
        <v>3414</v>
      </c>
    </row>
    <row r="60" spans="1:25" x14ac:dyDescent="0.2">
      <c r="A60" t="s">
        <v>7</v>
      </c>
      <c r="C60" s="64" t="s">
        <v>1887</v>
      </c>
      <c r="D60" s="363" t="s">
        <v>1901</v>
      </c>
      <c r="E60" s="64" t="s">
        <v>1849</v>
      </c>
      <c r="F60" s="64">
        <v>150</v>
      </c>
      <c r="G60" s="64" t="s">
        <v>1841</v>
      </c>
      <c r="H60" s="64" t="s">
        <v>1902</v>
      </c>
      <c r="I60" s="64"/>
      <c r="J60" s="64"/>
      <c r="L60" s="65">
        <v>1371.71</v>
      </c>
      <c r="M60" s="65">
        <f>Table13[[#This Row],[Price]]/Table13[[#This Row],[Area (ft2)]]</f>
        <v>9.1447333333333329</v>
      </c>
      <c r="N60" s="65"/>
      <c r="P60" s="39"/>
      <c r="S60" s="39"/>
      <c r="U60">
        <v>2023</v>
      </c>
      <c r="W60" t="s">
        <v>99</v>
      </c>
      <c r="X60" s="64" t="s">
        <v>1903</v>
      </c>
      <c r="Y60" t="s">
        <v>3414</v>
      </c>
    </row>
    <row r="61" spans="1:25" x14ac:dyDescent="0.2">
      <c r="A61" t="s">
        <v>7</v>
      </c>
      <c r="C61" s="64" t="s">
        <v>1879</v>
      </c>
      <c r="D61" s="363" t="s">
        <v>1904</v>
      </c>
      <c r="E61" s="64" t="s">
        <v>1849</v>
      </c>
      <c r="F61" s="64">
        <v>10.76</v>
      </c>
      <c r="G61" s="64" t="s">
        <v>1838</v>
      </c>
      <c r="H61" s="64" t="s">
        <v>1869</v>
      </c>
      <c r="I61" s="64"/>
      <c r="J61" s="64"/>
      <c r="L61" s="65">
        <v>63.18</v>
      </c>
      <c r="M61" s="65">
        <f>Table13[[#This Row],[Price]]/Table13[[#This Row],[Area (ft2)]]</f>
        <v>5.8717472118959106</v>
      </c>
      <c r="N61" s="65"/>
      <c r="P61" s="39"/>
      <c r="S61" s="39"/>
      <c r="U61">
        <v>2023</v>
      </c>
      <c r="W61" t="s">
        <v>99</v>
      </c>
      <c r="X61" s="64" t="s">
        <v>1905</v>
      </c>
      <c r="Y61" t="s">
        <v>3414</v>
      </c>
    </row>
    <row r="62" spans="1:25" x14ac:dyDescent="0.2">
      <c r="A62" t="s">
        <v>7</v>
      </c>
      <c r="C62" s="64" t="s">
        <v>1872</v>
      </c>
      <c r="D62" s="363" t="s">
        <v>1906</v>
      </c>
      <c r="E62" s="64" t="s">
        <v>1849</v>
      </c>
      <c r="F62" s="64">
        <v>1</v>
      </c>
      <c r="G62" s="64" t="s">
        <v>1845</v>
      </c>
      <c r="H62" s="64" t="s">
        <v>1907</v>
      </c>
      <c r="I62" s="64"/>
      <c r="J62" s="64"/>
      <c r="L62" s="65">
        <v>148</v>
      </c>
      <c r="M62" s="65">
        <f>Table13[[#This Row],[Price]]/Table13[[#This Row],[Area (ft2)]]</f>
        <v>148</v>
      </c>
      <c r="N62" s="65"/>
      <c r="P62" s="39"/>
      <c r="S62" s="39"/>
      <c r="U62">
        <v>2023</v>
      </c>
      <c r="W62" t="s">
        <v>99</v>
      </c>
      <c r="X62" s="64" t="s">
        <v>1908</v>
      </c>
      <c r="Y62" t="s">
        <v>3405</v>
      </c>
    </row>
    <row r="63" spans="1:25" x14ac:dyDescent="0.2">
      <c r="A63" t="s">
        <v>7</v>
      </c>
      <c r="C63" s="64" t="s">
        <v>1878</v>
      </c>
      <c r="D63" s="363">
        <v>4210630</v>
      </c>
      <c r="E63" s="64" t="s">
        <v>1849</v>
      </c>
      <c r="F63" s="64">
        <v>24</v>
      </c>
      <c r="G63" s="64" t="s">
        <v>1845</v>
      </c>
      <c r="H63" s="64" t="s">
        <v>1899</v>
      </c>
      <c r="I63" s="64"/>
      <c r="J63" s="64"/>
      <c r="L63" s="65">
        <v>653.38</v>
      </c>
      <c r="M63" s="65">
        <f>Table13[[#This Row],[Price]]/Table13[[#This Row],[Area (ft2)]]</f>
        <v>27.224166666666665</v>
      </c>
      <c r="N63" s="65"/>
      <c r="P63" s="39"/>
      <c r="S63" s="39"/>
      <c r="U63">
        <v>2023</v>
      </c>
      <c r="W63" t="s">
        <v>99</v>
      </c>
      <c r="X63" s="64" t="s">
        <v>1909</v>
      </c>
      <c r="Y63" t="s">
        <v>3414</v>
      </c>
    </row>
    <row r="64" spans="1:25" x14ac:dyDescent="0.2">
      <c r="A64" t="s">
        <v>7</v>
      </c>
      <c r="C64" s="64" t="s">
        <v>1879</v>
      </c>
      <c r="D64" s="363" t="s">
        <v>1910</v>
      </c>
      <c r="E64" s="64" t="s">
        <v>1849</v>
      </c>
      <c r="F64" s="64">
        <v>10.76</v>
      </c>
      <c r="G64" s="64" t="s">
        <v>1911</v>
      </c>
      <c r="H64" s="64" t="s">
        <v>1840</v>
      </c>
      <c r="I64" s="64"/>
      <c r="J64" s="64"/>
      <c r="L64" s="65">
        <v>69.05</v>
      </c>
      <c r="M64" s="65">
        <f>Table13[[#This Row],[Price]]/Table13[[#This Row],[Area (ft2)]]</f>
        <v>6.4172862453531598</v>
      </c>
      <c r="N64" s="65"/>
      <c r="P64" s="39"/>
      <c r="S64" s="39"/>
      <c r="U64">
        <v>2023</v>
      </c>
      <c r="W64" t="s">
        <v>99</v>
      </c>
      <c r="X64" s="64" t="s">
        <v>1912</v>
      </c>
      <c r="Y64" t="s">
        <v>3414</v>
      </c>
    </row>
    <row r="65" spans="1:25" x14ac:dyDescent="0.2">
      <c r="A65" t="s">
        <v>7</v>
      </c>
      <c r="C65" s="64" t="s">
        <v>1887</v>
      </c>
      <c r="D65" s="363" t="s">
        <v>1913</v>
      </c>
      <c r="E65" s="64" t="s">
        <v>1849</v>
      </c>
      <c r="F65" s="64">
        <v>8</v>
      </c>
      <c r="G65" s="64" t="s">
        <v>1841</v>
      </c>
      <c r="H65" s="64" t="s">
        <v>1914</v>
      </c>
      <c r="I65" s="64"/>
      <c r="J65" s="64"/>
      <c r="L65" s="65">
        <v>124.08</v>
      </c>
      <c r="M65" s="65">
        <f>Table13[[#This Row],[Price]]/Table13[[#This Row],[Area (ft2)]]</f>
        <v>15.51</v>
      </c>
      <c r="N65" s="65"/>
      <c r="P65" s="39"/>
      <c r="S65" s="39"/>
      <c r="U65">
        <v>2023</v>
      </c>
      <c r="W65" t="s">
        <v>99</v>
      </c>
      <c r="X65" s="64" t="s">
        <v>1915</v>
      </c>
      <c r="Y65" t="s">
        <v>3414</v>
      </c>
    </row>
    <row r="66" spans="1:25" x14ac:dyDescent="0.2">
      <c r="A66" t="s">
        <v>7</v>
      </c>
      <c r="C66" s="64" t="s">
        <v>1879</v>
      </c>
      <c r="D66" s="363" t="s">
        <v>1916</v>
      </c>
      <c r="E66" s="64" t="s">
        <v>1849</v>
      </c>
      <c r="F66" s="64">
        <v>10.76</v>
      </c>
      <c r="G66" s="64" t="s">
        <v>1837</v>
      </c>
      <c r="H66" s="64" t="s">
        <v>1837</v>
      </c>
      <c r="I66" s="64"/>
      <c r="J66" s="64"/>
      <c r="L66" s="65">
        <v>59.7</v>
      </c>
      <c r="M66" s="65">
        <f>Table13[[#This Row],[Price]]/Table13[[#This Row],[Area (ft2)]]</f>
        <v>5.5483271375464689</v>
      </c>
      <c r="N66" s="65"/>
      <c r="P66" s="39"/>
      <c r="S66" s="39"/>
      <c r="U66">
        <v>2023</v>
      </c>
      <c r="W66" t="s">
        <v>99</v>
      </c>
      <c r="X66" s="64" t="s">
        <v>1917</v>
      </c>
      <c r="Y66" t="s">
        <v>3414</v>
      </c>
    </row>
    <row r="67" spans="1:25" x14ac:dyDescent="0.2">
      <c r="A67" t="s">
        <v>7</v>
      </c>
      <c r="C67" s="64" t="s">
        <v>1872</v>
      </c>
      <c r="D67" s="363" t="s">
        <v>1918</v>
      </c>
      <c r="E67" s="64" t="s">
        <v>1849</v>
      </c>
      <c r="F67" s="64">
        <v>1</v>
      </c>
      <c r="G67" s="64" t="s">
        <v>1845</v>
      </c>
      <c r="H67" s="64" t="s">
        <v>1919</v>
      </c>
      <c r="I67" s="64"/>
      <c r="J67" s="64"/>
      <c r="L67" s="65">
        <v>149</v>
      </c>
      <c r="M67" s="65">
        <f>Table13[[#This Row],[Price]]/Table13[[#This Row],[Area (ft2)]]</f>
        <v>149</v>
      </c>
      <c r="N67" s="65"/>
      <c r="P67" s="39"/>
      <c r="S67" s="39"/>
      <c r="U67">
        <v>2023</v>
      </c>
      <c r="W67" t="s">
        <v>99</v>
      </c>
      <c r="X67" s="64" t="s">
        <v>1920</v>
      </c>
      <c r="Y67" t="s">
        <v>3405</v>
      </c>
    </row>
    <row r="68" spans="1:25" x14ac:dyDescent="0.2">
      <c r="A68" t="s">
        <v>7</v>
      </c>
      <c r="C68" s="64" t="s">
        <v>1887</v>
      </c>
      <c r="D68" s="363" t="s">
        <v>1921</v>
      </c>
      <c r="E68" s="64" t="s">
        <v>1849</v>
      </c>
      <c r="F68" s="64">
        <v>100</v>
      </c>
      <c r="G68" s="64" t="s">
        <v>1841</v>
      </c>
      <c r="H68" s="64" t="s">
        <v>1922</v>
      </c>
      <c r="I68" s="64"/>
      <c r="J68" s="64"/>
      <c r="L68" s="65">
        <v>1226.0899999999999</v>
      </c>
      <c r="M68" s="65">
        <f>Table13[[#This Row],[Price]]/Table13[[#This Row],[Area (ft2)]]</f>
        <v>12.260899999999999</v>
      </c>
      <c r="N68" s="65"/>
      <c r="P68" s="39"/>
      <c r="S68" s="39"/>
      <c r="U68">
        <v>2023</v>
      </c>
      <c r="W68" t="s">
        <v>99</v>
      </c>
      <c r="X68" s="64" t="s">
        <v>1923</v>
      </c>
      <c r="Y68" t="s">
        <v>3405</v>
      </c>
    </row>
    <row r="69" spans="1:25" x14ac:dyDescent="0.2">
      <c r="A69" t="s">
        <v>7</v>
      </c>
      <c r="C69" s="64" t="s">
        <v>1878</v>
      </c>
      <c r="D69" s="363">
        <v>4210525</v>
      </c>
      <c r="E69" s="64" t="s">
        <v>1849</v>
      </c>
      <c r="F69" s="64">
        <v>24</v>
      </c>
      <c r="G69" s="64" t="s">
        <v>1845</v>
      </c>
      <c r="H69" s="64" t="s">
        <v>1899</v>
      </c>
      <c r="I69" s="64"/>
      <c r="J69" s="64"/>
      <c r="L69" s="65">
        <v>699.85</v>
      </c>
      <c r="M69" s="65">
        <f>Table13[[#This Row],[Price]]/Table13[[#This Row],[Area (ft2)]]</f>
        <v>29.160416666666666</v>
      </c>
      <c r="N69" s="65"/>
      <c r="P69" s="39"/>
      <c r="S69" s="39"/>
      <c r="U69">
        <v>2023</v>
      </c>
      <c r="W69" t="s">
        <v>99</v>
      </c>
      <c r="X69" s="64" t="s">
        <v>1924</v>
      </c>
      <c r="Y69" t="s">
        <v>3405</v>
      </c>
    </row>
    <row r="70" spans="1:25" x14ac:dyDescent="0.2">
      <c r="A70" t="s">
        <v>7</v>
      </c>
      <c r="C70" s="64" t="s">
        <v>1879</v>
      </c>
      <c r="D70" s="363" t="s">
        <v>1925</v>
      </c>
      <c r="E70" s="64" t="s">
        <v>1849</v>
      </c>
      <c r="F70" s="64">
        <v>10.76</v>
      </c>
      <c r="G70" s="64" t="s">
        <v>1841</v>
      </c>
      <c r="H70" s="64" t="s">
        <v>1926</v>
      </c>
      <c r="I70" s="64"/>
      <c r="J70" s="64"/>
      <c r="L70" s="65">
        <v>59.22</v>
      </c>
      <c r="M70" s="65">
        <f>Table13[[#This Row],[Price]]/Table13[[#This Row],[Area (ft2)]]</f>
        <v>5.503717472118959</v>
      </c>
      <c r="N70" s="65"/>
      <c r="P70" s="39"/>
      <c r="S70" s="39"/>
      <c r="U70">
        <v>2023</v>
      </c>
      <c r="W70" t="s">
        <v>99</v>
      </c>
      <c r="X70" s="64" t="s">
        <v>1927</v>
      </c>
      <c r="Y70" t="s">
        <v>3414</v>
      </c>
    </row>
    <row r="71" spans="1:25" x14ac:dyDescent="0.2">
      <c r="A71" t="s">
        <v>7</v>
      </c>
      <c r="C71" s="64" t="s">
        <v>1879</v>
      </c>
      <c r="D71" s="363" t="s">
        <v>1928</v>
      </c>
      <c r="E71" s="64" t="s">
        <v>1849</v>
      </c>
      <c r="F71" s="64">
        <v>10.76</v>
      </c>
      <c r="G71" s="64" t="s">
        <v>1839</v>
      </c>
      <c r="H71" s="64" t="s">
        <v>1839</v>
      </c>
      <c r="I71" s="64"/>
      <c r="J71" s="64"/>
      <c r="L71" s="65">
        <v>62.4</v>
      </c>
      <c r="M71" s="65">
        <f>Table13[[#This Row],[Price]]/Table13[[#This Row],[Area (ft2)]]</f>
        <v>5.7992565055762082</v>
      </c>
      <c r="N71" s="65"/>
      <c r="P71" s="39"/>
      <c r="S71" s="39"/>
      <c r="U71">
        <v>2023</v>
      </c>
      <c r="W71" t="s">
        <v>99</v>
      </c>
      <c r="X71" s="64" t="s">
        <v>1929</v>
      </c>
      <c r="Y71" t="s">
        <v>3414</v>
      </c>
    </row>
    <row r="72" spans="1:25" x14ac:dyDescent="0.2">
      <c r="A72" t="s">
        <v>7</v>
      </c>
      <c r="C72" s="64" t="s">
        <v>1878</v>
      </c>
      <c r="D72" s="363">
        <v>4210580</v>
      </c>
      <c r="E72" s="64" t="s">
        <v>1849</v>
      </c>
      <c r="F72" s="64">
        <v>24</v>
      </c>
      <c r="G72" s="64" t="s">
        <v>1845</v>
      </c>
      <c r="H72" s="64" t="s">
        <v>1899</v>
      </c>
      <c r="I72" s="64"/>
      <c r="J72" s="64"/>
      <c r="L72" s="65">
        <v>503.07</v>
      </c>
      <c r="M72" s="65">
        <f>Table13[[#This Row],[Price]]/Table13[[#This Row],[Area (ft2)]]</f>
        <v>20.96125</v>
      </c>
      <c r="N72" s="65"/>
      <c r="P72" s="39"/>
      <c r="S72" s="39"/>
      <c r="U72">
        <v>2023</v>
      </c>
      <c r="W72" t="s">
        <v>99</v>
      </c>
      <c r="X72" s="64" t="s">
        <v>1930</v>
      </c>
      <c r="Y72" t="s">
        <v>3405</v>
      </c>
    </row>
    <row r="73" spans="1:25" x14ac:dyDescent="0.2">
      <c r="A73" t="s">
        <v>7</v>
      </c>
      <c r="C73" s="64" t="s">
        <v>1878</v>
      </c>
      <c r="D73" s="363">
        <v>4210524</v>
      </c>
      <c r="E73" s="64" t="s">
        <v>1849</v>
      </c>
      <c r="F73" s="64">
        <v>24</v>
      </c>
      <c r="G73" s="64" t="s">
        <v>1845</v>
      </c>
      <c r="H73" s="64" t="s">
        <v>1899</v>
      </c>
      <c r="I73" s="64"/>
      <c r="J73" s="64"/>
      <c r="L73" s="65">
        <v>579.45000000000005</v>
      </c>
      <c r="M73" s="65">
        <f>Table13[[#This Row],[Price]]/Table13[[#This Row],[Area (ft2)]]</f>
        <v>24.143750000000001</v>
      </c>
      <c r="N73" s="65"/>
      <c r="P73" s="39"/>
      <c r="S73" s="39"/>
      <c r="U73">
        <v>2023</v>
      </c>
      <c r="W73" t="s">
        <v>99</v>
      </c>
      <c r="X73" s="64" t="s">
        <v>1931</v>
      </c>
      <c r="Y73" t="s">
        <v>3405</v>
      </c>
    </row>
    <row r="74" spans="1:25" x14ac:dyDescent="0.2">
      <c r="A74" t="s">
        <v>7</v>
      </c>
      <c r="C74" s="64" t="s">
        <v>1887</v>
      </c>
      <c r="D74" s="363" t="s">
        <v>1932</v>
      </c>
      <c r="E74" s="64" t="s">
        <v>1849</v>
      </c>
      <c r="F74" s="64">
        <v>100</v>
      </c>
      <c r="G74" s="64" t="s">
        <v>1845</v>
      </c>
      <c r="H74" s="64" t="s">
        <v>1933</v>
      </c>
      <c r="I74" s="64"/>
      <c r="J74" s="64"/>
      <c r="L74" s="65">
        <v>1069.77</v>
      </c>
      <c r="M74" s="65">
        <f>Table13[[#This Row],[Price]]/Table13[[#This Row],[Area (ft2)]]</f>
        <v>10.697699999999999</v>
      </c>
      <c r="N74" s="65"/>
      <c r="P74" s="39"/>
      <c r="S74" s="39"/>
      <c r="U74">
        <v>2023</v>
      </c>
      <c r="W74" t="s">
        <v>99</v>
      </c>
      <c r="X74" s="64" t="s">
        <v>1934</v>
      </c>
      <c r="Y74" t="s">
        <v>3405</v>
      </c>
    </row>
    <row r="75" spans="1:25" x14ac:dyDescent="0.2">
      <c r="A75" t="s">
        <v>7</v>
      </c>
      <c r="C75" s="64" t="s">
        <v>1851</v>
      </c>
      <c r="D75" s="363" t="s">
        <v>1935</v>
      </c>
      <c r="E75" s="64" t="s">
        <v>1849</v>
      </c>
      <c r="F75" s="64">
        <v>4</v>
      </c>
      <c r="G75" s="64" t="s">
        <v>1841</v>
      </c>
      <c r="H75" s="64" t="s">
        <v>1870</v>
      </c>
      <c r="I75" s="64"/>
      <c r="J75" s="64"/>
      <c r="L75" s="65">
        <v>46.45</v>
      </c>
      <c r="M75" s="65">
        <f>Table13[[#This Row],[Price]]/Table13[[#This Row],[Area (ft2)]]</f>
        <v>11.612500000000001</v>
      </c>
      <c r="N75" s="65"/>
      <c r="P75" s="39"/>
      <c r="S75" s="39"/>
      <c r="U75">
        <v>2023</v>
      </c>
      <c r="W75" t="s">
        <v>99</v>
      </c>
      <c r="X75" s="64" t="s">
        <v>1936</v>
      </c>
      <c r="Y75" t="s">
        <v>3414</v>
      </c>
    </row>
    <row r="76" spans="1:25" x14ac:dyDescent="0.2">
      <c r="A76" t="s">
        <v>7</v>
      </c>
      <c r="C76" s="64" t="s">
        <v>1887</v>
      </c>
      <c r="D76" s="363" t="s">
        <v>1937</v>
      </c>
      <c r="E76" s="64" t="s">
        <v>1849</v>
      </c>
      <c r="F76" s="64">
        <v>150</v>
      </c>
      <c r="G76" s="64" t="s">
        <v>1837</v>
      </c>
      <c r="H76" s="64" t="s">
        <v>1889</v>
      </c>
      <c r="I76" s="64"/>
      <c r="J76" s="64"/>
      <c r="L76" s="65">
        <v>1259.2</v>
      </c>
      <c r="M76" s="65">
        <f>Table13[[#This Row],[Price]]/Table13[[#This Row],[Area (ft2)]]</f>
        <v>8.3946666666666676</v>
      </c>
      <c r="N76" s="65"/>
      <c r="P76" s="39"/>
      <c r="S76" s="39"/>
      <c r="U76">
        <v>2023</v>
      </c>
      <c r="W76" t="s">
        <v>99</v>
      </c>
      <c r="X76" s="64" t="s">
        <v>1938</v>
      </c>
      <c r="Y76" t="s">
        <v>3414</v>
      </c>
    </row>
    <row r="77" spans="1:25" x14ac:dyDescent="0.2">
      <c r="A77" t="s">
        <v>7</v>
      </c>
      <c r="C77" s="64" t="s">
        <v>1878</v>
      </c>
      <c r="D77" s="363">
        <v>4210530</v>
      </c>
      <c r="E77" s="64" t="s">
        <v>1849</v>
      </c>
      <c r="F77" s="64">
        <v>24</v>
      </c>
      <c r="G77" s="64" t="s">
        <v>1845</v>
      </c>
      <c r="H77" s="64" t="s">
        <v>1899</v>
      </c>
      <c r="I77" s="64"/>
      <c r="J77" s="64"/>
      <c r="L77" s="65">
        <v>719.1</v>
      </c>
      <c r="M77" s="65">
        <f>Table13[[#This Row],[Price]]/Table13[[#This Row],[Area (ft2)]]</f>
        <v>29.962500000000002</v>
      </c>
      <c r="N77" s="65"/>
      <c r="P77" s="39"/>
      <c r="S77" s="39"/>
      <c r="U77">
        <v>2023</v>
      </c>
      <c r="W77" t="s">
        <v>99</v>
      </c>
      <c r="X77" s="64" t="s">
        <v>1939</v>
      </c>
      <c r="Y77" t="s">
        <v>3405</v>
      </c>
    </row>
    <row r="78" spans="1:25" x14ac:dyDescent="0.2">
      <c r="A78" t="s">
        <v>7</v>
      </c>
      <c r="C78" s="64" t="s">
        <v>1887</v>
      </c>
      <c r="D78" s="363" t="s">
        <v>1940</v>
      </c>
      <c r="E78" s="64" t="s">
        <v>1849</v>
      </c>
      <c r="F78" s="64">
        <v>100</v>
      </c>
      <c r="G78" s="64" t="s">
        <v>1841</v>
      </c>
      <c r="H78" s="64" t="s">
        <v>1922</v>
      </c>
      <c r="I78" s="64"/>
      <c r="J78" s="64"/>
      <c r="L78" s="65">
        <v>1328.23</v>
      </c>
      <c r="M78" s="65">
        <f>Table13[[#This Row],[Price]]/Table13[[#This Row],[Area (ft2)]]</f>
        <v>13.282299999999999</v>
      </c>
      <c r="N78" s="65"/>
      <c r="P78" s="39"/>
      <c r="S78" s="39"/>
      <c r="U78">
        <v>2023</v>
      </c>
      <c r="W78" t="s">
        <v>99</v>
      </c>
      <c r="X78" s="64" t="s">
        <v>1941</v>
      </c>
      <c r="Y78" t="s">
        <v>3405</v>
      </c>
    </row>
    <row r="79" spans="1:25" x14ac:dyDescent="0.2">
      <c r="A79" t="s">
        <v>7</v>
      </c>
      <c r="C79" s="64" t="s">
        <v>1878</v>
      </c>
      <c r="D79" s="363">
        <v>4210635</v>
      </c>
      <c r="E79" s="64" t="s">
        <v>1849</v>
      </c>
      <c r="F79" s="64">
        <v>24</v>
      </c>
      <c r="G79" s="64" t="s">
        <v>1845</v>
      </c>
      <c r="H79" s="64" t="s">
        <v>1899</v>
      </c>
      <c r="I79" s="64"/>
      <c r="J79" s="64"/>
      <c r="L79" s="65">
        <v>588.44000000000005</v>
      </c>
      <c r="M79" s="65">
        <f>Table13[[#This Row],[Price]]/Table13[[#This Row],[Area (ft2)]]</f>
        <v>24.518333333333334</v>
      </c>
      <c r="N79" s="65"/>
      <c r="P79" s="39"/>
      <c r="S79" s="39"/>
      <c r="U79">
        <v>2023</v>
      </c>
      <c r="W79" t="s">
        <v>99</v>
      </c>
      <c r="X79" s="64" t="s">
        <v>1942</v>
      </c>
      <c r="Y79" t="s">
        <v>3414</v>
      </c>
    </row>
    <row r="80" spans="1:25" x14ac:dyDescent="0.2">
      <c r="A80" t="s">
        <v>7</v>
      </c>
      <c r="C80" s="64" t="s">
        <v>1887</v>
      </c>
      <c r="D80" s="363" t="s">
        <v>1943</v>
      </c>
      <c r="E80" s="64" t="s">
        <v>1849</v>
      </c>
      <c r="F80" s="64">
        <v>8</v>
      </c>
      <c r="G80" s="64" t="s">
        <v>1841</v>
      </c>
      <c r="H80" s="64" t="s">
        <v>1914</v>
      </c>
      <c r="I80" s="64"/>
      <c r="J80" s="64"/>
      <c r="L80" s="65">
        <v>99.41</v>
      </c>
      <c r="M80" s="65">
        <f>Table13[[#This Row],[Price]]/Table13[[#This Row],[Area (ft2)]]</f>
        <v>12.42625</v>
      </c>
      <c r="N80" s="65"/>
      <c r="P80" s="39"/>
      <c r="S80" s="39"/>
      <c r="U80">
        <v>2023</v>
      </c>
      <c r="W80" t="s">
        <v>99</v>
      </c>
      <c r="X80" s="64" t="s">
        <v>1944</v>
      </c>
      <c r="Y80" t="s">
        <v>3405</v>
      </c>
    </row>
    <row r="81" spans="1:25" x14ac:dyDescent="0.2">
      <c r="A81" t="s">
        <v>7</v>
      </c>
      <c r="C81" s="64"/>
      <c r="D81" s="363">
        <v>3962</v>
      </c>
      <c r="E81" s="64" t="s">
        <v>1849</v>
      </c>
      <c r="F81" s="64">
        <v>10</v>
      </c>
      <c r="G81" s="64" t="s">
        <v>1839</v>
      </c>
      <c r="H81" s="64" t="s">
        <v>1945</v>
      </c>
      <c r="I81" s="64"/>
      <c r="J81" s="64"/>
      <c r="L81" s="65">
        <v>69.86</v>
      </c>
      <c r="M81" s="65">
        <f>Table13[[#This Row],[Price]]/Table13[[#This Row],[Area (ft2)]]</f>
        <v>6.9859999999999998</v>
      </c>
      <c r="N81" s="65"/>
      <c r="P81" s="39"/>
      <c r="S81" s="39"/>
      <c r="U81">
        <v>2023</v>
      </c>
      <c r="W81" t="s">
        <v>99</v>
      </c>
      <c r="X81" s="64" t="s">
        <v>1946</v>
      </c>
      <c r="Y81" t="s">
        <v>3414</v>
      </c>
    </row>
    <row r="82" spans="1:25" x14ac:dyDescent="0.2">
      <c r="A82" t="s">
        <v>7</v>
      </c>
      <c r="C82" s="64" t="s">
        <v>1887</v>
      </c>
      <c r="D82" s="363" t="s">
        <v>1947</v>
      </c>
      <c r="E82" s="64" t="s">
        <v>1849</v>
      </c>
      <c r="F82" s="64">
        <v>8</v>
      </c>
      <c r="G82" s="64" t="s">
        <v>1841</v>
      </c>
      <c r="H82" s="64" t="s">
        <v>1914</v>
      </c>
      <c r="I82" s="64"/>
      <c r="J82" s="64"/>
      <c r="L82" s="65">
        <v>126.92</v>
      </c>
      <c r="M82" s="65">
        <f>Table13[[#This Row],[Price]]/Table13[[#This Row],[Area (ft2)]]</f>
        <v>15.865</v>
      </c>
      <c r="N82" s="65"/>
      <c r="P82" s="39"/>
      <c r="S82" s="39"/>
      <c r="U82">
        <v>2023</v>
      </c>
      <c r="W82" t="s">
        <v>99</v>
      </c>
      <c r="X82" s="64" t="s">
        <v>1948</v>
      </c>
      <c r="Y82" t="s">
        <v>3414</v>
      </c>
    </row>
    <row r="83" spans="1:25" x14ac:dyDescent="0.2">
      <c r="A83" t="s">
        <v>7</v>
      </c>
      <c r="C83" s="64" t="s">
        <v>1887</v>
      </c>
      <c r="D83" s="363" t="s">
        <v>1949</v>
      </c>
      <c r="E83" s="64" t="s">
        <v>1849</v>
      </c>
      <c r="F83" s="64">
        <v>100</v>
      </c>
      <c r="G83" s="64" t="s">
        <v>1837</v>
      </c>
      <c r="H83" s="64" t="s">
        <v>1950</v>
      </c>
      <c r="I83" s="64"/>
      <c r="J83" s="64"/>
      <c r="L83" s="65">
        <v>945.95</v>
      </c>
      <c r="M83" s="65">
        <f>Table13[[#This Row],[Price]]/Table13[[#This Row],[Area (ft2)]]</f>
        <v>9.4595000000000002</v>
      </c>
      <c r="N83" s="65"/>
      <c r="P83" s="39"/>
      <c r="S83" s="39"/>
      <c r="U83">
        <v>2023</v>
      </c>
      <c r="W83" t="s">
        <v>99</v>
      </c>
      <c r="X83" s="64" t="s">
        <v>1951</v>
      </c>
      <c r="Y83" t="s">
        <v>3405</v>
      </c>
    </row>
    <row r="84" spans="1:25" x14ac:dyDescent="0.2">
      <c r="A84" t="s">
        <v>7</v>
      </c>
      <c r="C84" s="64" t="s">
        <v>1887</v>
      </c>
      <c r="D84" s="363" t="s">
        <v>1953</v>
      </c>
      <c r="E84" s="64" t="s">
        <v>1849</v>
      </c>
      <c r="F84" s="64">
        <v>4.9000000000000004</v>
      </c>
      <c r="G84" s="64" t="s">
        <v>1837</v>
      </c>
      <c r="H84" s="64" t="s">
        <v>1954</v>
      </c>
      <c r="I84" s="64"/>
      <c r="J84" s="64"/>
      <c r="L84" s="65">
        <v>110.02</v>
      </c>
      <c r="M84" s="65">
        <f>Table13[[#This Row],[Price]]/Table13[[#This Row],[Area (ft2)]]</f>
        <v>22.453061224489794</v>
      </c>
      <c r="N84" s="65"/>
      <c r="P84" s="39"/>
      <c r="S84" s="39"/>
      <c r="U84">
        <v>2023</v>
      </c>
      <c r="W84" t="s">
        <v>99</v>
      </c>
      <c r="X84" s="64" t="s">
        <v>1955</v>
      </c>
      <c r="Y84" t="s">
        <v>3405</v>
      </c>
    </row>
    <row r="85" spans="1:25" x14ac:dyDescent="0.2">
      <c r="A85" t="s">
        <v>7</v>
      </c>
      <c r="C85" s="64" t="s">
        <v>1887</v>
      </c>
      <c r="D85" s="363" t="s">
        <v>1956</v>
      </c>
      <c r="E85" s="64" t="s">
        <v>1849</v>
      </c>
      <c r="F85" s="64">
        <v>100</v>
      </c>
      <c r="G85" s="64" t="s">
        <v>1841</v>
      </c>
      <c r="H85" s="64" t="s">
        <v>1922</v>
      </c>
      <c r="I85" s="64"/>
      <c r="J85" s="64"/>
      <c r="L85" s="65">
        <v>1265.02</v>
      </c>
      <c r="M85" s="65">
        <f>Table13[[#This Row],[Price]]/Table13[[#This Row],[Area (ft2)]]</f>
        <v>12.6502</v>
      </c>
      <c r="N85" s="65"/>
      <c r="P85" s="39"/>
      <c r="S85" s="39"/>
      <c r="U85">
        <v>2023</v>
      </c>
      <c r="W85" t="s">
        <v>99</v>
      </c>
      <c r="X85" s="64" t="s">
        <v>1957</v>
      </c>
      <c r="Y85" t="s">
        <v>3405</v>
      </c>
    </row>
    <row r="86" spans="1:25" x14ac:dyDescent="0.2">
      <c r="A86" t="s">
        <v>7</v>
      </c>
      <c r="C86" s="64" t="s">
        <v>1878</v>
      </c>
      <c r="D86" s="363">
        <v>4210559</v>
      </c>
      <c r="E86" s="64" t="s">
        <v>1849</v>
      </c>
      <c r="F86" s="64">
        <v>24</v>
      </c>
      <c r="G86" s="64" t="s">
        <v>1845</v>
      </c>
      <c r="H86" s="64" t="s">
        <v>1899</v>
      </c>
      <c r="I86" s="64"/>
      <c r="J86" s="64"/>
      <c r="L86" s="65">
        <v>681.5</v>
      </c>
      <c r="M86" s="65">
        <f>Table13[[#This Row],[Price]]/Table13[[#This Row],[Area (ft2)]]</f>
        <v>28.395833333333332</v>
      </c>
      <c r="N86" s="65"/>
      <c r="P86" s="39"/>
      <c r="S86" s="39"/>
      <c r="U86">
        <v>2023</v>
      </c>
      <c r="W86" t="s">
        <v>99</v>
      </c>
      <c r="X86" s="64" t="s">
        <v>1958</v>
      </c>
      <c r="Y86" t="s">
        <v>3405</v>
      </c>
    </row>
    <row r="87" spans="1:25" x14ac:dyDescent="0.2">
      <c r="A87" t="s">
        <v>7</v>
      </c>
      <c r="C87" s="64" t="s">
        <v>1887</v>
      </c>
      <c r="D87" s="363" t="s">
        <v>1959</v>
      </c>
      <c r="E87" s="64" t="s">
        <v>1849</v>
      </c>
      <c r="F87" s="64">
        <v>100</v>
      </c>
      <c r="G87" s="64" t="s">
        <v>1837</v>
      </c>
      <c r="H87" s="64" t="s">
        <v>1922</v>
      </c>
      <c r="I87" s="64"/>
      <c r="J87" s="64"/>
      <c r="L87" s="65">
        <v>1186.1300000000001</v>
      </c>
      <c r="M87" s="65">
        <f>Table13[[#This Row],[Price]]/Table13[[#This Row],[Area (ft2)]]</f>
        <v>11.861300000000002</v>
      </c>
      <c r="N87" s="65"/>
      <c r="P87" s="39"/>
      <c r="S87" s="39"/>
      <c r="U87">
        <v>2023</v>
      </c>
      <c r="W87" t="s">
        <v>99</v>
      </c>
      <c r="X87" s="64" t="s">
        <v>1960</v>
      </c>
      <c r="Y87" t="s">
        <v>3405</v>
      </c>
    </row>
    <row r="88" spans="1:25" x14ac:dyDescent="0.2">
      <c r="A88" t="s">
        <v>7</v>
      </c>
      <c r="C88" s="64" t="s">
        <v>1887</v>
      </c>
      <c r="D88" s="363" t="s">
        <v>1961</v>
      </c>
      <c r="E88" s="64" t="s">
        <v>1849</v>
      </c>
      <c r="F88" s="64">
        <v>150</v>
      </c>
      <c r="G88" s="64" t="s">
        <v>1845</v>
      </c>
      <c r="H88" s="64" t="s">
        <v>1962</v>
      </c>
      <c r="I88" s="64"/>
      <c r="J88" s="64"/>
      <c r="L88" s="65">
        <v>1529.58</v>
      </c>
      <c r="M88" s="65">
        <f>Table13[[#This Row],[Price]]/Table13[[#This Row],[Area (ft2)]]</f>
        <v>10.197199999999999</v>
      </c>
      <c r="N88" s="65"/>
      <c r="P88" s="39"/>
      <c r="S88" s="39"/>
      <c r="U88">
        <v>2023</v>
      </c>
      <c r="W88" t="s">
        <v>99</v>
      </c>
      <c r="X88" s="64" t="s">
        <v>1963</v>
      </c>
      <c r="Y88" t="s">
        <v>3414</v>
      </c>
    </row>
    <row r="89" spans="1:25" x14ac:dyDescent="0.2">
      <c r="A89" t="s">
        <v>7</v>
      </c>
      <c r="C89" s="64" t="s">
        <v>1878</v>
      </c>
      <c r="D89" s="363">
        <v>4210535</v>
      </c>
      <c r="E89" s="64" t="s">
        <v>1849</v>
      </c>
      <c r="F89" s="64">
        <v>24</v>
      </c>
      <c r="G89" s="64" t="s">
        <v>1845</v>
      </c>
      <c r="H89" s="64" t="s">
        <v>1899</v>
      </c>
      <c r="I89" s="64"/>
      <c r="J89" s="64"/>
      <c r="L89" s="65">
        <v>631.13</v>
      </c>
      <c r="M89" s="65">
        <f>Table13[[#This Row],[Price]]/Table13[[#This Row],[Area (ft2)]]</f>
        <v>26.297083333333333</v>
      </c>
      <c r="N89" s="65"/>
      <c r="P89" s="39"/>
      <c r="S89" s="39"/>
      <c r="U89">
        <v>2023</v>
      </c>
      <c r="W89" t="s">
        <v>99</v>
      </c>
      <c r="X89" s="64" t="s">
        <v>1964</v>
      </c>
      <c r="Y89" t="s">
        <v>3405</v>
      </c>
    </row>
    <row r="90" spans="1:25" x14ac:dyDescent="0.2">
      <c r="A90" t="s">
        <v>7</v>
      </c>
      <c r="C90" s="64" t="s">
        <v>1878</v>
      </c>
      <c r="D90" s="363">
        <v>4210583</v>
      </c>
      <c r="E90" s="64" t="s">
        <v>1849</v>
      </c>
      <c r="F90" s="64">
        <v>24</v>
      </c>
      <c r="G90" s="64" t="s">
        <v>1845</v>
      </c>
      <c r="H90" s="64" t="s">
        <v>1899</v>
      </c>
      <c r="I90" s="64"/>
      <c r="J90" s="64"/>
      <c r="L90" s="65">
        <v>583.41999999999996</v>
      </c>
      <c r="M90" s="65">
        <f>Table13[[#This Row],[Price]]/Table13[[#This Row],[Area (ft2)]]</f>
        <v>24.309166666666666</v>
      </c>
      <c r="N90" s="65"/>
      <c r="P90" s="39"/>
      <c r="S90" s="39"/>
      <c r="U90">
        <v>2023</v>
      </c>
      <c r="W90" t="s">
        <v>99</v>
      </c>
      <c r="X90" s="64" t="s">
        <v>1965</v>
      </c>
      <c r="Y90" t="s">
        <v>3405</v>
      </c>
    </row>
    <row r="91" spans="1:25" x14ac:dyDescent="0.2">
      <c r="A91" t="s">
        <v>7</v>
      </c>
      <c r="C91" s="64" t="s">
        <v>1887</v>
      </c>
      <c r="D91" s="363" t="s">
        <v>1966</v>
      </c>
      <c r="E91" s="64" t="s">
        <v>1849</v>
      </c>
      <c r="F91" s="64">
        <v>100</v>
      </c>
      <c r="G91" s="64" t="s">
        <v>1841</v>
      </c>
      <c r="H91" s="64" t="s">
        <v>1841</v>
      </c>
      <c r="I91" s="64"/>
      <c r="J91" s="64"/>
      <c r="L91" s="65">
        <v>1186</v>
      </c>
      <c r="M91" s="65">
        <f>Table13[[#This Row],[Price]]/Table13[[#This Row],[Area (ft2)]]</f>
        <v>11.86</v>
      </c>
      <c r="N91" s="65"/>
      <c r="P91" s="39"/>
      <c r="S91" s="39"/>
      <c r="U91">
        <v>2023</v>
      </c>
      <c r="W91" t="s">
        <v>99</v>
      </c>
      <c r="X91" s="64" t="s">
        <v>1967</v>
      </c>
      <c r="Y91" t="s">
        <v>3405</v>
      </c>
    </row>
    <row r="92" spans="1:25" x14ac:dyDescent="0.2">
      <c r="A92" t="s">
        <v>7</v>
      </c>
      <c r="C92" s="64" t="s">
        <v>1887</v>
      </c>
      <c r="D92" s="363" t="s">
        <v>1968</v>
      </c>
      <c r="E92" s="64" t="s">
        <v>1849</v>
      </c>
      <c r="F92" s="64">
        <v>150</v>
      </c>
      <c r="G92" s="64" t="s">
        <v>1841</v>
      </c>
      <c r="H92" s="64" t="s">
        <v>1969</v>
      </c>
      <c r="I92" s="64"/>
      <c r="J92" s="64"/>
      <c r="L92" s="65">
        <v>1064.74</v>
      </c>
      <c r="M92" s="65">
        <f>Table13[[#This Row],[Price]]/Table13[[#This Row],[Area (ft2)]]</f>
        <v>7.0982666666666665</v>
      </c>
      <c r="N92" s="65"/>
      <c r="P92" s="39"/>
      <c r="S92" s="39"/>
      <c r="U92">
        <v>2023</v>
      </c>
      <c r="W92" t="s">
        <v>99</v>
      </c>
      <c r="X92" s="64" t="s">
        <v>1970</v>
      </c>
      <c r="Y92" t="s">
        <v>3414</v>
      </c>
    </row>
    <row r="93" spans="1:25" x14ac:dyDescent="0.2">
      <c r="A93" t="s">
        <v>7</v>
      </c>
      <c r="C93" s="64" t="s">
        <v>1887</v>
      </c>
      <c r="D93" s="363" t="s">
        <v>1971</v>
      </c>
      <c r="E93" s="64" t="s">
        <v>1849</v>
      </c>
      <c r="F93" s="64">
        <v>4.9000000000000004</v>
      </c>
      <c r="G93" s="64" t="s">
        <v>1841</v>
      </c>
      <c r="H93" s="64" t="s">
        <v>1902</v>
      </c>
      <c r="I93" s="64"/>
      <c r="J93" s="64"/>
      <c r="L93" s="65">
        <v>113.91</v>
      </c>
      <c r="M93" s="65">
        <f>Table13[[#This Row],[Price]]/Table13[[#This Row],[Area (ft2)]]</f>
        <v>23.246938775510202</v>
      </c>
      <c r="N93" s="65"/>
      <c r="P93" s="39"/>
      <c r="S93" s="39"/>
      <c r="U93">
        <v>2023</v>
      </c>
      <c r="W93" t="s">
        <v>99</v>
      </c>
      <c r="X93" s="64" t="s">
        <v>1972</v>
      </c>
      <c r="Y93" t="s">
        <v>3405</v>
      </c>
    </row>
    <row r="94" spans="1:25" x14ac:dyDescent="0.2">
      <c r="A94" t="s">
        <v>7</v>
      </c>
      <c r="C94" s="64" t="s">
        <v>1878</v>
      </c>
      <c r="D94" s="363">
        <v>4210624</v>
      </c>
      <c r="E94" s="64" t="s">
        <v>1849</v>
      </c>
      <c r="F94" s="64">
        <v>24</v>
      </c>
      <c r="G94" s="64" t="s">
        <v>1845</v>
      </c>
      <c r="H94" s="64" t="s">
        <v>1899</v>
      </c>
      <c r="I94" s="64"/>
      <c r="J94" s="64"/>
      <c r="L94" s="65">
        <v>695.28</v>
      </c>
      <c r="M94" s="65">
        <f>Table13[[#This Row],[Price]]/Table13[[#This Row],[Area (ft2)]]</f>
        <v>28.97</v>
      </c>
      <c r="N94" s="65"/>
      <c r="P94" s="39"/>
      <c r="S94" s="39"/>
      <c r="U94">
        <v>2023</v>
      </c>
      <c r="W94" t="s">
        <v>99</v>
      </c>
      <c r="X94" s="64" t="s">
        <v>1973</v>
      </c>
      <c r="Y94" t="s">
        <v>3414</v>
      </c>
    </row>
    <row r="95" spans="1:25" x14ac:dyDescent="0.2">
      <c r="A95" t="s">
        <v>7</v>
      </c>
      <c r="C95" s="64" t="s">
        <v>1887</v>
      </c>
      <c r="D95" s="363" t="s">
        <v>1975</v>
      </c>
      <c r="E95" s="64" t="s">
        <v>1849</v>
      </c>
      <c r="F95" s="64">
        <v>4.9000000000000004</v>
      </c>
      <c r="G95" s="64" t="s">
        <v>1837</v>
      </c>
      <c r="H95" s="64" t="s">
        <v>1954</v>
      </c>
      <c r="I95" s="64"/>
      <c r="J95" s="64"/>
      <c r="L95" s="65">
        <v>88.77</v>
      </c>
      <c r="M95" s="65">
        <f>Table13[[#This Row],[Price]]/Table13[[#This Row],[Area (ft2)]]</f>
        <v>18.116326530612241</v>
      </c>
      <c r="N95" s="65"/>
      <c r="P95" s="39"/>
      <c r="S95" s="39"/>
      <c r="U95">
        <v>2023</v>
      </c>
      <c r="W95" t="s">
        <v>99</v>
      </c>
      <c r="X95" s="64" t="s">
        <v>1976</v>
      </c>
      <c r="Y95" t="s">
        <v>3405</v>
      </c>
    </row>
    <row r="96" spans="1:25" x14ac:dyDescent="0.2">
      <c r="A96" t="s">
        <v>7</v>
      </c>
      <c r="C96" s="64"/>
      <c r="D96" s="363">
        <v>3960</v>
      </c>
      <c r="E96" s="64" t="s">
        <v>1849</v>
      </c>
      <c r="F96" s="64">
        <v>8</v>
      </c>
      <c r="G96" s="64" t="s">
        <v>1845</v>
      </c>
      <c r="H96" s="64" t="s">
        <v>1977</v>
      </c>
      <c r="I96" s="64"/>
      <c r="J96" s="64"/>
      <c r="L96" s="65">
        <v>119.31</v>
      </c>
      <c r="M96" s="65">
        <f>Table13[[#This Row],[Price]]/Table13[[#This Row],[Area (ft2)]]</f>
        <v>14.91375</v>
      </c>
      <c r="N96" s="65"/>
      <c r="P96" s="39"/>
      <c r="S96" s="39"/>
      <c r="U96">
        <v>2023</v>
      </c>
      <c r="W96" t="s">
        <v>99</v>
      </c>
      <c r="X96" s="64" t="s">
        <v>1978</v>
      </c>
      <c r="Y96" t="s">
        <v>3414</v>
      </c>
    </row>
    <row r="97" spans="1:25" x14ac:dyDescent="0.2">
      <c r="A97" t="s">
        <v>7</v>
      </c>
      <c r="C97" s="64" t="s">
        <v>1878</v>
      </c>
      <c r="D97" s="363">
        <v>4210710</v>
      </c>
      <c r="E97" s="64" t="s">
        <v>1849</v>
      </c>
      <c r="F97" s="64">
        <v>24</v>
      </c>
      <c r="G97" s="64" t="s">
        <v>1845</v>
      </c>
      <c r="H97" s="64" t="s">
        <v>1899</v>
      </c>
      <c r="I97" s="64"/>
      <c r="J97" s="64"/>
      <c r="L97" s="65">
        <v>583.55999999999995</v>
      </c>
      <c r="M97" s="65">
        <f>Table13[[#This Row],[Price]]/Table13[[#This Row],[Area (ft2)]]</f>
        <v>24.314999999999998</v>
      </c>
      <c r="N97" s="65"/>
      <c r="P97" s="39"/>
      <c r="S97" s="39"/>
      <c r="U97">
        <v>2023</v>
      </c>
      <c r="W97" t="s">
        <v>99</v>
      </c>
      <c r="X97" s="64" t="s">
        <v>1979</v>
      </c>
      <c r="Y97" t="s">
        <v>3414</v>
      </c>
    </row>
    <row r="98" spans="1:25" x14ac:dyDescent="0.2">
      <c r="A98" t="s">
        <v>7</v>
      </c>
      <c r="C98" s="64" t="s">
        <v>1878</v>
      </c>
      <c r="D98" s="363">
        <v>4210586</v>
      </c>
      <c r="E98" s="64" t="s">
        <v>1849</v>
      </c>
      <c r="F98" s="64">
        <v>24</v>
      </c>
      <c r="G98" s="64" t="s">
        <v>1845</v>
      </c>
      <c r="H98" s="64" t="s">
        <v>1899</v>
      </c>
      <c r="I98" s="64"/>
      <c r="J98" s="64"/>
      <c r="L98" s="65">
        <v>571.97</v>
      </c>
      <c r="M98" s="65">
        <f>Table13[[#This Row],[Price]]/Table13[[#This Row],[Area (ft2)]]</f>
        <v>23.832083333333333</v>
      </c>
      <c r="N98" s="65"/>
      <c r="P98" s="39"/>
      <c r="S98" s="39"/>
      <c r="U98">
        <v>2023</v>
      </c>
      <c r="W98" t="s">
        <v>99</v>
      </c>
      <c r="X98" s="64" t="s">
        <v>1980</v>
      </c>
      <c r="Y98" t="s">
        <v>3405</v>
      </c>
    </row>
    <row r="99" spans="1:25" x14ac:dyDescent="0.2">
      <c r="A99" t="s">
        <v>7</v>
      </c>
      <c r="C99" s="64" t="s">
        <v>1887</v>
      </c>
      <c r="D99" s="363" t="s">
        <v>1981</v>
      </c>
      <c r="E99" s="64" t="s">
        <v>1849</v>
      </c>
      <c r="F99" s="64">
        <v>4.9000000000000004</v>
      </c>
      <c r="G99" s="64" t="s">
        <v>1837</v>
      </c>
      <c r="H99" s="64" t="s">
        <v>1954</v>
      </c>
      <c r="I99" s="64"/>
      <c r="J99" s="64"/>
      <c r="L99" s="65">
        <v>73.790000000000006</v>
      </c>
      <c r="M99" s="65">
        <f>Table13[[#This Row],[Price]]/Table13[[#This Row],[Area (ft2)]]</f>
        <v>15.059183673469388</v>
      </c>
      <c r="N99" s="65"/>
      <c r="P99" s="39"/>
      <c r="S99" s="39"/>
      <c r="U99">
        <v>2023</v>
      </c>
      <c r="W99" t="s">
        <v>99</v>
      </c>
      <c r="X99" s="64" t="s">
        <v>1982</v>
      </c>
      <c r="Y99" t="s">
        <v>3405</v>
      </c>
    </row>
    <row r="100" spans="1:25" x14ac:dyDescent="0.2">
      <c r="A100" t="s">
        <v>7</v>
      </c>
      <c r="C100" s="64" t="s">
        <v>1983</v>
      </c>
      <c r="D100" s="363" t="s">
        <v>1984</v>
      </c>
      <c r="E100" s="64" t="s">
        <v>1849</v>
      </c>
      <c r="F100" s="64">
        <v>84</v>
      </c>
      <c r="G100" s="64" t="s">
        <v>1837</v>
      </c>
      <c r="H100" s="64" t="s">
        <v>1985</v>
      </c>
      <c r="I100" s="64"/>
      <c r="J100" s="64"/>
      <c r="L100" s="65">
        <v>533.08000000000004</v>
      </c>
      <c r="M100" s="65">
        <f>Table13[[#This Row],[Price]]/Table13[[#This Row],[Area (ft2)]]</f>
        <v>6.3461904761904764</v>
      </c>
      <c r="N100" s="65"/>
      <c r="P100" s="39"/>
      <c r="S100" s="39"/>
      <c r="U100">
        <v>2023</v>
      </c>
      <c r="W100" t="s">
        <v>99</v>
      </c>
      <c r="X100" s="64" t="s">
        <v>1986</v>
      </c>
      <c r="Y100" t="s">
        <v>3414</v>
      </c>
    </row>
    <row r="101" spans="1:25" x14ac:dyDescent="0.2">
      <c r="A101" t="s">
        <v>7</v>
      </c>
      <c r="C101" s="64"/>
      <c r="D101" s="363">
        <v>3954</v>
      </c>
      <c r="E101" s="64" t="s">
        <v>1849</v>
      </c>
      <c r="F101" s="64">
        <v>12</v>
      </c>
      <c r="G101" s="64" t="s">
        <v>1841</v>
      </c>
      <c r="H101" s="64" t="s">
        <v>1987</v>
      </c>
      <c r="I101" s="64"/>
      <c r="J101" s="64"/>
      <c r="L101" s="65">
        <v>94.07</v>
      </c>
      <c r="M101" s="65">
        <f>Table13[[#This Row],[Price]]/Table13[[#This Row],[Area (ft2)]]</f>
        <v>7.8391666666666664</v>
      </c>
      <c r="N101" s="65"/>
      <c r="P101" s="39"/>
      <c r="S101" s="39"/>
      <c r="U101">
        <v>2023</v>
      </c>
      <c r="W101" t="s">
        <v>99</v>
      </c>
      <c r="X101" s="64" t="s">
        <v>1988</v>
      </c>
      <c r="Y101" t="s">
        <v>3414</v>
      </c>
    </row>
    <row r="102" spans="1:25" x14ac:dyDescent="0.2">
      <c r="A102" t="s">
        <v>7</v>
      </c>
      <c r="C102" s="64" t="s">
        <v>1887</v>
      </c>
      <c r="D102" s="363" t="s">
        <v>1989</v>
      </c>
      <c r="E102" s="64" t="s">
        <v>1849</v>
      </c>
      <c r="F102" s="64">
        <v>150</v>
      </c>
      <c r="G102" s="64" t="s">
        <v>1837</v>
      </c>
      <c r="H102" s="64" t="s">
        <v>1990</v>
      </c>
      <c r="I102" s="64"/>
      <c r="J102" s="64"/>
      <c r="L102" s="65">
        <v>1550.33</v>
      </c>
      <c r="M102" s="65">
        <f>Table13[[#This Row],[Price]]/Table13[[#This Row],[Area (ft2)]]</f>
        <v>10.335533333333332</v>
      </c>
      <c r="N102" s="65"/>
      <c r="P102" s="39"/>
      <c r="S102" s="39"/>
      <c r="U102">
        <v>2023</v>
      </c>
      <c r="W102" t="s">
        <v>99</v>
      </c>
      <c r="X102" s="64" t="s">
        <v>1991</v>
      </c>
      <c r="Y102" t="s">
        <v>3405</v>
      </c>
    </row>
    <row r="103" spans="1:25" x14ac:dyDescent="0.2">
      <c r="A103" t="s">
        <v>7</v>
      </c>
      <c r="C103" s="64"/>
      <c r="D103" s="363">
        <v>3956</v>
      </c>
      <c r="E103" s="64" t="s">
        <v>1849</v>
      </c>
      <c r="F103" s="64">
        <v>11</v>
      </c>
      <c r="G103" s="64" t="s">
        <v>1845</v>
      </c>
      <c r="H103" s="64" t="s">
        <v>1992</v>
      </c>
      <c r="I103" s="64"/>
      <c r="J103" s="64"/>
      <c r="L103" s="65">
        <v>100.88</v>
      </c>
      <c r="M103" s="65">
        <f>Table13[[#This Row],[Price]]/Table13[[#This Row],[Area (ft2)]]</f>
        <v>9.17090909090909</v>
      </c>
      <c r="N103" s="65"/>
      <c r="P103" s="39"/>
      <c r="S103" s="39"/>
      <c r="U103">
        <v>2023</v>
      </c>
      <c r="W103" t="s">
        <v>99</v>
      </c>
      <c r="X103" s="64" t="s">
        <v>1993</v>
      </c>
      <c r="Y103" t="s">
        <v>3414</v>
      </c>
    </row>
    <row r="104" spans="1:25" x14ac:dyDescent="0.2">
      <c r="A104" t="s">
        <v>7</v>
      </c>
      <c r="C104" s="64" t="s">
        <v>1887</v>
      </c>
      <c r="D104" s="363" t="s">
        <v>1994</v>
      </c>
      <c r="E104" s="64" t="s">
        <v>1849</v>
      </c>
      <c r="F104" s="64">
        <v>4.9000000000000004</v>
      </c>
      <c r="G104" s="64" t="s">
        <v>1841</v>
      </c>
      <c r="H104" s="64" t="s">
        <v>1902</v>
      </c>
      <c r="I104" s="64"/>
      <c r="J104" s="64"/>
      <c r="L104" s="65">
        <v>104.01</v>
      </c>
      <c r="M104" s="65">
        <f>Table13[[#This Row],[Price]]/Table13[[#This Row],[Area (ft2)]]</f>
        <v>21.226530612244897</v>
      </c>
      <c r="N104" s="65"/>
      <c r="P104" s="39"/>
      <c r="S104" s="39"/>
      <c r="U104">
        <v>2023</v>
      </c>
      <c r="W104" t="s">
        <v>99</v>
      </c>
      <c r="X104" s="64" t="s">
        <v>1995</v>
      </c>
      <c r="Y104" t="s">
        <v>3405</v>
      </c>
    </row>
    <row r="105" spans="1:25" x14ac:dyDescent="0.2">
      <c r="A105" t="s">
        <v>7</v>
      </c>
      <c r="C105" s="64" t="s">
        <v>1887</v>
      </c>
      <c r="D105" s="363" t="s">
        <v>1996</v>
      </c>
      <c r="E105" s="64" t="s">
        <v>1849</v>
      </c>
      <c r="F105" s="64">
        <v>150</v>
      </c>
      <c r="G105" s="64" t="s">
        <v>1841</v>
      </c>
      <c r="H105" s="64" t="s">
        <v>1841</v>
      </c>
      <c r="I105" s="64"/>
      <c r="J105" s="64"/>
      <c r="L105" s="65">
        <v>1259</v>
      </c>
      <c r="M105" s="65">
        <f>Table13[[#This Row],[Price]]/Table13[[#This Row],[Area (ft2)]]</f>
        <v>8.3933333333333326</v>
      </c>
      <c r="N105" s="65"/>
      <c r="P105" s="39"/>
      <c r="S105" s="39"/>
      <c r="U105">
        <v>2023</v>
      </c>
      <c r="W105" t="s">
        <v>99</v>
      </c>
      <c r="X105" s="64" t="s">
        <v>1997</v>
      </c>
      <c r="Y105" t="s">
        <v>3414</v>
      </c>
    </row>
    <row r="106" spans="1:25" x14ac:dyDescent="0.2">
      <c r="A106" t="s">
        <v>7</v>
      </c>
      <c r="C106" s="64" t="s">
        <v>1878</v>
      </c>
      <c r="D106" s="363">
        <v>4210664</v>
      </c>
      <c r="E106" s="64" t="s">
        <v>1849</v>
      </c>
      <c r="F106" s="64">
        <v>24</v>
      </c>
      <c r="G106" s="64" t="s">
        <v>1845</v>
      </c>
      <c r="H106" s="64" t="s">
        <v>1899</v>
      </c>
      <c r="I106" s="64"/>
      <c r="J106" s="64"/>
      <c r="L106" s="65">
        <v>604.79999999999995</v>
      </c>
      <c r="M106" s="65">
        <f>Table13[[#This Row],[Price]]/Table13[[#This Row],[Area (ft2)]]</f>
        <v>25.2</v>
      </c>
      <c r="N106" s="65"/>
      <c r="P106" s="39"/>
      <c r="S106" s="39"/>
      <c r="U106">
        <v>2023</v>
      </c>
      <c r="W106" t="s">
        <v>99</v>
      </c>
      <c r="X106" s="64" t="s">
        <v>1998</v>
      </c>
      <c r="Y106" t="s">
        <v>3414</v>
      </c>
    </row>
    <row r="107" spans="1:25" x14ac:dyDescent="0.2">
      <c r="A107" t="s">
        <v>7</v>
      </c>
      <c r="C107" s="64" t="s">
        <v>1887</v>
      </c>
      <c r="D107" s="363" t="s">
        <v>1999</v>
      </c>
      <c r="E107" s="64" t="s">
        <v>1849</v>
      </c>
      <c r="F107" s="64">
        <v>4.9000000000000004</v>
      </c>
      <c r="G107" s="64" t="s">
        <v>1837</v>
      </c>
      <c r="H107" s="64" t="s">
        <v>1950</v>
      </c>
      <c r="I107" s="64"/>
      <c r="J107" s="64"/>
      <c r="L107" s="65">
        <v>72.67</v>
      </c>
      <c r="M107" s="65">
        <f>Table13[[#This Row],[Price]]/Table13[[#This Row],[Area (ft2)]]</f>
        <v>14.830612244897958</v>
      </c>
      <c r="N107" s="65"/>
      <c r="P107" s="39"/>
      <c r="S107" s="39"/>
      <c r="U107">
        <v>2023</v>
      </c>
      <c r="W107" t="s">
        <v>99</v>
      </c>
      <c r="X107" s="64" t="s">
        <v>2000</v>
      </c>
      <c r="Y107" t="s">
        <v>3405</v>
      </c>
    </row>
    <row r="108" spans="1:25" x14ac:dyDescent="0.2">
      <c r="A108" t="s">
        <v>7</v>
      </c>
      <c r="C108" s="64" t="s">
        <v>1887</v>
      </c>
      <c r="D108" s="363" t="s">
        <v>2001</v>
      </c>
      <c r="E108" s="64" t="s">
        <v>1849</v>
      </c>
      <c r="F108" s="64">
        <v>8</v>
      </c>
      <c r="G108" s="64" t="s">
        <v>1841</v>
      </c>
      <c r="H108" s="64" t="s">
        <v>1914</v>
      </c>
      <c r="I108" s="64"/>
      <c r="J108" s="64"/>
      <c r="L108" s="65">
        <v>107.29</v>
      </c>
      <c r="M108" s="65">
        <f>Table13[[#This Row],[Price]]/Table13[[#This Row],[Area (ft2)]]</f>
        <v>13.411250000000001</v>
      </c>
      <c r="N108" s="65"/>
      <c r="P108" s="39"/>
      <c r="S108" s="39"/>
      <c r="U108">
        <v>2023</v>
      </c>
      <c r="W108" t="s">
        <v>99</v>
      </c>
      <c r="X108" s="64" t="s">
        <v>2002</v>
      </c>
      <c r="Y108" t="s">
        <v>3405</v>
      </c>
    </row>
    <row r="109" spans="1:25" x14ac:dyDescent="0.2">
      <c r="A109" t="s">
        <v>7</v>
      </c>
      <c r="C109" s="64" t="s">
        <v>1887</v>
      </c>
      <c r="D109" s="363" t="s">
        <v>2003</v>
      </c>
      <c r="E109" s="64" t="s">
        <v>1849</v>
      </c>
      <c r="F109" s="64">
        <v>4.9000000000000004</v>
      </c>
      <c r="G109" s="64" t="s">
        <v>1837</v>
      </c>
      <c r="H109" s="64" t="s">
        <v>2004</v>
      </c>
      <c r="I109" s="64"/>
      <c r="J109" s="64"/>
      <c r="L109" s="65">
        <v>71.55</v>
      </c>
      <c r="M109" s="65">
        <f>Table13[[#This Row],[Price]]/Table13[[#This Row],[Area (ft2)]]</f>
        <v>14.602040816326529</v>
      </c>
      <c r="N109" s="65"/>
      <c r="P109" s="39"/>
      <c r="S109" s="39"/>
      <c r="U109">
        <v>2023</v>
      </c>
      <c r="W109" t="s">
        <v>99</v>
      </c>
      <c r="X109" s="64" t="s">
        <v>2005</v>
      </c>
      <c r="Y109" t="s">
        <v>3405</v>
      </c>
    </row>
    <row r="110" spans="1:25" x14ac:dyDescent="0.2">
      <c r="A110" t="s">
        <v>7</v>
      </c>
      <c r="C110" s="64" t="s">
        <v>1952</v>
      </c>
      <c r="D110" s="363" t="s">
        <v>2006</v>
      </c>
      <c r="E110" s="64" t="s">
        <v>1849</v>
      </c>
      <c r="F110" s="64">
        <v>5.25</v>
      </c>
      <c r="G110" s="64" t="s">
        <v>1841</v>
      </c>
      <c r="H110" s="64" t="s">
        <v>2007</v>
      </c>
      <c r="I110" s="64"/>
      <c r="J110" s="64"/>
      <c r="L110" s="65">
        <v>116.99</v>
      </c>
      <c r="M110" s="65">
        <f>Table13[[#This Row],[Price]]/Table13[[#This Row],[Area (ft2)]]</f>
        <v>22.283809523809524</v>
      </c>
      <c r="N110" s="65"/>
      <c r="P110" s="39"/>
      <c r="S110" s="39"/>
      <c r="U110">
        <v>2023</v>
      </c>
      <c r="W110" t="s">
        <v>99</v>
      </c>
      <c r="X110" s="64" t="s">
        <v>2008</v>
      </c>
      <c r="Y110" t="s">
        <v>3414</v>
      </c>
    </row>
    <row r="111" spans="1:25" x14ac:dyDescent="0.2">
      <c r="A111" t="s">
        <v>7</v>
      </c>
      <c r="C111" s="64"/>
      <c r="D111" s="363" t="s">
        <v>2009</v>
      </c>
      <c r="E111" s="64" t="s">
        <v>1849</v>
      </c>
      <c r="F111" s="64">
        <v>6.45</v>
      </c>
      <c r="G111" s="64" t="s">
        <v>1835</v>
      </c>
      <c r="H111" s="64" t="s">
        <v>1835</v>
      </c>
      <c r="I111" s="64"/>
      <c r="J111" s="64"/>
      <c r="L111" s="65">
        <v>51.83</v>
      </c>
      <c r="M111" s="65">
        <f>Table13[[#This Row],[Price]]/Table13[[#This Row],[Area (ft2)]]</f>
        <v>8.0356589147286819</v>
      </c>
      <c r="N111" s="65"/>
      <c r="P111" s="39"/>
      <c r="S111" s="39"/>
      <c r="U111">
        <v>2023</v>
      </c>
      <c r="W111" t="s">
        <v>99</v>
      </c>
      <c r="X111" s="64" t="s">
        <v>2010</v>
      </c>
      <c r="Y111" t="s">
        <v>3414</v>
      </c>
    </row>
    <row r="112" spans="1:25" x14ac:dyDescent="0.2">
      <c r="A112" t="s">
        <v>7</v>
      </c>
      <c r="C112" s="64" t="s">
        <v>1887</v>
      </c>
      <c r="D112" s="363" t="s">
        <v>2011</v>
      </c>
      <c r="E112" s="64" t="s">
        <v>1849</v>
      </c>
      <c r="F112" s="64">
        <v>8</v>
      </c>
      <c r="G112" s="64" t="s">
        <v>1841</v>
      </c>
      <c r="H112" s="64" t="s">
        <v>1969</v>
      </c>
      <c r="I112" s="64"/>
      <c r="J112" s="64"/>
      <c r="L112" s="65">
        <v>88.81</v>
      </c>
      <c r="M112" s="65">
        <f>Table13[[#This Row],[Price]]/Table13[[#This Row],[Area (ft2)]]</f>
        <v>11.10125</v>
      </c>
      <c r="N112" s="65"/>
      <c r="P112" s="39"/>
      <c r="S112" s="39"/>
      <c r="U112">
        <v>2023</v>
      </c>
      <c r="W112" t="s">
        <v>99</v>
      </c>
      <c r="X112" s="64" t="s">
        <v>2012</v>
      </c>
      <c r="Y112" t="s">
        <v>3414</v>
      </c>
    </row>
    <row r="113" spans="1:25" x14ac:dyDescent="0.2">
      <c r="A113" t="s">
        <v>7</v>
      </c>
      <c r="C113" s="64"/>
      <c r="D113" s="363">
        <v>3958</v>
      </c>
      <c r="E113" s="64" t="s">
        <v>1849</v>
      </c>
      <c r="F113" s="64">
        <v>9</v>
      </c>
      <c r="G113" s="64" t="s">
        <v>1837</v>
      </c>
      <c r="H113" s="64" t="s">
        <v>2013</v>
      </c>
      <c r="I113" s="64"/>
      <c r="J113" s="64"/>
      <c r="L113" s="65">
        <v>93.59</v>
      </c>
      <c r="M113" s="65">
        <f>Table13[[#This Row],[Price]]/Table13[[#This Row],[Area (ft2)]]</f>
        <v>10.398888888888889</v>
      </c>
      <c r="N113" s="65"/>
      <c r="P113" s="39"/>
      <c r="S113" s="39"/>
      <c r="U113">
        <v>2023</v>
      </c>
      <c r="W113" t="s">
        <v>99</v>
      </c>
      <c r="X113" s="64" t="s">
        <v>2014</v>
      </c>
      <c r="Y113" t="s">
        <v>3414</v>
      </c>
    </row>
    <row r="114" spans="1:25" x14ac:dyDescent="0.2">
      <c r="A114" t="s">
        <v>7</v>
      </c>
      <c r="C114" s="64" t="s">
        <v>1887</v>
      </c>
      <c r="D114" s="363" t="s">
        <v>2015</v>
      </c>
      <c r="E114" s="64" t="s">
        <v>1849</v>
      </c>
      <c r="F114" s="64">
        <v>8</v>
      </c>
      <c r="G114" s="64" t="s">
        <v>1837</v>
      </c>
      <c r="H114" s="64" t="s">
        <v>1837</v>
      </c>
      <c r="I114" s="64"/>
      <c r="J114" s="64"/>
      <c r="L114" s="65">
        <v>119</v>
      </c>
      <c r="M114" s="65">
        <f>Table13[[#This Row],[Price]]/Table13[[#This Row],[Area (ft2)]]</f>
        <v>14.875</v>
      </c>
      <c r="N114" s="65"/>
      <c r="P114" s="39"/>
      <c r="S114" s="39"/>
      <c r="U114">
        <v>2023</v>
      </c>
      <c r="W114" t="s">
        <v>99</v>
      </c>
      <c r="X114" s="64" t="s">
        <v>2016</v>
      </c>
      <c r="Y114" t="s">
        <v>3414</v>
      </c>
    </row>
    <row r="115" spans="1:25" x14ac:dyDescent="0.2">
      <c r="A115" t="s">
        <v>7</v>
      </c>
      <c r="C115" s="64" t="s">
        <v>1872</v>
      </c>
      <c r="D115" s="363" t="s">
        <v>2017</v>
      </c>
      <c r="E115" s="64" t="s">
        <v>1849</v>
      </c>
      <c r="F115" s="64">
        <v>7</v>
      </c>
      <c r="G115" s="64" t="s">
        <v>1845</v>
      </c>
      <c r="H115" s="64" t="s">
        <v>1885</v>
      </c>
      <c r="I115" s="64"/>
      <c r="J115" s="64"/>
      <c r="L115" s="65">
        <v>148</v>
      </c>
      <c r="M115" s="65">
        <f>Table13[[#This Row],[Price]]/Table13[[#This Row],[Area (ft2)]]</f>
        <v>21.142857142857142</v>
      </c>
      <c r="N115" s="65"/>
      <c r="P115" s="39"/>
      <c r="S115" s="39"/>
      <c r="U115">
        <v>2023</v>
      </c>
      <c r="W115" t="s">
        <v>99</v>
      </c>
      <c r="X115" s="64" t="s">
        <v>2018</v>
      </c>
      <c r="Y115" t="s">
        <v>3414</v>
      </c>
    </row>
    <row r="116" spans="1:25" x14ac:dyDescent="0.2">
      <c r="A116" t="s">
        <v>7</v>
      </c>
      <c r="C116" s="64" t="s">
        <v>1983</v>
      </c>
      <c r="D116" s="363" t="s">
        <v>2019</v>
      </c>
      <c r="E116" s="64" t="s">
        <v>1849</v>
      </c>
      <c r="F116" s="64">
        <v>84</v>
      </c>
      <c r="G116" s="64" t="s">
        <v>1837</v>
      </c>
      <c r="H116" s="64" t="s">
        <v>2020</v>
      </c>
      <c r="I116" s="64"/>
      <c r="J116" s="64"/>
      <c r="L116" s="65">
        <v>819.52</v>
      </c>
      <c r="M116" s="65">
        <f>Table13[[#This Row],[Price]]/Table13[[#This Row],[Area (ft2)]]</f>
        <v>9.7561904761904756</v>
      </c>
      <c r="N116" s="65"/>
      <c r="P116" s="39"/>
      <c r="S116" s="39"/>
      <c r="U116">
        <v>2023</v>
      </c>
      <c r="W116" t="s">
        <v>99</v>
      </c>
      <c r="X116" s="64" t="s">
        <v>2021</v>
      </c>
      <c r="Y116" t="s">
        <v>3414</v>
      </c>
    </row>
    <row r="117" spans="1:25" x14ac:dyDescent="0.2">
      <c r="A117" t="s">
        <v>7</v>
      </c>
      <c r="C117" s="64" t="s">
        <v>2022</v>
      </c>
      <c r="D117" s="363" t="s">
        <v>2023</v>
      </c>
      <c r="E117" s="64" t="s">
        <v>405</v>
      </c>
      <c r="F117" s="64">
        <v>1.02</v>
      </c>
      <c r="G117" s="64" t="s">
        <v>1837</v>
      </c>
      <c r="H117" s="64" t="s">
        <v>2024</v>
      </c>
      <c r="I117" s="64" t="s">
        <v>1836</v>
      </c>
      <c r="J117" s="64"/>
      <c r="L117" s="65">
        <v>51.49</v>
      </c>
      <c r="M117" s="65">
        <f>Table13[[#This Row],[Price]]/Table13[[#This Row],[Area (ft2)]]</f>
        <v>50.480392156862749</v>
      </c>
      <c r="N117" s="65"/>
      <c r="P117" s="39"/>
      <c r="S117" s="39"/>
      <c r="U117">
        <v>2023</v>
      </c>
      <c r="W117" t="s">
        <v>99</v>
      </c>
      <c r="X117" s="64" t="s">
        <v>2025</v>
      </c>
      <c r="Y117" t="s">
        <v>3405</v>
      </c>
    </row>
    <row r="118" spans="1:25" x14ac:dyDescent="0.2">
      <c r="A118" t="s">
        <v>7</v>
      </c>
      <c r="C118" s="64" t="s">
        <v>2022</v>
      </c>
      <c r="D118" s="363" t="s">
        <v>2026</v>
      </c>
      <c r="E118" s="64" t="s">
        <v>405</v>
      </c>
      <c r="F118" s="64">
        <v>1.02</v>
      </c>
      <c r="G118" s="64" t="s">
        <v>1837</v>
      </c>
      <c r="H118" s="64" t="s">
        <v>2024</v>
      </c>
      <c r="I118" s="64" t="s">
        <v>1836</v>
      </c>
      <c r="J118" s="64"/>
      <c r="L118" s="65">
        <v>43.25</v>
      </c>
      <c r="M118" s="65">
        <f>Table13[[#This Row],[Price]]/Table13[[#This Row],[Area (ft2)]]</f>
        <v>42.401960784313722</v>
      </c>
      <c r="N118" s="65"/>
      <c r="P118" s="39"/>
      <c r="S118" s="39"/>
      <c r="U118">
        <v>2023</v>
      </c>
      <c r="W118" t="s">
        <v>99</v>
      </c>
      <c r="X118" s="64" t="s">
        <v>2027</v>
      </c>
      <c r="Y118" t="s">
        <v>3405</v>
      </c>
    </row>
    <row r="119" spans="1:25" x14ac:dyDescent="0.2">
      <c r="A119" t="s">
        <v>7</v>
      </c>
      <c r="C119" s="64" t="s">
        <v>2022</v>
      </c>
      <c r="D119" s="363" t="s">
        <v>2028</v>
      </c>
      <c r="E119" s="64" t="s">
        <v>405</v>
      </c>
      <c r="F119" s="64">
        <v>1</v>
      </c>
      <c r="G119" s="64" t="s">
        <v>1837</v>
      </c>
      <c r="H119" s="64" t="s">
        <v>2024</v>
      </c>
      <c r="I119" s="64" t="s">
        <v>1836</v>
      </c>
      <c r="J119" s="64"/>
      <c r="L119" s="65">
        <v>20.78</v>
      </c>
      <c r="M119" s="65">
        <f>Table13[[#This Row],[Price]]/Table13[[#This Row],[Area (ft2)]]</f>
        <v>20.78</v>
      </c>
      <c r="N119" s="65"/>
      <c r="P119" s="39"/>
      <c r="S119" s="39"/>
      <c r="U119">
        <v>2023</v>
      </c>
      <c r="W119" t="s">
        <v>99</v>
      </c>
      <c r="X119" s="64" t="s">
        <v>2029</v>
      </c>
      <c r="Y119" t="s">
        <v>3414</v>
      </c>
    </row>
    <row r="120" spans="1:25" x14ac:dyDescent="0.2">
      <c r="A120" t="s">
        <v>7</v>
      </c>
      <c r="C120" s="64" t="s">
        <v>2022</v>
      </c>
      <c r="D120" s="363" t="s">
        <v>2033</v>
      </c>
      <c r="E120" s="64" t="s">
        <v>405</v>
      </c>
      <c r="F120" s="64">
        <v>1</v>
      </c>
      <c r="G120" s="64" t="s">
        <v>2034</v>
      </c>
      <c r="H120" s="64" t="s">
        <v>2035</v>
      </c>
      <c r="I120" s="64" t="s">
        <v>1836</v>
      </c>
      <c r="J120" s="64"/>
      <c r="L120" s="65">
        <v>20.78</v>
      </c>
      <c r="M120" s="65">
        <f>Table13[[#This Row],[Price]]/Table13[[#This Row],[Area (ft2)]]</f>
        <v>20.78</v>
      </c>
      <c r="N120" s="65"/>
      <c r="P120" s="39"/>
      <c r="S120" s="39"/>
      <c r="U120">
        <v>2023</v>
      </c>
      <c r="W120" t="s">
        <v>99</v>
      </c>
      <c r="X120" s="64" t="s">
        <v>2036</v>
      </c>
      <c r="Y120" t="s">
        <v>3414</v>
      </c>
    </row>
    <row r="121" spans="1:25" x14ac:dyDescent="0.2">
      <c r="A121" t="s">
        <v>7</v>
      </c>
      <c r="C121" s="64" t="s">
        <v>2037</v>
      </c>
      <c r="D121" s="363">
        <v>25879</v>
      </c>
      <c r="E121" s="64" t="s">
        <v>405</v>
      </c>
      <c r="F121" s="64">
        <v>2.33</v>
      </c>
      <c r="G121" s="64" t="s">
        <v>1837</v>
      </c>
      <c r="H121" s="64" t="s">
        <v>2038</v>
      </c>
      <c r="I121" s="64" t="s">
        <v>1846</v>
      </c>
      <c r="J121" s="64"/>
      <c r="L121" s="65">
        <v>15.31</v>
      </c>
      <c r="M121" s="65">
        <f>Table13[[#This Row],[Price]]/Table13[[#This Row],[Area (ft2)]]</f>
        <v>6.570815450643777</v>
      </c>
      <c r="N121" s="65"/>
      <c r="P121" s="39"/>
      <c r="S121" s="39"/>
      <c r="U121">
        <v>2023</v>
      </c>
      <c r="W121" t="s">
        <v>99</v>
      </c>
      <c r="X121" s="64" t="s">
        <v>2039</v>
      </c>
      <c r="Y121" t="s">
        <v>3414</v>
      </c>
    </row>
    <row r="122" spans="1:25" x14ac:dyDescent="0.2">
      <c r="A122" t="s">
        <v>7</v>
      </c>
      <c r="C122" s="64" t="s">
        <v>2037</v>
      </c>
      <c r="D122" s="363">
        <v>28869</v>
      </c>
      <c r="E122" s="64" t="s">
        <v>405</v>
      </c>
      <c r="F122" s="64">
        <v>8</v>
      </c>
      <c r="G122" s="64" t="s">
        <v>1837</v>
      </c>
      <c r="H122" s="64" t="s">
        <v>1846</v>
      </c>
      <c r="I122" s="64" t="s">
        <v>1846</v>
      </c>
      <c r="J122" s="64"/>
      <c r="L122" s="65">
        <v>8.77</v>
      </c>
      <c r="M122" s="65">
        <f>Table13[[#This Row],[Price]]/Table13[[#This Row],[Area (ft2)]]</f>
        <v>1.0962499999999999</v>
      </c>
      <c r="N122" s="65"/>
      <c r="P122" s="39"/>
      <c r="S122" s="39"/>
      <c r="U122">
        <v>2023</v>
      </c>
      <c r="W122" t="s">
        <v>99</v>
      </c>
      <c r="X122" s="64" t="s">
        <v>2040</v>
      </c>
      <c r="Y122" t="s">
        <v>3414</v>
      </c>
    </row>
    <row r="123" spans="1:25" x14ac:dyDescent="0.2">
      <c r="A123" t="s">
        <v>7</v>
      </c>
      <c r="C123" s="64" t="s">
        <v>2037</v>
      </c>
      <c r="D123" s="363">
        <v>27874</v>
      </c>
      <c r="E123" s="64" t="s">
        <v>405</v>
      </c>
      <c r="F123" s="64">
        <v>32</v>
      </c>
      <c r="G123" s="64" t="s">
        <v>1837</v>
      </c>
      <c r="H123" s="64" t="s">
        <v>1846</v>
      </c>
      <c r="I123" s="64" t="s">
        <v>1846</v>
      </c>
      <c r="J123" s="64"/>
      <c r="L123" s="65">
        <v>44.85</v>
      </c>
      <c r="M123" s="65">
        <f>Table13[[#This Row],[Price]]/Table13[[#This Row],[Area (ft2)]]</f>
        <v>1.4015625</v>
      </c>
      <c r="N123" s="65"/>
      <c r="P123" s="39"/>
      <c r="S123" s="39"/>
      <c r="U123">
        <v>2023</v>
      </c>
      <c r="W123" t="s">
        <v>99</v>
      </c>
      <c r="X123" s="64" t="s">
        <v>2041</v>
      </c>
      <c r="Y123" t="s">
        <v>3414</v>
      </c>
    </row>
    <row r="124" spans="1:25" x14ac:dyDescent="0.2">
      <c r="A124" t="s">
        <v>7</v>
      </c>
      <c r="C124" s="64" t="s">
        <v>2037</v>
      </c>
      <c r="D124" s="363">
        <v>42135</v>
      </c>
      <c r="E124" s="64" t="s">
        <v>405</v>
      </c>
      <c r="F124" s="64">
        <v>32</v>
      </c>
      <c r="G124" s="64" t="s">
        <v>1837</v>
      </c>
      <c r="H124" s="64" t="s">
        <v>1846</v>
      </c>
      <c r="I124" s="64" t="s">
        <v>1846</v>
      </c>
      <c r="J124" s="64"/>
      <c r="L124" s="65">
        <v>64.349999999999994</v>
      </c>
      <c r="M124" s="65">
        <f>Table13[[#This Row],[Price]]/Table13[[#This Row],[Area (ft2)]]</f>
        <v>2.0109374999999998</v>
      </c>
      <c r="N124" s="65"/>
      <c r="P124" s="39"/>
      <c r="S124" s="39"/>
      <c r="U124">
        <v>2023</v>
      </c>
      <c r="W124" t="s">
        <v>99</v>
      </c>
      <c r="X124" s="64" t="s">
        <v>2042</v>
      </c>
      <c r="Y124" t="s">
        <v>3414</v>
      </c>
    </row>
    <row r="125" spans="1:25" x14ac:dyDescent="0.2">
      <c r="A125" t="s">
        <v>7</v>
      </c>
      <c r="C125" s="64" t="s">
        <v>2043</v>
      </c>
      <c r="D125" s="363" t="s">
        <v>2044</v>
      </c>
      <c r="E125" s="64" t="s">
        <v>405</v>
      </c>
      <c r="F125" s="64">
        <v>3.07</v>
      </c>
      <c r="G125" s="64" t="s">
        <v>1839</v>
      </c>
      <c r="H125" s="64" t="s">
        <v>2045</v>
      </c>
      <c r="I125" s="64" t="s">
        <v>1871</v>
      </c>
      <c r="J125" s="64"/>
      <c r="L125" s="65">
        <v>42.22</v>
      </c>
      <c r="M125" s="65">
        <f>Table13[[#This Row],[Price]]/Table13[[#This Row],[Area (ft2)]]</f>
        <v>13.752442996742671</v>
      </c>
      <c r="N125" s="65"/>
      <c r="P125" s="39"/>
      <c r="S125" s="39"/>
      <c r="U125">
        <v>2023</v>
      </c>
      <c r="W125" t="s">
        <v>99</v>
      </c>
      <c r="X125" s="64" t="s">
        <v>2046</v>
      </c>
      <c r="Y125" t="s">
        <v>3414</v>
      </c>
    </row>
    <row r="126" spans="1:25" x14ac:dyDescent="0.2">
      <c r="A126" t="s">
        <v>7</v>
      </c>
      <c r="C126" s="64" t="s">
        <v>2043</v>
      </c>
      <c r="D126" s="363" t="s">
        <v>2047</v>
      </c>
      <c r="E126" s="64" t="s">
        <v>405</v>
      </c>
      <c r="F126" s="64">
        <v>46.66</v>
      </c>
      <c r="G126" s="64" t="s">
        <v>1837</v>
      </c>
      <c r="H126" s="64" t="s">
        <v>2045</v>
      </c>
      <c r="I126" s="64" t="s">
        <v>1871</v>
      </c>
      <c r="J126" s="64"/>
      <c r="L126" s="65">
        <v>471.36</v>
      </c>
      <c r="M126" s="65">
        <f>Table13[[#This Row],[Price]]/Table13[[#This Row],[Area (ft2)]]</f>
        <v>10.102014573510502</v>
      </c>
      <c r="N126" s="65"/>
      <c r="P126" s="39"/>
      <c r="S126" s="39"/>
      <c r="U126">
        <v>2023</v>
      </c>
      <c r="W126" t="s">
        <v>99</v>
      </c>
      <c r="X126" s="64" t="s">
        <v>2048</v>
      </c>
      <c r="Y126" t="s">
        <v>3414</v>
      </c>
    </row>
    <row r="127" spans="1:25" x14ac:dyDescent="0.2">
      <c r="A127" t="s">
        <v>7</v>
      </c>
      <c r="C127" s="64" t="s">
        <v>2043</v>
      </c>
      <c r="D127" s="363" t="s">
        <v>2050</v>
      </c>
      <c r="E127" s="64" t="s">
        <v>405</v>
      </c>
      <c r="F127" s="64">
        <v>46.66</v>
      </c>
      <c r="G127" s="64" t="s">
        <v>1837</v>
      </c>
      <c r="H127" s="64" t="s">
        <v>2051</v>
      </c>
      <c r="I127" s="64" t="s">
        <v>1871</v>
      </c>
      <c r="J127" s="64"/>
      <c r="L127" s="65">
        <v>468.91</v>
      </c>
      <c r="M127" s="65">
        <f>Table13[[#This Row],[Price]]/Table13[[#This Row],[Area (ft2)]]</f>
        <v>10.049507072438921</v>
      </c>
      <c r="N127" s="65"/>
      <c r="P127" s="39"/>
      <c r="S127" s="39"/>
      <c r="U127">
        <v>2023</v>
      </c>
      <c r="W127" t="s">
        <v>99</v>
      </c>
      <c r="X127" s="64" t="s">
        <v>2052</v>
      </c>
      <c r="Y127" t="s">
        <v>3414</v>
      </c>
    </row>
    <row r="128" spans="1:25" x14ac:dyDescent="0.2">
      <c r="A128" t="s">
        <v>7</v>
      </c>
      <c r="C128" s="64" t="s">
        <v>2043</v>
      </c>
      <c r="D128" s="363" t="s">
        <v>2053</v>
      </c>
      <c r="E128" s="64" t="s">
        <v>405</v>
      </c>
      <c r="F128" s="64">
        <v>1</v>
      </c>
      <c r="G128" s="64" t="s">
        <v>1837</v>
      </c>
      <c r="H128" s="64" t="s">
        <v>2049</v>
      </c>
      <c r="I128" s="64" t="s">
        <v>1871</v>
      </c>
      <c r="J128" s="64"/>
      <c r="L128" s="65">
        <v>12.58</v>
      </c>
      <c r="M128" s="65">
        <f>Table13[[#This Row],[Price]]/Table13[[#This Row],[Area (ft2)]]</f>
        <v>12.58</v>
      </c>
      <c r="N128" s="65"/>
      <c r="P128" s="39"/>
      <c r="S128" s="39"/>
      <c r="U128">
        <v>2023</v>
      </c>
      <c r="W128" t="s">
        <v>99</v>
      </c>
      <c r="X128" s="64" t="s">
        <v>2054</v>
      </c>
      <c r="Y128" t="s">
        <v>3414</v>
      </c>
    </row>
    <row r="129" spans="1:25" x14ac:dyDescent="0.2">
      <c r="A129" t="s">
        <v>7</v>
      </c>
      <c r="C129" s="64" t="s">
        <v>2043</v>
      </c>
      <c r="D129" s="363" t="s">
        <v>2055</v>
      </c>
      <c r="E129" s="64" t="s">
        <v>405</v>
      </c>
      <c r="F129" s="64">
        <v>3.3</v>
      </c>
      <c r="G129" s="64" t="s">
        <v>1841</v>
      </c>
      <c r="H129" s="64" t="s">
        <v>2051</v>
      </c>
      <c r="I129" s="64" t="s">
        <v>1871</v>
      </c>
      <c r="J129" s="64"/>
      <c r="L129" s="65">
        <v>45.7</v>
      </c>
      <c r="M129" s="65">
        <f>Table13[[#This Row],[Price]]/Table13[[#This Row],[Area (ft2)]]</f>
        <v>13.84848484848485</v>
      </c>
      <c r="N129" s="65"/>
      <c r="P129" s="39"/>
      <c r="S129" s="39"/>
      <c r="U129">
        <v>2023</v>
      </c>
      <c r="W129" t="s">
        <v>99</v>
      </c>
      <c r="X129" s="64" t="s">
        <v>2056</v>
      </c>
      <c r="Y129" t="s">
        <v>3414</v>
      </c>
    </row>
    <row r="130" spans="1:25" x14ac:dyDescent="0.2">
      <c r="A130" t="s">
        <v>7</v>
      </c>
      <c r="C130" s="64" t="s">
        <v>2043</v>
      </c>
      <c r="D130" s="363" t="s">
        <v>2057</v>
      </c>
      <c r="E130" s="64" t="s">
        <v>405</v>
      </c>
      <c r="F130" s="64">
        <v>2.96</v>
      </c>
      <c r="G130" s="64" t="s">
        <v>1837</v>
      </c>
      <c r="H130" s="64" t="s">
        <v>2058</v>
      </c>
      <c r="I130" s="64" t="s">
        <v>1871</v>
      </c>
      <c r="J130" s="64"/>
      <c r="L130" s="65">
        <v>61.99</v>
      </c>
      <c r="M130" s="65">
        <f>Table13[[#This Row],[Price]]/Table13[[#This Row],[Area (ft2)]]</f>
        <v>20.942567567567568</v>
      </c>
      <c r="N130" s="65"/>
      <c r="P130" s="39"/>
      <c r="S130" s="39"/>
      <c r="U130">
        <v>2023</v>
      </c>
      <c r="W130" t="s">
        <v>99</v>
      </c>
      <c r="X130" s="64" t="s">
        <v>2059</v>
      </c>
      <c r="Y130" t="s">
        <v>3414</v>
      </c>
    </row>
    <row r="131" spans="1:25" x14ac:dyDescent="0.2">
      <c r="A131" t="s">
        <v>7</v>
      </c>
      <c r="C131" s="64" t="s">
        <v>2043</v>
      </c>
      <c r="D131" s="363" t="s">
        <v>2061</v>
      </c>
      <c r="E131" s="64" t="s">
        <v>405</v>
      </c>
      <c r="F131" s="64">
        <v>47</v>
      </c>
      <c r="G131" s="64" t="s">
        <v>1837</v>
      </c>
      <c r="H131" s="64" t="s">
        <v>2060</v>
      </c>
      <c r="I131" s="64" t="s">
        <v>1871</v>
      </c>
      <c r="J131" s="64"/>
      <c r="L131" s="65">
        <v>709</v>
      </c>
      <c r="M131" s="65">
        <f>Table13[[#This Row],[Price]]/Table13[[#This Row],[Area (ft2)]]</f>
        <v>15.085106382978724</v>
      </c>
      <c r="N131" s="65"/>
      <c r="P131" s="39"/>
      <c r="S131" s="39"/>
      <c r="U131">
        <v>2023</v>
      </c>
      <c r="W131" t="s">
        <v>99</v>
      </c>
      <c r="X131" s="64" t="s">
        <v>2062</v>
      </c>
      <c r="Y131" t="s">
        <v>3414</v>
      </c>
    </row>
    <row r="132" spans="1:25" x14ac:dyDescent="0.2">
      <c r="A132" t="s">
        <v>7</v>
      </c>
      <c r="C132" s="64" t="s">
        <v>2063</v>
      </c>
      <c r="D132" s="363" t="s">
        <v>2064</v>
      </c>
      <c r="E132" s="64" t="s">
        <v>405</v>
      </c>
      <c r="F132" s="64">
        <v>17</v>
      </c>
      <c r="G132" s="64" t="s">
        <v>1837</v>
      </c>
      <c r="H132" s="64" t="s">
        <v>2065</v>
      </c>
      <c r="I132" s="64" t="s">
        <v>1871</v>
      </c>
      <c r="J132" s="64"/>
      <c r="L132" s="65">
        <v>154</v>
      </c>
      <c r="M132" s="65">
        <f>Table13[[#This Row],[Price]]/Table13[[#This Row],[Area (ft2)]]</f>
        <v>9.0588235294117645</v>
      </c>
      <c r="N132" s="65"/>
      <c r="P132" s="39"/>
      <c r="S132" s="39"/>
      <c r="U132">
        <v>2023</v>
      </c>
      <c r="W132" t="s">
        <v>99</v>
      </c>
      <c r="X132" s="64"/>
      <c r="Y132" t="s">
        <v>3414</v>
      </c>
    </row>
    <row r="133" spans="1:25" x14ac:dyDescent="0.2">
      <c r="A133" t="s">
        <v>7</v>
      </c>
      <c r="C133" s="64" t="s">
        <v>2043</v>
      </c>
      <c r="D133" s="363" t="s">
        <v>2066</v>
      </c>
      <c r="E133" s="64" t="s">
        <v>405</v>
      </c>
      <c r="F133" s="64">
        <v>46.66</v>
      </c>
      <c r="G133" s="64" t="s">
        <v>1837</v>
      </c>
      <c r="H133" s="64" t="s">
        <v>2067</v>
      </c>
      <c r="I133" s="64" t="s">
        <v>1871</v>
      </c>
      <c r="J133" s="64"/>
      <c r="L133" s="65">
        <v>468.91</v>
      </c>
      <c r="M133" s="65">
        <f>Table13[[#This Row],[Price]]/Table13[[#This Row],[Area (ft2)]]</f>
        <v>10.049507072438921</v>
      </c>
      <c r="N133" s="65"/>
      <c r="P133" s="39"/>
      <c r="S133" s="39"/>
      <c r="U133">
        <v>2023</v>
      </c>
      <c r="W133" t="s">
        <v>99</v>
      </c>
      <c r="X133" s="64" t="s">
        <v>2068</v>
      </c>
      <c r="Y133" t="s">
        <v>3414</v>
      </c>
    </row>
    <row r="134" spans="1:25" x14ac:dyDescent="0.2">
      <c r="A134" t="s">
        <v>7</v>
      </c>
      <c r="C134" s="64" t="s">
        <v>2043</v>
      </c>
      <c r="D134" s="363" t="s">
        <v>2069</v>
      </c>
      <c r="E134" s="64" t="s">
        <v>405</v>
      </c>
      <c r="F134" s="64">
        <v>3</v>
      </c>
      <c r="G134" s="64" t="s">
        <v>1837</v>
      </c>
      <c r="H134" s="64" t="s">
        <v>2049</v>
      </c>
      <c r="I134" s="64" t="s">
        <v>1871</v>
      </c>
      <c r="J134" s="64"/>
      <c r="L134" s="65">
        <v>61.99</v>
      </c>
      <c r="M134" s="65">
        <f>Table13[[#This Row],[Price]]/Table13[[#This Row],[Area (ft2)]]</f>
        <v>20.663333333333334</v>
      </c>
      <c r="N134" s="65"/>
      <c r="P134" s="39"/>
      <c r="S134" s="39"/>
      <c r="U134">
        <v>2023</v>
      </c>
      <c r="W134" t="s">
        <v>99</v>
      </c>
      <c r="X134" s="64" t="s">
        <v>2070</v>
      </c>
      <c r="Y134" t="s">
        <v>3414</v>
      </c>
    </row>
    <row r="135" spans="1:25" x14ac:dyDescent="0.2">
      <c r="A135" t="s">
        <v>7</v>
      </c>
      <c r="C135" s="64" t="s">
        <v>2043</v>
      </c>
      <c r="D135" s="363" t="s">
        <v>2071</v>
      </c>
      <c r="E135" s="64" t="s">
        <v>405</v>
      </c>
      <c r="F135" s="64">
        <v>94.12</v>
      </c>
      <c r="G135" s="64" t="s">
        <v>1838</v>
      </c>
      <c r="H135" s="64" t="s">
        <v>2067</v>
      </c>
      <c r="I135" s="64" t="s">
        <v>1871</v>
      </c>
      <c r="J135" s="64"/>
      <c r="L135" s="65">
        <v>1228.22</v>
      </c>
      <c r="M135" s="65">
        <f>Table13[[#This Row],[Price]]/Table13[[#This Row],[Area (ft2)]]</f>
        <v>13.049511262218445</v>
      </c>
      <c r="N135" s="65"/>
      <c r="P135" s="39"/>
      <c r="S135" s="39"/>
      <c r="U135">
        <v>2023</v>
      </c>
      <c r="W135" t="s">
        <v>99</v>
      </c>
      <c r="X135" s="64" t="s">
        <v>2072</v>
      </c>
      <c r="Y135" t="s">
        <v>3414</v>
      </c>
    </row>
    <row r="136" spans="1:25" x14ac:dyDescent="0.2">
      <c r="A136" t="s">
        <v>7</v>
      </c>
      <c r="C136" s="64" t="s">
        <v>2043</v>
      </c>
      <c r="D136" s="363" t="s">
        <v>2073</v>
      </c>
      <c r="E136" s="64" t="s">
        <v>405</v>
      </c>
      <c r="F136" s="64">
        <v>94</v>
      </c>
      <c r="G136" s="64" t="s">
        <v>1837</v>
      </c>
      <c r="H136" s="64" t="s">
        <v>2060</v>
      </c>
      <c r="I136" s="64" t="s">
        <v>1871</v>
      </c>
      <c r="J136" s="64"/>
      <c r="L136" s="65">
        <v>1100.77</v>
      </c>
      <c r="M136" s="65">
        <f>Table13[[#This Row],[Price]]/Table13[[#This Row],[Area (ft2)]]</f>
        <v>11.71031914893617</v>
      </c>
      <c r="N136" s="65"/>
      <c r="P136" s="39"/>
      <c r="S136" s="39"/>
      <c r="U136">
        <v>2023</v>
      </c>
      <c r="W136" t="s">
        <v>99</v>
      </c>
      <c r="X136" s="64" t="s">
        <v>2074</v>
      </c>
      <c r="Y136" t="s">
        <v>3414</v>
      </c>
    </row>
    <row r="137" spans="1:25" x14ac:dyDescent="0.2">
      <c r="A137" t="s">
        <v>7</v>
      </c>
      <c r="C137" s="64" t="s">
        <v>2043</v>
      </c>
      <c r="D137" s="363" t="s">
        <v>2075</v>
      </c>
      <c r="E137" s="64" t="s">
        <v>405</v>
      </c>
      <c r="F137" s="64">
        <v>326</v>
      </c>
      <c r="G137" s="64" t="s">
        <v>1837</v>
      </c>
      <c r="H137" s="64" t="s">
        <v>2060</v>
      </c>
      <c r="I137" s="64" t="s">
        <v>1871</v>
      </c>
      <c r="J137" s="64"/>
      <c r="L137" s="65">
        <v>3585</v>
      </c>
      <c r="M137" s="65">
        <f>Table13[[#This Row],[Price]]/Table13[[#This Row],[Area (ft2)]]</f>
        <v>10.996932515337424</v>
      </c>
      <c r="N137" s="65"/>
      <c r="P137" s="39"/>
      <c r="S137" s="39"/>
      <c r="U137">
        <v>2023</v>
      </c>
      <c r="W137" t="s">
        <v>99</v>
      </c>
      <c r="X137" s="64" t="s">
        <v>2076</v>
      </c>
      <c r="Y137" t="s">
        <v>3414</v>
      </c>
    </row>
    <row r="138" spans="1:25" x14ac:dyDescent="0.2">
      <c r="A138" t="s">
        <v>7</v>
      </c>
      <c r="C138" s="64" t="s">
        <v>2043</v>
      </c>
      <c r="D138" s="363" t="s">
        <v>2077</v>
      </c>
      <c r="E138" s="64" t="s">
        <v>405</v>
      </c>
      <c r="F138" s="64">
        <v>4.5</v>
      </c>
      <c r="G138" s="64" t="s">
        <v>1837</v>
      </c>
      <c r="H138" s="64" t="s">
        <v>2060</v>
      </c>
      <c r="I138" s="64" t="s">
        <v>1871</v>
      </c>
      <c r="J138" s="64"/>
      <c r="L138" s="65">
        <v>67.989999999999995</v>
      </c>
      <c r="M138" s="65">
        <f>Table13[[#This Row],[Price]]/Table13[[#This Row],[Area (ft2)]]</f>
        <v>15.108888888888888</v>
      </c>
      <c r="N138" s="65"/>
      <c r="P138" s="39"/>
      <c r="S138" s="39"/>
      <c r="U138">
        <v>2023</v>
      </c>
      <c r="W138" t="s">
        <v>99</v>
      </c>
      <c r="X138" s="64" t="s">
        <v>2078</v>
      </c>
      <c r="Y138" t="s">
        <v>3414</v>
      </c>
    </row>
    <row r="139" spans="1:25" x14ac:dyDescent="0.2">
      <c r="A139" t="s">
        <v>7</v>
      </c>
      <c r="C139" s="64" t="s">
        <v>2043</v>
      </c>
      <c r="D139" s="363" t="s">
        <v>2079</v>
      </c>
      <c r="E139" s="64" t="s">
        <v>405</v>
      </c>
      <c r="F139" s="64">
        <v>93</v>
      </c>
      <c r="G139" s="64" t="s">
        <v>1837</v>
      </c>
      <c r="H139" s="64" t="s">
        <v>2060</v>
      </c>
      <c r="I139" s="64" t="s">
        <v>1871</v>
      </c>
      <c r="J139" s="64"/>
      <c r="L139" s="65">
        <v>1143</v>
      </c>
      <c r="M139" s="65">
        <f>Table13[[#This Row],[Price]]/Table13[[#This Row],[Area (ft2)]]</f>
        <v>12.290322580645162</v>
      </c>
      <c r="N139" s="65"/>
      <c r="P139" s="39"/>
      <c r="S139" s="39"/>
      <c r="U139">
        <v>2023</v>
      </c>
      <c r="W139" t="s">
        <v>99</v>
      </c>
      <c r="X139" s="64" t="s">
        <v>2080</v>
      </c>
      <c r="Y139" t="s">
        <v>3414</v>
      </c>
    </row>
    <row r="140" spans="1:25" x14ac:dyDescent="0.2">
      <c r="A140" t="s">
        <v>7</v>
      </c>
      <c r="C140" s="64" t="s">
        <v>2043</v>
      </c>
      <c r="D140" s="363" t="s">
        <v>2081</v>
      </c>
      <c r="E140" s="64" t="s">
        <v>405</v>
      </c>
      <c r="F140" s="64">
        <v>28.57</v>
      </c>
      <c r="G140" s="64" t="s">
        <v>1837</v>
      </c>
      <c r="H140" s="64" t="s">
        <v>2058</v>
      </c>
      <c r="I140" s="64" t="s">
        <v>1871</v>
      </c>
      <c r="J140" s="64"/>
      <c r="L140" s="65">
        <v>370</v>
      </c>
      <c r="M140" s="65">
        <f>Table13[[#This Row],[Price]]/Table13[[#This Row],[Area (ft2)]]</f>
        <v>12.950647532376619</v>
      </c>
      <c r="N140" s="65"/>
      <c r="P140" s="39"/>
      <c r="S140" s="39"/>
      <c r="U140">
        <v>2023</v>
      </c>
      <c r="W140" t="s">
        <v>99</v>
      </c>
      <c r="X140" s="64" t="s">
        <v>2082</v>
      </c>
      <c r="Y140" t="s">
        <v>3414</v>
      </c>
    </row>
    <row r="141" spans="1:25" x14ac:dyDescent="0.2">
      <c r="A141" t="s">
        <v>7</v>
      </c>
      <c r="C141" s="64" t="s">
        <v>2043</v>
      </c>
      <c r="D141" s="363" t="s">
        <v>2083</v>
      </c>
      <c r="E141" s="64" t="s">
        <v>405</v>
      </c>
      <c r="F141" s="64">
        <v>3.33</v>
      </c>
      <c r="G141" s="64" t="s">
        <v>1837</v>
      </c>
      <c r="H141" s="64" t="s">
        <v>2049</v>
      </c>
      <c r="I141" s="64" t="s">
        <v>1871</v>
      </c>
      <c r="J141" s="64"/>
      <c r="L141" s="65">
        <v>44.93</v>
      </c>
      <c r="M141" s="65">
        <f>Table13[[#This Row],[Price]]/Table13[[#This Row],[Area (ft2)]]</f>
        <v>13.492492492492492</v>
      </c>
      <c r="N141" s="65"/>
      <c r="P141" s="39"/>
      <c r="S141" s="39"/>
      <c r="U141">
        <v>2023</v>
      </c>
      <c r="W141" t="s">
        <v>99</v>
      </c>
      <c r="X141" s="64" t="s">
        <v>2084</v>
      </c>
      <c r="Y141" t="s">
        <v>3414</v>
      </c>
    </row>
    <row r="142" spans="1:25" x14ac:dyDescent="0.2">
      <c r="A142" t="s">
        <v>7</v>
      </c>
      <c r="C142" s="64" t="s">
        <v>2043</v>
      </c>
      <c r="D142" s="363" t="s">
        <v>2085</v>
      </c>
      <c r="E142" s="64" t="s">
        <v>405</v>
      </c>
      <c r="F142" s="64">
        <v>82</v>
      </c>
      <c r="G142" s="64" t="s">
        <v>1837</v>
      </c>
      <c r="H142" s="64" t="s">
        <v>2086</v>
      </c>
      <c r="I142" s="64" t="s">
        <v>1871</v>
      </c>
      <c r="J142" s="64"/>
      <c r="L142" s="65">
        <v>1092.73</v>
      </c>
      <c r="M142" s="65">
        <f>Table13[[#This Row],[Price]]/Table13[[#This Row],[Area (ft2)]]</f>
        <v>13.325975609756098</v>
      </c>
      <c r="N142" s="65"/>
      <c r="P142" s="39"/>
      <c r="S142" s="39"/>
      <c r="U142">
        <v>2023</v>
      </c>
      <c r="W142" t="s">
        <v>99</v>
      </c>
      <c r="X142" s="64" t="s">
        <v>2087</v>
      </c>
      <c r="Y142" t="s">
        <v>3414</v>
      </c>
    </row>
    <row r="143" spans="1:25" x14ac:dyDescent="0.2">
      <c r="A143" t="s">
        <v>7</v>
      </c>
      <c r="C143" s="64" t="s">
        <v>2043</v>
      </c>
      <c r="D143" s="363" t="s">
        <v>2088</v>
      </c>
      <c r="E143" s="64" t="s">
        <v>405</v>
      </c>
      <c r="F143" s="64">
        <v>94</v>
      </c>
      <c r="G143" s="64" t="s">
        <v>1837</v>
      </c>
      <c r="H143" s="64" t="s">
        <v>2049</v>
      </c>
      <c r="I143" s="64" t="s">
        <v>1871</v>
      </c>
      <c r="J143" s="64"/>
      <c r="L143" s="65">
        <v>1144.56</v>
      </c>
      <c r="M143" s="65">
        <f>Table13[[#This Row],[Price]]/Table13[[#This Row],[Area (ft2)]]</f>
        <v>12.176170212765957</v>
      </c>
      <c r="N143" s="65"/>
      <c r="P143" s="39"/>
      <c r="S143" s="39"/>
      <c r="U143">
        <v>2023</v>
      </c>
      <c r="W143" t="s">
        <v>99</v>
      </c>
      <c r="X143" s="64" t="s">
        <v>2089</v>
      </c>
      <c r="Y143" t="s">
        <v>3414</v>
      </c>
    </row>
    <row r="144" spans="1:25" x14ac:dyDescent="0.2">
      <c r="A144" t="s">
        <v>7</v>
      </c>
      <c r="C144" s="64" t="s">
        <v>2043</v>
      </c>
      <c r="D144" s="363" t="s">
        <v>2090</v>
      </c>
      <c r="E144" s="64" t="s">
        <v>405</v>
      </c>
      <c r="F144" s="64">
        <v>46.66</v>
      </c>
      <c r="G144" s="64" t="s">
        <v>1837</v>
      </c>
      <c r="H144" s="64" t="s">
        <v>2060</v>
      </c>
      <c r="I144" s="64" t="s">
        <v>1871</v>
      </c>
      <c r="J144" s="64"/>
      <c r="L144" s="65">
        <v>472.15</v>
      </c>
      <c r="M144" s="65">
        <f>Table13[[#This Row],[Price]]/Table13[[#This Row],[Area (ft2)]]</f>
        <v>10.11894556365195</v>
      </c>
      <c r="N144" s="65"/>
      <c r="P144" s="39"/>
      <c r="S144" s="39"/>
      <c r="U144">
        <v>2023</v>
      </c>
      <c r="W144" t="s">
        <v>99</v>
      </c>
      <c r="X144" s="64" t="s">
        <v>2091</v>
      </c>
      <c r="Y144" t="s">
        <v>3414</v>
      </c>
    </row>
    <row r="145" spans="1:25" x14ac:dyDescent="0.2">
      <c r="A145" t="s">
        <v>7</v>
      </c>
      <c r="C145" s="64" t="s">
        <v>2043</v>
      </c>
      <c r="D145" s="363" t="s">
        <v>2092</v>
      </c>
      <c r="E145" s="64" t="s">
        <v>405</v>
      </c>
      <c r="F145" s="64">
        <v>30.77</v>
      </c>
      <c r="G145" s="64" t="s">
        <v>1837</v>
      </c>
      <c r="H145" s="64" t="s">
        <v>2045</v>
      </c>
      <c r="I145" s="64" t="s">
        <v>1871</v>
      </c>
      <c r="J145" s="64"/>
      <c r="L145" s="65">
        <v>384</v>
      </c>
      <c r="M145" s="65">
        <f>Table13[[#This Row],[Price]]/Table13[[#This Row],[Area (ft2)]]</f>
        <v>12.479688007799805</v>
      </c>
      <c r="N145" s="65"/>
      <c r="P145" s="39"/>
      <c r="S145" s="39"/>
      <c r="U145">
        <v>2023</v>
      </c>
      <c r="W145" t="s">
        <v>99</v>
      </c>
      <c r="X145" s="64" t="s">
        <v>2093</v>
      </c>
      <c r="Y145" t="s">
        <v>3414</v>
      </c>
    </row>
    <row r="146" spans="1:25" x14ac:dyDescent="0.2">
      <c r="A146" t="s">
        <v>7</v>
      </c>
      <c r="C146" s="64" t="s">
        <v>2043</v>
      </c>
      <c r="D146" s="363" t="s">
        <v>2094</v>
      </c>
      <c r="E146" s="64" t="s">
        <v>405</v>
      </c>
      <c r="F146" s="64">
        <v>4.7</v>
      </c>
      <c r="G146" s="64" t="s">
        <v>1841</v>
      </c>
      <c r="H146" s="64" t="s">
        <v>2051</v>
      </c>
      <c r="I146" s="64" t="s">
        <v>1871</v>
      </c>
      <c r="J146" s="64"/>
      <c r="L146" s="65">
        <v>67.989999999999995</v>
      </c>
      <c r="M146" s="65">
        <f>Table13[[#This Row],[Price]]/Table13[[#This Row],[Area (ft2)]]</f>
        <v>14.46595744680851</v>
      </c>
      <c r="N146" s="65"/>
      <c r="P146" s="39"/>
      <c r="S146" s="39"/>
      <c r="U146">
        <v>2023</v>
      </c>
      <c r="W146" t="s">
        <v>99</v>
      </c>
      <c r="X146" s="64" t="s">
        <v>2095</v>
      </c>
      <c r="Y146" t="s">
        <v>3414</v>
      </c>
    </row>
    <row r="147" spans="1:25" x14ac:dyDescent="0.2">
      <c r="A147" t="s">
        <v>7</v>
      </c>
      <c r="C147" s="64" t="s">
        <v>2043</v>
      </c>
      <c r="D147" s="363" t="s">
        <v>2096</v>
      </c>
      <c r="E147" s="64" t="s">
        <v>405</v>
      </c>
      <c r="F147" s="64">
        <v>4</v>
      </c>
      <c r="G147" s="64" t="s">
        <v>1837</v>
      </c>
      <c r="H147" s="64" t="s">
        <v>2049</v>
      </c>
      <c r="I147" s="64" t="s">
        <v>1871</v>
      </c>
      <c r="J147" s="64"/>
      <c r="L147" s="65">
        <v>46.25</v>
      </c>
      <c r="M147" s="65">
        <f>Table13[[#This Row],[Price]]/Table13[[#This Row],[Area (ft2)]]</f>
        <v>11.5625</v>
      </c>
      <c r="N147" s="65"/>
      <c r="P147" s="39"/>
      <c r="S147" s="39"/>
      <c r="U147">
        <v>2023</v>
      </c>
      <c r="W147" t="s">
        <v>99</v>
      </c>
      <c r="X147" s="64" t="s">
        <v>2097</v>
      </c>
      <c r="Y147" t="s">
        <v>3414</v>
      </c>
    </row>
    <row r="148" spans="1:25" x14ac:dyDescent="0.2">
      <c r="A148" t="s">
        <v>7</v>
      </c>
      <c r="C148" s="64" t="s">
        <v>2043</v>
      </c>
      <c r="D148" s="363" t="s">
        <v>2098</v>
      </c>
      <c r="E148" s="64" t="s">
        <v>405</v>
      </c>
      <c r="F148" s="64">
        <v>86</v>
      </c>
      <c r="G148" s="64" t="s">
        <v>1841</v>
      </c>
      <c r="H148" s="64" t="s">
        <v>2051</v>
      </c>
      <c r="I148" s="64" t="s">
        <v>1871</v>
      </c>
      <c r="J148" s="64"/>
      <c r="L148" s="65">
        <v>1280</v>
      </c>
      <c r="M148" s="65">
        <f>Table13[[#This Row],[Price]]/Table13[[#This Row],[Area (ft2)]]</f>
        <v>14.883720930232558</v>
      </c>
      <c r="N148" s="65"/>
      <c r="P148" s="39"/>
      <c r="S148" s="39"/>
      <c r="U148">
        <v>2023</v>
      </c>
      <c r="W148" t="s">
        <v>99</v>
      </c>
      <c r="X148" s="64" t="s">
        <v>2099</v>
      </c>
      <c r="Y148" t="s">
        <v>3414</v>
      </c>
    </row>
    <row r="149" spans="1:25" x14ac:dyDescent="0.2">
      <c r="A149" t="s">
        <v>7</v>
      </c>
      <c r="C149" s="64" t="s">
        <v>2043</v>
      </c>
      <c r="D149" s="363" t="s">
        <v>2100</v>
      </c>
      <c r="E149" s="64" t="s">
        <v>405</v>
      </c>
      <c r="F149" s="64">
        <v>4.7</v>
      </c>
      <c r="G149" s="64" t="s">
        <v>1838</v>
      </c>
      <c r="H149" s="64" t="s">
        <v>2067</v>
      </c>
      <c r="I149" s="64" t="s">
        <v>1871</v>
      </c>
      <c r="J149" s="64"/>
      <c r="L149" s="65">
        <v>67.989999999999995</v>
      </c>
      <c r="M149" s="65">
        <f>Table13[[#This Row],[Price]]/Table13[[#This Row],[Area (ft2)]]</f>
        <v>14.46595744680851</v>
      </c>
      <c r="N149" s="65"/>
      <c r="P149" s="39"/>
      <c r="S149" s="39"/>
      <c r="U149">
        <v>2023</v>
      </c>
      <c r="W149" t="s">
        <v>99</v>
      </c>
      <c r="X149" s="64" t="s">
        <v>2101</v>
      </c>
      <c r="Y149" t="s">
        <v>3414</v>
      </c>
    </row>
    <row r="150" spans="1:25" x14ac:dyDescent="0.2">
      <c r="A150" t="s">
        <v>7</v>
      </c>
      <c r="C150" s="64" t="s">
        <v>2043</v>
      </c>
      <c r="D150" s="363" t="s">
        <v>2102</v>
      </c>
      <c r="E150" s="64" t="s">
        <v>405</v>
      </c>
      <c r="F150" s="64">
        <v>2.5</v>
      </c>
      <c r="G150" s="64" t="s">
        <v>1838</v>
      </c>
      <c r="H150" s="64" t="s">
        <v>2103</v>
      </c>
      <c r="I150" s="64" t="s">
        <v>1871</v>
      </c>
      <c r="J150" s="64"/>
      <c r="L150" s="65">
        <v>41.69</v>
      </c>
      <c r="M150" s="65">
        <f>Table13[[#This Row],[Price]]/Table13[[#This Row],[Area (ft2)]]</f>
        <v>16.675999999999998</v>
      </c>
      <c r="N150" s="65"/>
      <c r="P150" s="39"/>
      <c r="S150" s="39"/>
      <c r="U150">
        <v>2023</v>
      </c>
      <c r="W150" t="s">
        <v>99</v>
      </c>
      <c r="X150" s="64" t="s">
        <v>2104</v>
      </c>
      <c r="Y150" t="s">
        <v>3414</v>
      </c>
    </row>
    <row r="151" spans="1:25" x14ac:dyDescent="0.2">
      <c r="A151" t="s">
        <v>7</v>
      </c>
      <c r="C151" s="64" t="s">
        <v>2043</v>
      </c>
      <c r="D151" s="363" t="s">
        <v>2105</v>
      </c>
      <c r="E151" s="64" t="s">
        <v>405</v>
      </c>
      <c r="F151" s="64">
        <v>46.66</v>
      </c>
      <c r="G151" s="64" t="s">
        <v>1837</v>
      </c>
      <c r="H151" s="64" t="s">
        <v>2049</v>
      </c>
      <c r="I151" s="64" t="s">
        <v>1871</v>
      </c>
      <c r="J151" s="64"/>
      <c r="L151" s="65">
        <v>468.91</v>
      </c>
      <c r="M151" s="65">
        <f>Table13[[#This Row],[Price]]/Table13[[#This Row],[Area (ft2)]]</f>
        <v>10.049507072438921</v>
      </c>
      <c r="N151" s="65"/>
      <c r="P151" s="39"/>
      <c r="S151" s="39"/>
      <c r="U151">
        <v>2023</v>
      </c>
      <c r="W151" t="s">
        <v>99</v>
      </c>
      <c r="X151" s="64" t="s">
        <v>2106</v>
      </c>
      <c r="Y151" t="s">
        <v>3414</v>
      </c>
    </row>
    <row r="152" spans="1:25" x14ac:dyDescent="0.2">
      <c r="A152" t="s">
        <v>7</v>
      </c>
      <c r="C152" s="64" t="s">
        <v>2043</v>
      </c>
      <c r="D152" s="363" t="s">
        <v>2107</v>
      </c>
      <c r="E152" s="64" t="s">
        <v>405</v>
      </c>
      <c r="F152" s="64">
        <v>3.3</v>
      </c>
      <c r="G152" s="64" t="s">
        <v>1839</v>
      </c>
      <c r="H152" s="64" t="s">
        <v>2045</v>
      </c>
      <c r="I152" s="64" t="s">
        <v>1871</v>
      </c>
      <c r="J152" s="64"/>
      <c r="L152" s="65">
        <v>34.700000000000003</v>
      </c>
      <c r="M152" s="65">
        <f>Table13[[#This Row],[Price]]/Table13[[#This Row],[Area (ft2)]]</f>
        <v>10.515151515151517</v>
      </c>
      <c r="N152" s="65"/>
      <c r="P152" s="39"/>
      <c r="S152" s="39"/>
      <c r="U152">
        <v>2023</v>
      </c>
      <c r="W152" t="s">
        <v>99</v>
      </c>
      <c r="X152" s="64" t="s">
        <v>2108</v>
      </c>
      <c r="Y152" t="s">
        <v>3414</v>
      </c>
    </row>
    <row r="153" spans="1:25" x14ac:dyDescent="0.2">
      <c r="A153" t="s">
        <v>7</v>
      </c>
      <c r="C153" s="64" t="s">
        <v>2043</v>
      </c>
      <c r="D153" s="363" t="s">
        <v>2109</v>
      </c>
      <c r="E153" s="64" t="s">
        <v>405</v>
      </c>
      <c r="F153" s="64">
        <v>94.12</v>
      </c>
      <c r="G153" s="64" t="s">
        <v>1839</v>
      </c>
      <c r="H153" s="64" t="s">
        <v>2045</v>
      </c>
      <c r="I153" s="64" t="s">
        <v>1871</v>
      </c>
      <c r="J153" s="64"/>
      <c r="L153" s="65">
        <v>1212.25</v>
      </c>
      <c r="M153" s="65">
        <f>Table13[[#This Row],[Price]]/Table13[[#This Row],[Area (ft2)]]</f>
        <v>12.879834254143645</v>
      </c>
      <c r="N153" s="65"/>
      <c r="P153" s="39"/>
      <c r="S153" s="39"/>
      <c r="U153">
        <v>2023</v>
      </c>
      <c r="W153" t="s">
        <v>99</v>
      </c>
      <c r="X153" s="64" t="s">
        <v>2110</v>
      </c>
      <c r="Y153" t="s">
        <v>3414</v>
      </c>
    </row>
    <row r="154" spans="1:25" x14ac:dyDescent="0.2">
      <c r="A154" t="s">
        <v>7</v>
      </c>
      <c r="C154" s="64" t="s">
        <v>2063</v>
      </c>
      <c r="D154" s="363" t="s">
        <v>2111</v>
      </c>
      <c r="E154" s="64" t="s">
        <v>405</v>
      </c>
      <c r="F154" s="64">
        <v>17</v>
      </c>
      <c r="G154" s="64" t="s">
        <v>1837</v>
      </c>
      <c r="H154" s="64" t="s">
        <v>2112</v>
      </c>
      <c r="I154" s="64" t="s">
        <v>1871</v>
      </c>
      <c r="J154" s="64"/>
      <c r="L154" s="65">
        <v>154</v>
      </c>
      <c r="M154" s="65">
        <f>Table13[[#This Row],[Price]]/Table13[[#This Row],[Area (ft2)]]</f>
        <v>9.0588235294117645</v>
      </c>
      <c r="N154" s="65"/>
      <c r="P154" s="39"/>
      <c r="S154" s="39"/>
      <c r="U154">
        <v>2023</v>
      </c>
      <c r="W154" t="s">
        <v>99</v>
      </c>
      <c r="X154" s="64" t="s">
        <v>2113</v>
      </c>
      <c r="Y154" t="s">
        <v>3414</v>
      </c>
    </row>
    <row r="155" spans="1:25" x14ac:dyDescent="0.2">
      <c r="A155" t="s">
        <v>7</v>
      </c>
      <c r="C155" s="64" t="s">
        <v>2043</v>
      </c>
      <c r="D155" s="363" t="s">
        <v>2114</v>
      </c>
      <c r="E155" s="64" t="s">
        <v>405</v>
      </c>
      <c r="F155" s="64">
        <v>4</v>
      </c>
      <c r="G155" s="64" t="s">
        <v>1838</v>
      </c>
      <c r="H155" s="64" t="s">
        <v>2067</v>
      </c>
      <c r="I155" s="64" t="s">
        <v>1871</v>
      </c>
      <c r="J155" s="64"/>
      <c r="L155" s="65">
        <v>47.14</v>
      </c>
      <c r="M155" s="65">
        <f>Table13[[#This Row],[Price]]/Table13[[#This Row],[Area (ft2)]]</f>
        <v>11.785</v>
      </c>
      <c r="N155" s="65"/>
      <c r="P155" s="39"/>
      <c r="S155" s="39"/>
      <c r="U155">
        <v>2023</v>
      </c>
      <c r="W155" t="s">
        <v>99</v>
      </c>
      <c r="X155" s="64" t="s">
        <v>2115</v>
      </c>
      <c r="Y155" t="s">
        <v>3414</v>
      </c>
    </row>
    <row r="156" spans="1:25" x14ac:dyDescent="0.2">
      <c r="A156" t="s">
        <v>7</v>
      </c>
      <c r="C156" s="64" t="s">
        <v>2043</v>
      </c>
      <c r="D156" s="363" t="s">
        <v>2117</v>
      </c>
      <c r="E156" s="64" t="s">
        <v>405</v>
      </c>
      <c r="F156" s="64">
        <v>46.66</v>
      </c>
      <c r="G156" s="64" t="s">
        <v>1837</v>
      </c>
      <c r="H156" s="64" t="s">
        <v>2118</v>
      </c>
      <c r="I156" s="64" t="s">
        <v>1871</v>
      </c>
      <c r="J156" s="64"/>
      <c r="L156" s="65">
        <v>468.91</v>
      </c>
      <c r="M156" s="65">
        <f>Table13[[#This Row],[Price]]/Table13[[#This Row],[Area (ft2)]]</f>
        <v>10.049507072438921</v>
      </c>
      <c r="N156" s="65"/>
      <c r="P156" s="39"/>
      <c r="S156" s="39"/>
      <c r="U156">
        <v>2023</v>
      </c>
      <c r="W156" t="s">
        <v>99</v>
      </c>
      <c r="X156" s="64" t="s">
        <v>2119</v>
      </c>
      <c r="Y156" t="s">
        <v>3414</v>
      </c>
    </row>
    <row r="157" spans="1:25" x14ac:dyDescent="0.2">
      <c r="A157" t="s">
        <v>7</v>
      </c>
      <c r="C157" s="64" t="s">
        <v>2043</v>
      </c>
      <c r="D157" s="363" t="s">
        <v>2120</v>
      </c>
      <c r="E157" s="64" t="s">
        <v>405</v>
      </c>
      <c r="F157" s="64">
        <v>4.7</v>
      </c>
      <c r="G157" s="64" t="s">
        <v>1841</v>
      </c>
      <c r="H157" s="64" t="s">
        <v>2118</v>
      </c>
      <c r="I157" s="64" t="s">
        <v>1871</v>
      </c>
      <c r="J157" s="64"/>
      <c r="L157" s="65">
        <v>55.17</v>
      </c>
      <c r="M157" s="65">
        <f>Table13[[#This Row],[Price]]/Table13[[#This Row],[Area (ft2)]]</f>
        <v>11.738297872340425</v>
      </c>
      <c r="N157" s="65"/>
      <c r="P157" s="39"/>
      <c r="S157" s="39"/>
      <c r="U157">
        <v>2023</v>
      </c>
      <c r="W157" t="s">
        <v>99</v>
      </c>
      <c r="X157" s="64" t="s">
        <v>2121</v>
      </c>
      <c r="Y157" t="s">
        <v>3414</v>
      </c>
    </row>
    <row r="158" spans="1:25" x14ac:dyDescent="0.2">
      <c r="A158" t="s">
        <v>7</v>
      </c>
      <c r="C158" s="64" t="s">
        <v>2043</v>
      </c>
      <c r="D158" s="363" t="s">
        <v>2122</v>
      </c>
      <c r="E158" s="64" t="s">
        <v>405</v>
      </c>
      <c r="F158" s="64">
        <v>96</v>
      </c>
      <c r="G158" s="64" t="s">
        <v>1837</v>
      </c>
      <c r="H158" s="64" t="s">
        <v>2049</v>
      </c>
      <c r="I158" s="64" t="s">
        <v>1871</v>
      </c>
      <c r="J158" s="64"/>
      <c r="L158" s="65">
        <v>1173.33</v>
      </c>
      <c r="M158" s="65">
        <f>Table13[[#This Row],[Price]]/Table13[[#This Row],[Area (ft2)]]</f>
        <v>12.222187499999999</v>
      </c>
      <c r="N158" s="65"/>
      <c r="P158" s="39"/>
      <c r="S158" s="39"/>
      <c r="U158">
        <v>2023</v>
      </c>
      <c r="W158" t="s">
        <v>99</v>
      </c>
      <c r="X158" s="64" t="s">
        <v>2123</v>
      </c>
      <c r="Y158" t="s">
        <v>3414</v>
      </c>
    </row>
    <row r="159" spans="1:25" x14ac:dyDescent="0.2">
      <c r="A159" t="s">
        <v>7</v>
      </c>
      <c r="C159" s="64" t="s">
        <v>2043</v>
      </c>
      <c r="D159" s="363" t="s">
        <v>2124</v>
      </c>
      <c r="E159" s="64" t="s">
        <v>405</v>
      </c>
      <c r="F159" s="64">
        <v>0.4</v>
      </c>
      <c r="G159" s="64" t="s">
        <v>1837</v>
      </c>
      <c r="H159" s="64" t="s">
        <v>2049</v>
      </c>
      <c r="I159" s="64" t="s">
        <v>1871</v>
      </c>
      <c r="J159" s="64"/>
      <c r="L159" s="65">
        <v>7.58</v>
      </c>
      <c r="M159" s="65">
        <f>Table13[[#This Row],[Price]]/Table13[[#This Row],[Area (ft2)]]</f>
        <v>18.95</v>
      </c>
      <c r="N159" s="65"/>
      <c r="P159" s="39"/>
      <c r="S159" s="39"/>
      <c r="U159">
        <v>2023</v>
      </c>
      <c r="W159" t="s">
        <v>99</v>
      </c>
      <c r="X159" s="64" t="s">
        <v>2125</v>
      </c>
      <c r="Y159" t="s">
        <v>3414</v>
      </c>
    </row>
    <row r="160" spans="1:25" x14ac:dyDescent="0.2">
      <c r="A160" t="s">
        <v>7</v>
      </c>
      <c r="C160" s="64" t="s">
        <v>2043</v>
      </c>
      <c r="D160" s="363" t="s">
        <v>2126</v>
      </c>
      <c r="E160" s="64" t="s">
        <v>405</v>
      </c>
      <c r="F160" s="64">
        <v>4.7</v>
      </c>
      <c r="G160" s="64" t="s">
        <v>1839</v>
      </c>
      <c r="H160" s="64" t="s">
        <v>2045</v>
      </c>
      <c r="I160" s="64" t="s">
        <v>1871</v>
      </c>
      <c r="J160" s="64"/>
      <c r="L160" s="65">
        <v>53.33</v>
      </c>
      <c r="M160" s="65">
        <f>Table13[[#This Row],[Price]]/Table13[[#This Row],[Area (ft2)]]</f>
        <v>11.346808510638297</v>
      </c>
      <c r="N160" s="65"/>
      <c r="P160" s="39"/>
      <c r="S160" s="39"/>
      <c r="U160">
        <v>2023</v>
      </c>
      <c r="W160" t="s">
        <v>99</v>
      </c>
      <c r="X160" s="64" t="s">
        <v>2127</v>
      </c>
      <c r="Y160" t="s">
        <v>3414</v>
      </c>
    </row>
    <row r="161" spans="1:25" x14ac:dyDescent="0.2">
      <c r="A161" t="s">
        <v>7</v>
      </c>
      <c r="C161" s="64" t="s">
        <v>2043</v>
      </c>
      <c r="D161" s="363" t="s">
        <v>2128</v>
      </c>
      <c r="E161" s="64" t="s">
        <v>405</v>
      </c>
      <c r="F161" s="64">
        <v>3.07</v>
      </c>
      <c r="G161" s="64" t="s">
        <v>1841</v>
      </c>
      <c r="H161" s="64" t="s">
        <v>2051</v>
      </c>
      <c r="I161" s="64" t="s">
        <v>1871</v>
      </c>
      <c r="J161" s="64"/>
      <c r="L161" s="65">
        <v>41.08</v>
      </c>
      <c r="M161" s="65">
        <f>Table13[[#This Row],[Price]]/Table13[[#This Row],[Area (ft2)]]</f>
        <v>13.381107491856678</v>
      </c>
      <c r="N161" s="65"/>
      <c r="P161" s="39"/>
      <c r="S161" s="39"/>
      <c r="U161">
        <v>2023</v>
      </c>
      <c r="W161" t="s">
        <v>99</v>
      </c>
      <c r="X161" s="64" t="s">
        <v>2129</v>
      </c>
      <c r="Y161" t="s">
        <v>3414</v>
      </c>
    </row>
    <row r="162" spans="1:25" x14ac:dyDescent="0.2">
      <c r="A162" t="s">
        <v>7</v>
      </c>
      <c r="C162" s="64" t="s">
        <v>2063</v>
      </c>
      <c r="D162" s="363" t="s">
        <v>2130</v>
      </c>
      <c r="E162" s="64" t="s">
        <v>405</v>
      </c>
      <c r="F162" s="64">
        <v>17</v>
      </c>
      <c r="G162" s="64" t="s">
        <v>1837</v>
      </c>
      <c r="H162" s="64" t="s">
        <v>2112</v>
      </c>
      <c r="I162" s="64" t="s">
        <v>1871</v>
      </c>
      <c r="J162" s="64"/>
      <c r="L162" s="65">
        <v>154</v>
      </c>
      <c r="M162" s="65">
        <f>Table13[[#This Row],[Price]]/Table13[[#This Row],[Area (ft2)]]</f>
        <v>9.0588235294117645</v>
      </c>
      <c r="N162" s="65"/>
      <c r="P162" s="39"/>
      <c r="S162" s="39"/>
      <c r="U162">
        <v>2023</v>
      </c>
      <c r="W162" t="s">
        <v>99</v>
      </c>
      <c r="X162" s="64" t="s">
        <v>2131</v>
      </c>
      <c r="Y162" t="s">
        <v>3414</v>
      </c>
    </row>
    <row r="163" spans="1:25" x14ac:dyDescent="0.2">
      <c r="A163" t="s">
        <v>7</v>
      </c>
      <c r="C163" s="64" t="s">
        <v>2043</v>
      </c>
      <c r="D163" s="363" t="s">
        <v>2132</v>
      </c>
      <c r="E163" s="64" t="s">
        <v>405</v>
      </c>
      <c r="F163" s="64">
        <v>0.5</v>
      </c>
      <c r="G163" s="64" t="s">
        <v>1837</v>
      </c>
      <c r="H163" s="64" t="s">
        <v>1974</v>
      </c>
      <c r="I163" s="64" t="s">
        <v>1871</v>
      </c>
      <c r="J163" s="64"/>
      <c r="L163" s="65">
        <v>7.49</v>
      </c>
      <c r="M163" s="65">
        <f>Table13[[#This Row],[Price]]/Table13[[#This Row],[Area (ft2)]]</f>
        <v>14.98</v>
      </c>
      <c r="N163" s="65"/>
      <c r="P163" s="39"/>
      <c r="S163" s="39"/>
      <c r="U163">
        <v>2023</v>
      </c>
      <c r="W163" t="s">
        <v>99</v>
      </c>
      <c r="X163" s="64" t="s">
        <v>2133</v>
      </c>
      <c r="Y163" t="s">
        <v>3414</v>
      </c>
    </row>
    <row r="164" spans="1:25" x14ac:dyDescent="0.2">
      <c r="A164" t="s">
        <v>7</v>
      </c>
      <c r="C164" s="64" t="s">
        <v>2037</v>
      </c>
      <c r="D164" s="363">
        <v>810721800000000</v>
      </c>
      <c r="E164" s="64" t="s">
        <v>405</v>
      </c>
      <c r="F164" s="64">
        <v>32</v>
      </c>
      <c r="G164" s="64" t="s">
        <v>1837</v>
      </c>
      <c r="H164" s="64" t="s">
        <v>2135</v>
      </c>
      <c r="I164" s="64" t="s">
        <v>1877</v>
      </c>
      <c r="J164" s="64"/>
      <c r="L164" s="65">
        <v>64.349999999999994</v>
      </c>
      <c r="M164" s="65">
        <f>Table13[[#This Row],[Price]]/Table13[[#This Row],[Area (ft2)]]</f>
        <v>2.0109374999999998</v>
      </c>
      <c r="N164" s="65"/>
      <c r="P164" s="39"/>
      <c r="S164" s="39"/>
      <c r="U164">
        <v>2023</v>
      </c>
      <c r="W164" t="s">
        <v>99</v>
      </c>
      <c r="X164" s="64" t="s">
        <v>2136</v>
      </c>
      <c r="Y164" t="s">
        <v>3414</v>
      </c>
    </row>
    <row r="165" spans="1:25" x14ac:dyDescent="0.2">
      <c r="A165" t="s">
        <v>7</v>
      </c>
      <c r="C165" s="64" t="s">
        <v>2022</v>
      </c>
      <c r="D165" s="363" t="s">
        <v>2137</v>
      </c>
      <c r="E165" s="64" t="s">
        <v>405</v>
      </c>
      <c r="F165" s="64">
        <v>3.2</v>
      </c>
      <c r="G165" s="64" t="s">
        <v>1839</v>
      </c>
      <c r="H165" s="64" t="s">
        <v>2138</v>
      </c>
      <c r="I165" s="64"/>
      <c r="J165" s="64"/>
      <c r="L165" s="65">
        <v>53.34</v>
      </c>
      <c r="M165" s="65">
        <f>Table13[[#This Row],[Price]]/Table13[[#This Row],[Area (ft2)]]</f>
        <v>16.668749999999999</v>
      </c>
      <c r="N165" s="65"/>
      <c r="P165" s="39"/>
      <c r="S165" s="39"/>
      <c r="U165">
        <v>2023</v>
      </c>
      <c r="W165" t="s">
        <v>99</v>
      </c>
      <c r="X165" s="64" t="s">
        <v>2139</v>
      </c>
      <c r="Y165" t="s">
        <v>3414</v>
      </c>
    </row>
    <row r="166" spans="1:25" x14ac:dyDescent="0.2">
      <c r="A166" t="s">
        <v>7</v>
      </c>
      <c r="C166" s="64" t="s">
        <v>2022</v>
      </c>
      <c r="D166" s="363" t="s">
        <v>2140</v>
      </c>
      <c r="E166" s="64" t="s">
        <v>405</v>
      </c>
      <c r="F166" s="64">
        <v>3.2</v>
      </c>
      <c r="G166" s="64" t="s">
        <v>1841</v>
      </c>
      <c r="H166" s="64" t="s">
        <v>2141</v>
      </c>
      <c r="I166" s="64"/>
      <c r="J166" s="64"/>
      <c r="L166" s="65">
        <v>57.39</v>
      </c>
      <c r="M166" s="65">
        <f>Table13[[#This Row],[Price]]/Table13[[#This Row],[Area (ft2)]]</f>
        <v>17.934374999999999</v>
      </c>
      <c r="N166" s="65"/>
      <c r="P166" s="39"/>
      <c r="S166" s="39"/>
      <c r="U166">
        <v>2023</v>
      </c>
      <c r="W166" t="s">
        <v>99</v>
      </c>
      <c r="X166" s="64" t="s">
        <v>2142</v>
      </c>
      <c r="Y166" t="s">
        <v>3414</v>
      </c>
    </row>
    <row r="167" spans="1:25" x14ac:dyDescent="0.2">
      <c r="A167" t="s">
        <v>7</v>
      </c>
      <c r="C167" s="64"/>
      <c r="D167" s="363">
        <v>100145006</v>
      </c>
      <c r="E167" s="64" t="s">
        <v>405</v>
      </c>
      <c r="F167" s="64">
        <v>50</v>
      </c>
      <c r="G167" s="64" t="s">
        <v>1841</v>
      </c>
      <c r="H167" s="64" t="s">
        <v>2143</v>
      </c>
      <c r="I167" s="64"/>
      <c r="J167" s="64"/>
      <c r="L167" s="65">
        <v>311.89999999999998</v>
      </c>
      <c r="M167" s="65">
        <f>Table13[[#This Row],[Price]]/Table13[[#This Row],[Area (ft2)]]</f>
        <v>6.2379999999999995</v>
      </c>
      <c r="N167" s="65"/>
      <c r="P167" s="39"/>
      <c r="S167" s="39"/>
      <c r="U167">
        <v>2023</v>
      </c>
      <c r="W167" t="s">
        <v>99</v>
      </c>
      <c r="X167" s="64" t="s">
        <v>2144</v>
      </c>
      <c r="Y167" t="s">
        <v>3414</v>
      </c>
    </row>
    <row r="168" spans="1:25" x14ac:dyDescent="0.2">
      <c r="A168" t="s">
        <v>7</v>
      </c>
      <c r="C168" s="64" t="s">
        <v>2145</v>
      </c>
      <c r="D168" s="363" t="s">
        <v>2146</v>
      </c>
      <c r="E168" s="64" t="s">
        <v>405</v>
      </c>
      <c r="F168" s="64">
        <v>7.1</v>
      </c>
      <c r="G168" s="64" t="s">
        <v>1841</v>
      </c>
      <c r="H168" s="64" t="s">
        <v>2147</v>
      </c>
      <c r="I168" s="64"/>
      <c r="J168" s="64"/>
      <c r="L168" s="65">
        <v>95.72</v>
      </c>
      <c r="M168" s="65">
        <f>Table13[[#This Row],[Price]]/Table13[[#This Row],[Area (ft2)]]</f>
        <v>13.481690140845071</v>
      </c>
      <c r="N168" s="65"/>
      <c r="P168" s="39"/>
      <c r="S168" s="39"/>
      <c r="U168">
        <v>2023</v>
      </c>
      <c r="W168" t="s">
        <v>99</v>
      </c>
      <c r="X168" s="64" t="s">
        <v>2148</v>
      </c>
      <c r="Y168" t="s">
        <v>3414</v>
      </c>
    </row>
    <row r="169" spans="1:25" x14ac:dyDescent="0.2">
      <c r="A169" t="s">
        <v>7</v>
      </c>
      <c r="C169" s="64" t="s">
        <v>2030</v>
      </c>
      <c r="D169" s="363" t="s">
        <v>2149</v>
      </c>
      <c r="E169" s="64" t="s">
        <v>405</v>
      </c>
      <c r="F169" s="64">
        <v>8</v>
      </c>
      <c r="G169" s="64" t="s">
        <v>1837</v>
      </c>
      <c r="H169" s="64" t="s">
        <v>2031</v>
      </c>
      <c r="I169" s="64"/>
      <c r="J169" s="64"/>
      <c r="L169" s="65">
        <v>78.42</v>
      </c>
      <c r="M169" s="65">
        <f>Table13[[#This Row],[Price]]/Table13[[#This Row],[Area (ft2)]]</f>
        <v>9.8025000000000002</v>
      </c>
      <c r="N169" s="65"/>
      <c r="P169" s="39"/>
      <c r="S169" s="39"/>
      <c r="U169">
        <v>2023</v>
      </c>
      <c r="W169" t="s">
        <v>99</v>
      </c>
      <c r="X169" s="64" t="s">
        <v>2150</v>
      </c>
      <c r="Y169" t="s">
        <v>3414</v>
      </c>
    </row>
    <row r="170" spans="1:25" x14ac:dyDescent="0.2">
      <c r="A170" t="s">
        <v>7</v>
      </c>
      <c r="C170" s="64" t="s">
        <v>2030</v>
      </c>
      <c r="D170" s="363" t="s">
        <v>2151</v>
      </c>
      <c r="E170" s="64" t="s">
        <v>405</v>
      </c>
      <c r="F170" s="64">
        <v>8</v>
      </c>
      <c r="G170" s="64" t="s">
        <v>1841</v>
      </c>
      <c r="H170" s="64" t="s">
        <v>2031</v>
      </c>
      <c r="I170" s="64"/>
      <c r="J170" s="64"/>
      <c r="L170" s="65">
        <v>70.61</v>
      </c>
      <c r="M170" s="65">
        <f>Table13[[#This Row],[Price]]/Table13[[#This Row],[Area (ft2)]]</f>
        <v>8.8262499999999999</v>
      </c>
      <c r="N170" s="65"/>
      <c r="P170" s="39"/>
      <c r="S170" s="39"/>
      <c r="U170">
        <v>2023</v>
      </c>
      <c r="W170" t="s">
        <v>99</v>
      </c>
      <c r="X170" s="64" t="s">
        <v>2152</v>
      </c>
      <c r="Y170" t="s">
        <v>3414</v>
      </c>
    </row>
    <row r="171" spans="1:25" x14ac:dyDescent="0.2">
      <c r="A171" t="s">
        <v>7</v>
      </c>
      <c r="C171" s="64" t="s">
        <v>2032</v>
      </c>
      <c r="D171" s="363">
        <v>100140002</v>
      </c>
      <c r="E171" s="64" t="s">
        <v>405</v>
      </c>
      <c r="F171" s="64">
        <v>49</v>
      </c>
      <c r="G171" s="64" t="s">
        <v>1841</v>
      </c>
      <c r="H171" s="64" t="s">
        <v>2153</v>
      </c>
      <c r="I171" s="64"/>
      <c r="J171" s="64"/>
      <c r="L171" s="65">
        <v>202.1</v>
      </c>
      <c r="M171" s="65">
        <f>Table13[[#This Row],[Price]]/Table13[[#This Row],[Area (ft2)]]</f>
        <v>4.1244897959183673</v>
      </c>
      <c r="N171" s="65"/>
      <c r="P171" s="39"/>
      <c r="S171" s="39"/>
      <c r="U171">
        <v>2023</v>
      </c>
      <c r="W171" t="s">
        <v>99</v>
      </c>
      <c r="X171" s="64" t="s">
        <v>2154</v>
      </c>
      <c r="Y171" t="s">
        <v>3414</v>
      </c>
    </row>
    <row r="172" spans="1:25" x14ac:dyDescent="0.2">
      <c r="A172" t="s">
        <v>7</v>
      </c>
      <c r="C172" s="64" t="s">
        <v>2032</v>
      </c>
      <c r="D172" s="363">
        <v>100140005</v>
      </c>
      <c r="E172" s="64" t="s">
        <v>405</v>
      </c>
      <c r="F172" s="64">
        <v>49</v>
      </c>
      <c r="G172" s="64" t="s">
        <v>1838</v>
      </c>
      <c r="H172" s="64" t="s">
        <v>2134</v>
      </c>
      <c r="I172" s="64"/>
      <c r="J172" s="64"/>
      <c r="L172" s="65">
        <v>199.9</v>
      </c>
      <c r="M172" s="65">
        <f>Table13[[#This Row],[Price]]/Table13[[#This Row],[Area (ft2)]]</f>
        <v>4.0795918367346937</v>
      </c>
      <c r="N172" s="65"/>
      <c r="P172" s="39"/>
      <c r="S172" s="39"/>
      <c r="U172">
        <v>2023</v>
      </c>
      <c r="W172" t="s">
        <v>99</v>
      </c>
      <c r="X172" s="64" t="s">
        <v>2155</v>
      </c>
      <c r="Y172" t="s">
        <v>3414</v>
      </c>
    </row>
    <row r="173" spans="1:25" x14ac:dyDescent="0.2">
      <c r="A173" t="s">
        <v>7</v>
      </c>
      <c r="C173" s="64"/>
      <c r="D173" s="363">
        <v>100030001</v>
      </c>
      <c r="E173" s="64" t="s">
        <v>405</v>
      </c>
      <c r="F173" s="64">
        <v>32.200000000000003</v>
      </c>
      <c r="G173" s="64" t="s">
        <v>1835</v>
      </c>
      <c r="H173" s="64" t="s">
        <v>1835</v>
      </c>
      <c r="I173" s="64"/>
      <c r="J173" s="64"/>
      <c r="L173" s="65">
        <v>131.78</v>
      </c>
      <c r="M173" s="65">
        <f>Table13[[#This Row],[Price]]/Table13[[#This Row],[Area (ft2)]]</f>
        <v>4.0925465838509316</v>
      </c>
      <c r="N173" s="65"/>
      <c r="P173" s="39"/>
      <c r="S173" s="39"/>
      <c r="U173">
        <v>2023</v>
      </c>
      <c r="W173" t="s">
        <v>99</v>
      </c>
      <c r="X173" s="64" t="s">
        <v>2156</v>
      </c>
      <c r="Y173" t="s">
        <v>3414</v>
      </c>
    </row>
    <row r="174" spans="1:25" x14ac:dyDescent="0.2">
      <c r="A174" t="s">
        <v>7</v>
      </c>
      <c r="C174" s="64" t="s">
        <v>2022</v>
      </c>
      <c r="D174" s="363" t="s">
        <v>2157</v>
      </c>
      <c r="E174" s="64" t="s">
        <v>405</v>
      </c>
      <c r="F174" s="64">
        <v>3.2</v>
      </c>
      <c r="G174" s="64" t="s">
        <v>1837</v>
      </c>
      <c r="H174" s="64" t="s">
        <v>2158</v>
      </c>
      <c r="I174" s="64"/>
      <c r="J174" s="64"/>
      <c r="L174" s="65">
        <v>56.69</v>
      </c>
      <c r="M174" s="65">
        <f>Table13[[#This Row],[Price]]/Table13[[#This Row],[Area (ft2)]]</f>
        <v>17.715624999999999</v>
      </c>
      <c r="N174" s="65"/>
      <c r="P174" s="39"/>
      <c r="S174" s="39"/>
      <c r="U174">
        <v>2023</v>
      </c>
      <c r="W174" t="s">
        <v>99</v>
      </c>
      <c r="X174" s="64" t="s">
        <v>2159</v>
      </c>
      <c r="Y174" t="s">
        <v>3414</v>
      </c>
    </row>
    <row r="175" spans="1:25" x14ac:dyDescent="0.2">
      <c r="A175" t="s">
        <v>7</v>
      </c>
      <c r="C175" s="64" t="s">
        <v>2032</v>
      </c>
      <c r="D175" s="363">
        <v>100540002</v>
      </c>
      <c r="E175" s="64" t="s">
        <v>405</v>
      </c>
      <c r="F175" s="64">
        <v>25</v>
      </c>
      <c r="G175" s="64" t="s">
        <v>1841</v>
      </c>
      <c r="H175" s="64" t="s">
        <v>2160</v>
      </c>
      <c r="I175" s="64"/>
      <c r="J175" s="64"/>
      <c r="L175" s="65">
        <v>199.9</v>
      </c>
      <c r="M175" s="65">
        <f>Table13[[#This Row],[Price]]/Table13[[#This Row],[Area (ft2)]]</f>
        <v>7.9960000000000004</v>
      </c>
      <c r="N175" s="65"/>
      <c r="P175" s="39"/>
      <c r="S175" s="39"/>
      <c r="U175">
        <v>2023</v>
      </c>
      <c r="W175" t="s">
        <v>99</v>
      </c>
      <c r="X175" s="64" t="s">
        <v>2161</v>
      </c>
      <c r="Y175" t="s">
        <v>3414</v>
      </c>
    </row>
    <row r="176" spans="1:25" x14ac:dyDescent="0.2">
      <c r="A176" t="s">
        <v>7</v>
      </c>
      <c r="C176" s="64" t="s">
        <v>2022</v>
      </c>
      <c r="D176" s="363" t="s">
        <v>2162</v>
      </c>
      <c r="E176" s="64" t="s">
        <v>405</v>
      </c>
      <c r="F176" s="64">
        <v>3.75</v>
      </c>
      <c r="G176" s="64" t="s">
        <v>1837</v>
      </c>
      <c r="H176" s="64" t="s">
        <v>2024</v>
      </c>
      <c r="I176" s="64"/>
      <c r="J176" s="64"/>
      <c r="L176" s="65">
        <v>77.239999999999995</v>
      </c>
      <c r="M176" s="65">
        <f>Table13[[#This Row],[Price]]/Table13[[#This Row],[Area (ft2)]]</f>
        <v>20.597333333333331</v>
      </c>
      <c r="N176" s="65"/>
      <c r="P176" s="39"/>
      <c r="S176" s="39"/>
      <c r="U176">
        <v>2023</v>
      </c>
      <c r="W176" t="s">
        <v>99</v>
      </c>
      <c r="X176" s="64" t="s">
        <v>2163</v>
      </c>
      <c r="Y176" t="s">
        <v>3414</v>
      </c>
    </row>
    <row r="177" spans="1:25" x14ac:dyDescent="0.2">
      <c r="A177" t="s">
        <v>7</v>
      </c>
      <c r="C177" s="64"/>
      <c r="D177" s="363">
        <v>100546001</v>
      </c>
      <c r="E177" s="64" t="s">
        <v>405</v>
      </c>
      <c r="F177" s="64">
        <v>26</v>
      </c>
      <c r="G177" s="64" t="s">
        <v>1841</v>
      </c>
      <c r="H177" s="64" t="s">
        <v>2164</v>
      </c>
      <c r="I177" s="64"/>
      <c r="J177" s="64"/>
      <c r="L177" s="65">
        <v>168.3</v>
      </c>
      <c r="M177" s="65">
        <f>Table13[[#This Row],[Price]]/Table13[[#This Row],[Area (ft2)]]</f>
        <v>6.4730769230769232</v>
      </c>
      <c r="N177" s="65"/>
      <c r="P177" s="39"/>
      <c r="S177" s="39"/>
      <c r="U177">
        <v>2023</v>
      </c>
      <c r="W177" t="s">
        <v>99</v>
      </c>
      <c r="X177" s="64" t="s">
        <v>2165</v>
      </c>
      <c r="Y177" t="s">
        <v>3414</v>
      </c>
    </row>
    <row r="178" spans="1:25" x14ac:dyDescent="0.2">
      <c r="A178" t="s">
        <v>7</v>
      </c>
      <c r="C178" s="64" t="s">
        <v>2022</v>
      </c>
      <c r="D178" s="363" t="s">
        <v>2166</v>
      </c>
      <c r="E178" s="64" t="s">
        <v>405</v>
      </c>
      <c r="F178" s="64">
        <v>3.2</v>
      </c>
      <c r="G178" s="64" t="s">
        <v>1841</v>
      </c>
      <c r="H178" s="64" t="s">
        <v>2167</v>
      </c>
      <c r="I178" s="64"/>
      <c r="J178" s="64"/>
      <c r="L178" s="65">
        <v>53.34</v>
      </c>
      <c r="M178" s="65">
        <f>Table13[[#This Row],[Price]]/Table13[[#This Row],[Area (ft2)]]</f>
        <v>16.668749999999999</v>
      </c>
      <c r="N178" s="65"/>
      <c r="P178" s="39"/>
      <c r="S178" s="39"/>
      <c r="U178">
        <v>2023</v>
      </c>
      <c r="W178" t="s">
        <v>99</v>
      </c>
      <c r="X178" s="64" t="s">
        <v>2168</v>
      </c>
      <c r="Y178" t="s">
        <v>3414</v>
      </c>
    </row>
    <row r="179" spans="1:25" x14ac:dyDescent="0.2">
      <c r="A179" t="s">
        <v>7</v>
      </c>
      <c r="C179" s="64"/>
      <c r="D179" s="363">
        <v>100185006</v>
      </c>
      <c r="E179" s="64" t="s">
        <v>405</v>
      </c>
      <c r="F179" s="64">
        <v>50</v>
      </c>
      <c r="G179" s="64" t="s">
        <v>1841</v>
      </c>
      <c r="H179" s="64" t="s">
        <v>1841</v>
      </c>
      <c r="I179" s="64"/>
      <c r="J179" s="64"/>
      <c r="L179" s="65">
        <v>186.49</v>
      </c>
      <c r="M179" s="65">
        <f>Table13[[#This Row],[Price]]/Table13[[#This Row],[Area (ft2)]]</f>
        <v>3.7298</v>
      </c>
      <c r="N179" s="65"/>
      <c r="P179" s="39"/>
      <c r="S179" s="39"/>
      <c r="U179">
        <v>2023</v>
      </c>
      <c r="W179" t="s">
        <v>99</v>
      </c>
      <c r="X179" s="64" t="s">
        <v>2169</v>
      </c>
      <c r="Y179" t="s">
        <v>3414</v>
      </c>
    </row>
    <row r="180" spans="1:25" x14ac:dyDescent="0.2">
      <c r="A180" t="s">
        <v>7</v>
      </c>
      <c r="C180" s="64" t="s">
        <v>2116</v>
      </c>
      <c r="D180" s="363" t="s">
        <v>2170</v>
      </c>
      <c r="E180" s="64" t="s">
        <v>405</v>
      </c>
      <c r="F180" s="64">
        <v>16.399999999999999</v>
      </c>
      <c r="G180" s="64" t="s">
        <v>1837</v>
      </c>
      <c r="H180" s="64" t="s">
        <v>2171</v>
      </c>
      <c r="I180" s="64"/>
      <c r="J180" s="64"/>
      <c r="L180" s="65">
        <v>180.79</v>
      </c>
      <c r="M180" s="65">
        <f>Table13[[#This Row],[Price]]/Table13[[#This Row],[Area (ft2)]]</f>
        <v>11.023780487804878</v>
      </c>
      <c r="N180" s="65"/>
      <c r="P180" s="39"/>
      <c r="S180" s="39"/>
      <c r="U180">
        <v>2023</v>
      </c>
      <c r="W180" t="s">
        <v>99</v>
      </c>
      <c r="X180" s="64" t="s">
        <v>2172</v>
      </c>
      <c r="Y180" t="s">
        <v>3414</v>
      </c>
    </row>
    <row r="181" spans="1:25" x14ac:dyDescent="0.2">
      <c r="A181" t="s">
        <v>7</v>
      </c>
      <c r="C181" s="64" t="s">
        <v>2022</v>
      </c>
      <c r="D181" s="363" t="s">
        <v>2173</v>
      </c>
      <c r="E181" s="64" t="s">
        <v>405</v>
      </c>
      <c r="F181" s="64">
        <v>2.82</v>
      </c>
      <c r="G181" s="64" t="s">
        <v>1837</v>
      </c>
      <c r="H181" s="64" t="s">
        <v>2024</v>
      </c>
      <c r="I181" s="64"/>
      <c r="J181" s="64"/>
      <c r="L181" s="65">
        <v>62.97</v>
      </c>
      <c r="M181" s="65">
        <f>Table13[[#This Row],[Price]]/Table13[[#This Row],[Area (ft2)]]</f>
        <v>22.329787234042556</v>
      </c>
      <c r="N181" s="65"/>
      <c r="P181" s="39"/>
      <c r="S181" s="39"/>
      <c r="U181">
        <v>2023</v>
      </c>
      <c r="W181" t="s">
        <v>99</v>
      </c>
      <c r="X181" s="64" t="s">
        <v>2174</v>
      </c>
      <c r="Y181" t="s">
        <v>3414</v>
      </c>
    </row>
    <row r="182" spans="1:25" x14ac:dyDescent="0.2">
      <c r="A182" t="s">
        <v>7</v>
      </c>
      <c r="C182" s="64"/>
      <c r="D182" s="363">
        <v>100060127</v>
      </c>
      <c r="E182" s="64" t="s">
        <v>405</v>
      </c>
      <c r="F182" s="64">
        <v>50</v>
      </c>
      <c r="G182" s="64" t="s">
        <v>1842</v>
      </c>
      <c r="H182" s="64" t="s">
        <v>2175</v>
      </c>
      <c r="I182" s="64"/>
      <c r="J182" s="64"/>
      <c r="L182" s="65">
        <v>186.49</v>
      </c>
      <c r="M182" s="65">
        <f>Table13[[#This Row],[Price]]/Table13[[#This Row],[Area (ft2)]]</f>
        <v>3.7298</v>
      </c>
      <c r="N182" s="65"/>
      <c r="P182" s="39"/>
      <c r="S182" s="39"/>
      <c r="U182">
        <v>2023</v>
      </c>
      <c r="W182" t="s">
        <v>99</v>
      </c>
      <c r="X182" s="64" t="s">
        <v>2176</v>
      </c>
      <c r="Y182" t="s">
        <v>3414</v>
      </c>
    </row>
    <row r="183" spans="1:25" x14ac:dyDescent="0.2">
      <c r="A183" t="s">
        <v>7</v>
      </c>
      <c r="C183" s="64" t="s">
        <v>2145</v>
      </c>
      <c r="D183" s="363" t="s">
        <v>2177</v>
      </c>
      <c r="E183" s="64" t="s">
        <v>405</v>
      </c>
      <c r="F183" s="64">
        <v>6.6</v>
      </c>
      <c r="G183" s="64" t="s">
        <v>2178</v>
      </c>
      <c r="H183" s="64" t="s">
        <v>2179</v>
      </c>
      <c r="I183" s="64"/>
      <c r="J183" s="64"/>
      <c r="L183" s="65">
        <v>87.85</v>
      </c>
      <c r="M183" s="65">
        <f>Table13[[#This Row],[Price]]/Table13[[#This Row],[Area (ft2)]]</f>
        <v>13.310606060606061</v>
      </c>
      <c r="N183" s="65"/>
      <c r="P183" s="39"/>
      <c r="S183" s="39"/>
      <c r="U183">
        <v>2023</v>
      </c>
      <c r="W183" t="s">
        <v>99</v>
      </c>
      <c r="X183" s="64" t="s">
        <v>2180</v>
      </c>
      <c r="Y183" t="s">
        <v>3414</v>
      </c>
    </row>
    <row r="184" spans="1:25" x14ac:dyDescent="0.2">
      <c r="A184" t="s">
        <v>7</v>
      </c>
      <c r="C184" s="64" t="s">
        <v>2116</v>
      </c>
      <c r="D184" s="363" t="s">
        <v>2181</v>
      </c>
      <c r="E184" s="64" t="s">
        <v>405</v>
      </c>
      <c r="F184" s="64">
        <v>16.96</v>
      </c>
      <c r="G184" s="64" t="s">
        <v>1837</v>
      </c>
      <c r="H184" s="64" t="s">
        <v>2182</v>
      </c>
      <c r="I184" s="64"/>
      <c r="J184" s="64"/>
      <c r="L184" s="65">
        <v>167.75</v>
      </c>
      <c r="M184" s="65">
        <f>Table13[[#This Row],[Price]]/Table13[[#This Row],[Area (ft2)]]</f>
        <v>9.8909198113207548</v>
      </c>
      <c r="N184" s="65"/>
      <c r="P184" s="39"/>
      <c r="S184" s="39"/>
      <c r="U184">
        <v>2023</v>
      </c>
      <c r="W184" t="s">
        <v>99</v>
      </c>
      <c r="X184" s="64" t="s">
        <v>2183</v>
      </c>
      <c r="Y184" t="s">
        <v>3414</v>
      </c>
    </row>
    <row r="185" spans="1:25" x14ac:dyDescent="0.2">
      <c r="A185" t="s">
        <v>7</v>
      </c>
      <c r="C185" s="64"/>
      <c r="D185" s="363">
        <v>100070006</v>
      </c>
      <c r="E185" s="64" t="s">
        <v>405</v>
      </c>
      <c r="F185" s="64">
        <v>50</v>
      </c>
      <c r="G185" s="64" t="s">
        <v>1835</v>
      </c>
      <c r="H185" s="64" t="s">
        <v>1835</v>
      </c>
      <c r="I185" s="64"/>
      <c r="J185" s="64"/>
      <c r="L185" s="65">
        <v>199.48</v>
      </c>
      <c r="M185" s="65">
        <f>Table13[[#This Row],[Price]]/Table13[[#This Row],[Area (ft2)]]</f>
        <v>3.9895999999999998</v>
      </c>
      <c r="N185" s="65"/>
      <c r="P185" s="39"/>
      <c r="S185" s="39"/>
      <c r="U185">
        <v>2023</v>
      </c>
      <c r="W185" t="s">
        <v>99</v>
      </c>
      <c r="X185" s="64" t="s">
        <v>2184</v>
      </c>
      <c r="Y185" t="s">
        <v>3414</v>
      </c>
    </row>
    <row r="186" spans="1:25" x14ac:dyDescent="0.2">
      <c r="A186" t="s">
        <v>7</v>
      </c>
      <c r="C186" s="64"/>
      <c r="D186" s="363">
        <v>100140001</v>
      </c>
      <c r="E186" s="64" t="s">
        <v>405</v>
      </c>
      <c r="F186" s="64">
        <v>49.3</v>
      </c>
      <c r="G186" s="64" t="s">
        <v>1841</v>
      </c>
      <c r="H186" s="64" t="s">
        <v>2185</v>
      </c>
      <c r="I186" s="64"/>
      <c r="J186" s="64"/>
      <c r="L186" s="65">
        <v>202.1</v>
      </c>
      <c r="M186" s="65">
        <f>Table13[[#This Row],[Price]]/Table13[[#This Row],[Area (ft2)]]</f>
        <v>4.0993914807302234</v>
      </c>
      <c r="N186" s="65"/>
      <c r="P186" s="39"/>
      <c r="S186" s="39"/>
      <c r="U186">
        <v>2023</v>
      </c>
      <c r="W186" t="s">
        <v>99</v>
      </c>
      <c r="X186" s="64" t="s">
        <v>2186</v>
      </c>
      <c r="Y186" t="s">
        <v>3414</v>
      </c>
    </row>
    <row r="187" spans="1:25" x14ac:dyDescent="0.2">
      <c r="A187" t="s">
        <v>7</v>
      </c>
      <c r="C187" s="64" t="s">
        <v>2030</v>
      </c>
      <c r="D187" s="363" t="s">
        <v>2187</v>
      </c>
      <c r="E187" s="64" t="s">
        <v>405</v>
      </c>
      <c r="F187" s="64">
        <v>8</v>
      </c>
      <c r="G187" s="64" t="s">
        <v>1841</v>
      </c>
      <c r="H187" s="64" t="s">
        <v>2031</v>
      </c>
      <c r="I187" s="64"/>
      <c r="J187" s="64"/>
      <c r="L187" s="65">
        <v>70.61</v>
      </c>
      <c r="M187" s="65">
        <f>Table13[[#This Row],[Price]]/Table13[[#This Row],[Area (ft2)]]</f>
        <v>8.8262499999999999</v>
      </c>
      <c r="N187" s="65"/>
      <c r="P187" s="39"/>
      <c r="S187" s="39"/>
      <c r="U187">
        <v>2023</v>
      </c>
      <c r="W187" t="s">
        <v>99</v>
      </c>
      <c r="X187" s="64" t="s">
        <v>2188</v>
      </c>
      <c r="Y187" t="s">
        <v>3414</v>
      </c>
    </row>
    <row r="188" spans="1:25" x14ac:dyDescent="0.2">
      <c r="A188" t="s">
        <v>7</v>
      </c>
      <c r="C188" s="64"/>
      <c r="D188" s="363">
        <v>100185004</v>
      </c>
      <c r="E188" s="64" t="s">
        <v>405</v>
      </c>
      <c r="F188" s="64">
        <v>50</v>
      </c>
      <c r="G188" s="64" t="s">
        <v>1835</v>
      </c>
      <c r="H188" s="64" t="s">
        <v>1835</v>
      </c>
      <c r="I188" s="64"/>
      <c r="J188" s="64"/>
      <c r="L188" s="65">
        <v>208.34</v>
      </c>
      <c r="M188" s="65">
        <f>Table13[[#This Row],[Price]]/Table13[[#This Row],[Area (ft2)]]</f>
        <v>4.1668000000000003</v>
      </c>
      <c r="N188" s="65"/>
      <c r="P188" s="39"/>
      <c r="S188" s="39"/>
      <c r="U188">
        <v>2023</v>
      </c>
      <c r="W188" t="s">
        <v>99</v>
      </c>
      <c r="X188" s="64" t="s">
        <v>2189</v>
      </c>
      <c r="Y188" t="s">
        <v>3414</v>
      </c>
    </row>
    <row r="189" spans="1:25" x14ac:dyDescent="0.2">
      <c r="A189" t="s">
        <v>7</v>
      </c>
      <c r="C189" s="64" t="s">
        <v>2030</v>
      </c>
      <c r="D189" s="363" t="s">
        <v>2190</v>
      </c>
      <c r="E189" s="64" t="s">
        <v>405</v>
      </c>
      <c r="F189" s="64">
        <v>8</v>
      </c>
      <c r="G189" s="64" t="s">
        <v>1837</v>
      </c>
      <c r="H189" s="64" t="s">
        <v>2191</v>
      </c>
      <c r="I189" s="64"/>
      <c r="J189" s="64"/>
      <c r="L189" s="65">
        <v>80.89</v>
      </c>
      <c r="M189" s="65">
        <f>Table13[[#This Row],[Price]]/Table13[[#This Row],[Area (ft2)]]</f>
        <v>10.11125</v>
      </c>
      <c r="N189" s="65"/>
      <c r="P189" s="39"/>
      <c r="S189" s="39"/>
      <c r="U189">
        <v>2023</v>
      </c>
      <c r="W189" t="s">
        <v>99</v>
      </c>
      <c r="X189" s="64" t="s">
        <v>2192</v>
      </c>
      <c r="Y189" t="s">
        <v>3414</v>
      </c>
    </row>
    <row r="190" spans="1:25" x14ac:dyDescent="0.2">
      <c r="A190" t="s">
        <v>7</v>
      </c>
      <c r="C190" s="64" t="s">
        <v>2145</v>
      </c>
      <c r="D190" s="363" t="s">
        <v>2193</v>
      </c>
      <c r="E190" s="64" t="s">
        <v>405</v>
      </c>
      <c r="F190" s="64">
        <v>6.4</v>
      </c>
      <c r="G190" s="64" t="s">
        <v>1845</v>
      </c>
      <c r="H190" s="64" t="s">
        <v>2194</v>
      </c>
      <c r="I190" s="64"/>
      <c r="J190" s="64"/>
      <c r="L190" s="65">
        <v>87.85</v>
      </c>
      <c r="M190" s="65">
        <f>Table13[[#This Row],[Price]]/Table13[[#This Row],[Area (ft2)]]</f>
        <v>13.726562499999998</v>
      </c>
      <c r="N190" s="65"/>
      <c r="P190" s="39"/>
      <c r="S190" s="39"/>
      <c r="U190">
        <v>2023</v>
      </c>
      <c r="W190" t="s">
        <v>99</v>
      </c>
      <c r="X190" s="64" t="s">
        <v>2195</v>
      </c>
      <c r="Y190" t="s">
        <v>3414</v>
      </c>
    </row>
    <row r="191" spans="1:25" x14ac:dyDescent="0.2">
      <c r="A191" t="s">
        <v>7</v>
      </c>
      <c r="C191" s="64"/>
      <c r="D191" s="363">
        <v>100340002</v>
      </c>
      <c r="E191" s="64" t="s">
        <v>405</v>
      </c>
      <c r="F191" s="64">
        <v>50</v>
      </c>
      <c r="G191" s="64" t="s">
        <v>1841</v>
      </c>
      <c r="H191" s="64" t="s">
        <v>2196</v>
      </c>
      <c r="I191" s="64"/>
      <c r="J191" s="64"/>
      <c r="L191" s="65">
        <v>260.14</v>
      </c>
      <c r="M191" s="65">
        <f>Table13[[#This Row],[Price]]/Table13[[#This Row],[Area (ft2)]]</f>
        <v>5.2027999999999999</v>
      </c>
      <c r="N191" s="65"/>
      <c r="P191" s="39"/>
      <c r="S191" s="39"/>
      <c r="U191">
        <v>2023</v>
      </c>
      <c r="W191" t="s">
        <v>99</v>
      </c>
      <c r="X191" s="64" t="s">
        <v>2197</v>
      </c>
      <c r="Y191" t="s">
        <v>3414</v>
      </c>
    </row>
    <row r="192" spans="1:25" x14ac:dyDescent="0.2">
      <c r="A192" t="s">
        <v>7</v>
      </c>
      <c r="C192" s="64" t="s">
        <v>2022</v>
      </c>
      <c r="D192" s="363" t="s">
        <v>2198</v>
      </c>
      <c r="E192" s="64" t="s">
        <v>405</v>
      </c>
      <c r="F192" s="64">
        <v>3.61</v>
      </c>
      <c r="G192" s="64" t="s">
        <v>2034</v>
      </c>
      <c r="H192" s="64" t="s">
        <v>2035</v>
      </c>
      <c r="I192" s="64"/>
      <c r="J192" s="64"/>
      <c r="L192" s="65">
        <v>65.61</v>
      </c>
      <c r="M192" s="65">
        <f>Table13[[#This Row],[Price]]/Table13[[#This Row],[Area (ft2)]]</f>
        <v>18.174515235457065</v>
      </c>
      <c r="N192" s="65"/>
      <c r="P192" s="39"/>
      <c r="S192" s="39"/>
      <c r="U192">
        <v>2023</v>
      </c>
      <c r="W192" t="s">
        <v>99</v>
      </c>
      <c r="X192" s="64" t="s">
        <v>2199</v>
      </c>
      <c r="Y192" t="s">
        <v>3414</v>
      </c>
    </row>
    <row r="193" spans="1:25" x14ac:dyDescent="0.2">
      <c r="A193" t="s">
        <v>7</v>
      </c>
      <c r="C193" s="64"/>
      <c r="D193" s="363">
        <v>100060001</v>
      </c>
      <c r="E193" s="64" t="s">
        <v>405</v>
      </c>
      <c r="F193" s="64">
        <v>50</v>
      </c>
      <c r="G193" s="64" t="s">
        <v>1835</v>
      </c>
      <c r="H193" s="64" t="s">
        <v>1835</v>
      </c>
      <c r="I193" s="64"/>
      <c r="J193" s="64"/>
      <c r="L193" s="65">
        <v>188.64</v>
      </c>
      <c r="M193" s="65">
        <f>Table13[[#This Row],[Price]]/Table13[[#This Row],[Area (ft2)]]</f>
        <v>3.7727999999999997</v>
      </c>
      <c r="N193" s="65"/>
      <c r="P193" s="39"/>
      <c r="S193" s="39"/>
      <c r="U193">
        <v>2023</v>
      </c>
      <c r="W193" t="s">
        <v>99</v>
      </c>
      <c r="X193" s="64" t="s">
        <v>2200</v>
      </c>
      <c r="Y193" t="s">
        <v>3414</v>
      </c>
    </row>
    <row r="194" spans="1:25" x14ac:dyDescent="0.2">
      <c r="A194" t="s">
        <v>7</v>
      </c>
      <c r="C194" s="64"/>
      <c r="D194" s="363">
        <v>100060048</v>
      </c>
      <c r="E194" s="64" t="s">
        <v>405</v>
      </c>
      <c r="F194" s="64">
        <v>50</v>
      </c>
      <c r="G194" s="64" t="s">
        <v>1839</v>
      </c>
      <c r="H194" s="64" t="s">
        <v>2201</v>
      </c>
      <c r="I194" s="64"/>
      <c r="J194" s="64"/>
      <c r="L194" s="65">
        <v>188.64</v>
      </c>
      <c r="M194" s="65">
        <f>Table13[[#This Row],[Price]]/Table13[[#This Row],[Area (ft2)]]</f>
        <v>3.7727999999999997</v>
      </c>
      <c r="N194" s="65"/>
      <c r="P194" s="39"/>
      <c r="S194" s="39"/>
      <c r="U194">
        <v>2023</v>
      </c>
      <c r="W194" t="s">
        <v>99</v>
      </c>
      <c r="X194" s="64" t="s">
        <v>2202</v>
      </c>
      <c r="Y194" t="s">
        <v>3414</v>
      </c>
    </row>
    <row r="195" spans="1:25" x14ac:dyDescent="0.2">
      <c r="A195" t="s">
        <v>7</v>
      </c>
      <c r="C195" s="64" t="s">
        <v>2022</v>
      </c>
      <c r="D195" s="363" t="s">
        <v>2203</v>
      </c>
      <c r="E195" s="64" t="s">
        <v>405</v>
      </c>
      <c r="F195" s="64">
        <v>3.61</v>
      </c>
      <c r="G195" s="64" t="s">
        <v>1840</v>
      </c>
      <c r="H195" s="64" t="s">
        <v>2204</v>
      </c>
      <c r="I195" s="64"/>
      <c r="J195" s="64"/>
      <c r="L195" s="65">
        <v>62.32</v>
      </c>
      <c r="M195" s="65">
        <f>Table13[[#This Row],[Price]]/Table13[[#This Row],[Area (ft2)]]</f>
        <v>17.263157894736842</v>
      </c>
      <c r="N195" s="65"/>
      <c r="P195" s="39"/>
      <c r="S195" s="39"/>
      <c r="U195">
        <v>2023</v>
      </c>
      <c r="W195" t="s">
        <v>99</v>
      </c>
      <c r="X195" s="64" t="s">
        <v>2205</v>
      </c>
      <c r="Y195" t="s">
        <v>3414</v>
      </c>
    </row>
    <row r="196" spans="1:25" x14ac:dyDescent="0.2">
      <c r="A196" t="s">
        <v>7</v>
      </c>
      <c r="C196" s="64"/>
      <c r="D196" s="363">
        <v>100340003</v>
      </c>
      <c r="E196" s="64" t="s">
        <v>405</v>
      </c>
      <c r="F196" s="64">
        <v>50</v>
      </c>
      <c r="G196" s="64" t="s">
        <v>1837</v>
      </c>
      <c r="H196" s="64" t="s">
        <v>2206</v>
      </c>
      <c r="I196" s="64"/>
      <c r="J196" s="64"/>
      <c r="L196" s="65">
        <v>279.89999999999998</v>
      </c>
      <c r="M196" s="65">
        <f>Table13[[#This Row],[Price]]/Table13[[#This Row],[Area (ft2)]]</f>
        <v>5.5979999999999999</v>
      </c>
      <c r="N196" s="65"/>
      <c r="P196" s="39"/>
      <c r="S196" s="39"/>
      <c r="U196">
        <v>2023</v>
      </c>
      <c r="W196" t="s">
        <v>99</v>
      </c>
      <c r="X196" s="64" t="s">
        <v>2207</v>
      </c>
      <c r="Y196" t="s">
        <v>3414</v>
      </c>
    </row>
    <row r="197" spans="1:25" x14ac:dyDescent="0.2">
      <c r="A197" t="s">
        <v>7</v>
      </c>
      <c r="C197" s="64" t="s">
        <v>2208</v>
      </c>
      <c r="D197" s="363" t="s">
        <v>2209</v>
      </c>
      <c r="E197" s="64" t="s">
        <v>405</v>
      </c>
      <c r="F197" s="64">
        <v>7.33</v>
      </c>
      <c r="G197" s="64" t="s">
        <v>1840</v>
      </c>
      <c r="H197" s="64" t="s">
        <v>2210</v>
      </c>
      <c r="I197" s="64"/>
      <c r="J197" s="64"/>
      <c r="L197" s="65">
        <v>449.27</v>
      </c>
      <c r="M197" s="65">
        <f>Table13[[#This Row],[Price]]/Table13[[#This Row],[Area (ft2)]]</f>
        <v>61.291950886766706</v>
      </c>
      <c r="N197" s="65"/>
      <c r="P197" s="39"/>
      <c r="S197" s="39"/>
      <c r="U197">
        <v>2023</v>
      </c>
      <c r="W197" t="s">
        <v>99</v>
      </c>
      <c r="X197" s="64" t="s">
        <v>2211</v>
      </c>
      <c r="Y197" t="s">
        <v>3414</v>
      </c>
    </row>
    <row r="198" spans="1:25" x14ac:dyDescent="0.2">
      <c r="A198" t="s">
        <v>7</v>
      </c>
      <c r="C198" s="64"/>
      <c r="D198" s="363">
        <v>100185018</v>
      </c>
      <c r="E198" s="64" t="s">
        <v>405</v>
      </c>
      <c r="F198" s="64">
        <v>50</v>
      </c>
      <c r="G198" s="64" t="s">
        <v>1843</v>
      </c>
      <c r="H198" s="64" t="s">
        <v>1843</v>
      </c>
      <c r="I198" s="64"/>
      <c r="J198" s="64"/>
      <c r="L198" s="65">
        <v>186.49</v>
      </c>
      <c r="M198" s="65">
        <f>Table13[[#This Row],[Price]]/Table13[[#This Row],[Area (ft2)]]</f>
        <v>3.7298</v>
      </c>
      <c r="N198" s="65"/>
      <c r="P198" s="39"/>
      <c r="S198" s="39"/>
      <c r="U198">
        <v>2023</v>
      </c>
      <c r="W198" t="s">
        <v>99</v>
      </c>
      <c r="X198" s="64" t="s">
        <v>2212</v>
      </c>
      <c r="Y198" t="s">
        <v>3414</v>
      </c>
    </row>
    <row r="199" spans="1:25" x14ac:dyDescent="0.2">
      <c r="A199" t="s">
        <v>7</v>
      </c>
      <c r="C199" s="64" t="s">
        <v>2022</v>
      </c>
      <c r="D199" s="363" t="s">
        <v>2213</v>
      </c>
      <c r="E199" s="64" t="s">
        <v>405</v>
      </c>
      <c r="F199" s="64">
        <v>3.61</v>
      </c>
      <c r="G199" s="64" t="s">
        <v>1840</v>
      </c>
      <c r="H199" s="64" t="s">
        <v>2214</v>
      </c>
      <c r="I199" s="64"/>
      <c r="J199" s="64"/>
      <c r="L199" s="65">
        <v>62.32</v>
      </c>
      <c r="M199" s="65">
        <f>Table13[[#This Row],[Price]]/Table13[[#This Row],[Area (ft2)]]</f>
        <v>17.263157894736842</v>
      </c>
      <c r="N199" s="65"/>
      <c r="P199" s="39"/>
      <c r="S199" s="39"/>
      <c r="U199">
        <v>2023</v>
      </c>
      <c r="W199" t="s">
        <v>99</v>
      </c>
      <c r="X199" s="64" t="s">
        <v>2215</v>
      </c>
      <c r="Y199" t="s">
        <v>3414</v>
      </c>
    </row>
    <row r="200" spans="1:25" x14ac:dyDescent="0.2">
      <c r="A200" t="s">
        <v>7</v>
      </c>
      <c r="C200" s="64" t="s">
        <v>2116</v>
      </c>
      <c r="D200" s="363" t="s">
        <v>2216</v>
      </c>
      <c r="E200" s="64" t="s">
        <v>405</v>
      </c>
      <c r="F200" s="64">
        <v>4.75</v>
      </c>
      <c r="G200" s="64" t="s">
        <v>1841</v>
      </c>
      <c r="H200" s="64" t="s">
        <v>2217</v>
      </c>
      <c r="I200" s="64"/>
      <c r="J200" s="64"/>
      <c r="L200" s="65">
        <v>210.38</v>
      </c>
      <c r="M200" s="65">
        <f>Table13[[#This Row],[Price]]/Table13[[#This Row],[Area (ft2)]]</f>
        <v>44.290526315789471</v>
      </c>
      <c r="N200" s="65"/>
      <c r="P200" s="39"/>
      <c r="S200" s="39"/>
      <c r="U200">
        <v>2023</v>
      </c>
      <c r="W200" t="s">
        <v>99</v>
      </c>
      <c r="X200" s="64" t="s">
        <v>2218</v>
      </c>
      <c r="Y200" t="s">
        <v>3414</v>
      </c>
    </row>
    <row r="201" spans="1:25" x14ac:dyDescent="0.2">
      <c r="A201" t="s">
        <v>7</v>
      </c>
      <c r="C201" s="64" t="s">
        <v>2022</v>
      </c>
      <c r="D201" s="363" t="s">
        <v>2219</v>
      </c>
      <c r="E201" s="64" t="s">
        <v>405</v>
      </c>
      <c r="F201" s="64">
        <v>1.98</v>
      </c>
      <c r="G201" s="64" t="s">
        <v>1840</v>
      </c>
      <c r="H201" s="64" t="s">
        <v>2204</v>
      </c>
      <c r="I201" s="64"/>
      <c r="J201" s="64"/>
      <c r="L201" s="65">
        <v>36.35</v>
      </c>
      <c r="M201" s="65">
        <f>Table13[[#This Row],[Price]]/Table13[[#This Row],[Area (ft2)]]</f>
        <v>18.358585858585858</v>
      </c>
      <c r="N201" s="65"/>
      <c r="P201" s="39"/>
      <c r="S201" s="39"/>
      <c r="U201">
        <v>2023</v>
      </c>
      <c r="W201" t="s">
        <v>99</v>
      </c>
      <c r="X201" s="64" t="s">
        <v>2220</v>
      </c>
      <c r="Y201" t="s">
        <v>3414</v>
      </c>
    </row>
    <row r="202" spans="1:25" x14ac:dyDescent="0.2">
      <c r="A202" t="s">
        <v>7</v>
      </c>
      <c r="C202" s="64" t="s">
        <v>2116</v>
      </c>
      <c r="D202" s="363" t="s">
        <v>2221</v>
      </c>
      <c r="E202" s="64" t="s">
        <v>405</v>
      </c>
      <c r="F202" s="64">
        <v>3.33</v>
      </c>
      <c r="G202" s="64" t="s">
        <v>1839</v>
      </c>
      <c r="H202" s="64" t="s">
        <v>2222</v>
      </c>
      <c r="I202" s="64"/>
      <c r="J202" s="64"/>
      <c r="L202" s="65">
        <v>160.36000000000001</v>
      </c>
      <c r="M202" s="65">
        <f>Table13[[#This Row],[Price]]/Table13[[#This Row],[Area (ft2)]]</f>
        <v>48.156156156156158</v>
      </c>
      <c r="N202" s="65"/>
      <c r="P202" s="39"/>
      <c r="S202" s="39"/>
      <c r="U202">
        <v>2023</v>
      </c>
      <c r="W202" t="s">
        <v>99</v>
      </c>
      <c r="X202" s="64" t="s">
        <v>2223</v>
      </c>
      <c r="Y202" t="s">
        <v>3405</v>
      </c>
    </row>
    <row r="203" spans="1:25" x14ac:dyDescent="0.2">
      <c r="A203" t="s">
        <v>7</v>
      </c>
      <c r="C203" s="64"/>
      <c r="D203" s="363">
        <v>100340001</v>
      </c>
      <c r="E203" s="64" t="s">
        <v>405</v>
      </c>
      <c r="F203" s="64">
        <v>50</v>
      </c>
      <c r="G203" s="64" t="s">
        <v>1841</v>
      </c>
      <c r="H203" s="64" t="s">
        <v>1841</v>
      </c>
      <c r="I203" s="64"/>
      <c r="J203" s="64"/>
      <c r="L203" s="65">
        <v>260.14</v>
      </c>
      <c r="M203" s="65">
        <f>Table13[[#This Row],[Price]]/Table13[[#This Row],[Area (ft2)]]</f>
        <v>5.2027999999999999</v>
      </c>
      <c r="N203" s="65"/>
      <c r="P203" s="39"/>
      <c r="S203" s="39"/>
      <c r="U203">
        <v>2023</v>
      </c>
      <c r="W203" t="s">
        <v>99</v>
      </c>
      <c r="X203" s="64" t="s">
        <v>2224</v>
      </c>
      <c r="Y203" t="s">
        <v>3414</v>
      </c>
    </row>
    <row r="204" spans="1:25" x14ac:dyDescent="0.2">
      <c r="A204" t="s">
        <v>7</v>
      </c>
      <c r="C204" s="64" t="s">
        <v>2116</v>
      </c>
      <c r="D204" s="363" t="s">
        <v>2225</v>
      </c>
      <c r="E204" s="64" t="s">
        <v>405</v>
      </c>
      <c r="F204" s="64">
        <v>17.920000000000002</v>
      </c>
      <c r="G204" s="64" t="s">
        <v>1840</v>
      </c>
      <c r="H204" s="64" t="s">
        <v>2226</v>
      </c>
      <c r="I204" s="64"/>
      <c r="J204" s="64"/>
      <c r="L204" s="65">
        <v>168.92</v>
      </c>
      <c r="M204" s="65">
        <f>Table13[[#This Row],[Price]]/Table13[[#This Row],[Area (ft2)]]</f>
        <v>9.4263392857142847</v>
      </c>
      <c r="N204" s="65"/>
      <c r="P204" s="39"/>
      <c r="S204" s="39"/>
      <c r="U204">
        <v>2023</v>
      </c>
      <c r="W204" t="s">
        <v>99</v>
      </c>
      <c r="X204" s="64" t="s">
        <v>2227</v>
      </c>
      <c r="Y204" t="s">
        <v>3414</v>
      </c>
    </row>
    <row r="205" spans="1:25" x14ac:dyDescent="0.2">
      <c r="A205" t="s">
        <v>7</v>
      </c>
      <c r="C205" s="64" t="s">
        <v>2116</v>
      </c>
      <c r="D205" s="363" t="s">
        <v>2228</v>
      </c>
      <c r="E205" s="64" t="s">
        <v>405</v>
      </c>
      <c r="F205" s="64">
        <v>4.03</v>
      </c>
      <c r="G205" s="64" t="s">
        <v>1837</v>
      </c>
      <c r="H205" s="64" t="s">
        <v>2229</v>
      </c>
      <c r="I205" s="64"/>
      <c r="J205" s="64"/>
      <c r="L205" s="65">
        <v>185</v>
      </c>
      <c r="M205" s="65">
        <f>Table13[[#This Row],[Price]]/Table13[[#This Row],[Area (ft2)]]</f>
        <v>45.905707196029773</v>
      </c>
      <c r="N205" s="65"/>
      <c r="P205" s="39"/>
      <c r="S205" s="39"/>
      <c r="U205">
        <v>2023</v>
      </c>
      <c r="W205" t="s">
        <v>99</v>
      </c>
      <c r="X205" s="64" t="s">
        <v>2230</v>
      </c>
      <c r="Y205" t="s">
        <v>3414</v>
      </c>
    </row>
    <row r="206" spans="1:25" x14ac:dyDescent="0.2">
      <c r="A206" t="s">
        <v>7</v>
      </c>
      <c r="C206" s="64"/>
      <c r="D206" s="363">
        <v>100030023</v>
      </c>
      <c r="E206" s="64" t="s">
        <v>405</v>
      </c>
      <c r="F206" s="64">
        <v>32.200000000000003</v>
      </c>
      <c r="G206" s="64" t="s">
        <v>1841</v>
      </c>
      <c r="H206" s="64" t="s">
        <v>1841</v>
      </c>
      <c r="I206" s="64"/>
      <c r="J206" s="64"/>
      <c r="L206" s="65">
        <v>131</v>
      </c>
      <c r="M206" s="65">
        <f>Table13[[#This Row],[Price]]/Table13[[#This Row],[Area (ft2)]]</f>
        <v>4.0683229813664594</v>
      </c>
      <c r="N206" s="65"/>
      <c r="P206" s="39"/>
      <c r="S206" s="39"/>
      <c r="U206">
        <v>2023</v>
      </c>
      <c r="W206" t="s">
        <v>99</v>
      </c>
      <c r="X206" s="64" t="s">
        <v>2231</v>
      </c>
      <c r="Y206" t="s">
        <v>3414</v>
      </c>
    </row>
    <row r="207" spans="1:25" x14ac:dyDescent="0.2">
      <c r="A207" t="s">
        <v>7</v>
      </c>
      <c r="C207" s="64"/>
      <c r="D207" s="363">
        <v>100030025</v>
      </c>
      <c r="E207" s="64" t="s">
        <v>405</v>
      </c>
      <c r="F207" s="64">
        <v>32.200000000000003</v>
      </c>
      <c r="G207" s="64" t="s">
        <v>1839</v>
      </c>
      <c r="H207" s="64" t="s">
        <v>2191</v>
      </c>
      <c r="I207" s="64"/>
      <c r="J207" s="64"/>
      <c r="L207" s="65">
        <v>137.13999999999999</v>
      </c>
      <c r="M207" s="65">
        <f>Table13[[#This Row],[Price]]/Table13[[#This Row],[Area (ft2)]]</f>
        <v>4.2590062111801235</v>
      </c>
      <c r="N207" s="65"/>
      <c r="P207" s="39"/>
      <c r="S207" s="39"/>
      <c r="U207">
        <v>2023</v>
      </c>
      <c r="W207" t="s">
        <v>99</v>
      </c>
      <c r="X207" s="64" t="s">
        <v>2232</v>
      </c>
      <c r="Y207" t="s">
        <v>3414</v>
      </c>
    </row>
    <row r="208" spans="1:25" x14ac:dyDescent="0.2">
      <c r="A208" t="s">
        <v>7</v>
      </c>
      <c r="C208" s="64"/>
      <c r="D208" s="363">
        <v>100070083</v>
      </c>
      <c r="E208" s="64" t="s">
        <v>405</v>
      </c>
      <c r="F208" s="64">
        <v>50</v>
      </c>
      <c r="G208" s="64" t="s">
        <v>1843</v>
      </c>
      <c r="H208" s="64" t="s">
        <v>1843</v>
      </c>
      <c r="I208" s="64"/>
      <c r="J208" s="64"/>
      <c r="L208" s="65">
        <v>189.51</v>
      </c>
      <c r="M208" s="65">
        <f>Table13[[#This Row],[Price]]/Table13[[#This Row],[Area (ft2)]]</f>
        <v>3.7902</v>
      </c>
      <c r="N208" s="65"/>
      <c r="P208" s="39"/>
      <c r="S208" s="39"/>
      <c r="U208">
        <v>2023</v>
      </c>
      <c r="W208" t="s">
        <v>99</v>
      </c>
      <c r="X208" s="64" t="s">
        <v>2233</v>
      </c>
      <c r="Y208" t="s">
        <v>3414</v>
      </c>
    </row>
    <row r="209" spans="1:25" x14ac:dyDescent="0.2">
      <c r="A209" t="s">
        <v>7</v>
      </c>
      <c r="C209" s="64"/>
      <c r="D209" s="363">
        <v>100030150</v>
      </c>
      <c r="E209" s="64" t="s">
        <v>405</v>
      </c>
      <c r="F209" s="64">
        <v>32.200000000000003</v>
      </c>
      <c r="G209" s="64" t="s">
        <v>1841</v>
      </c>
      <c r="H209" s="64" t="s">
        <v>1841</v>
      </c>
      <c r="I209" s="64"/>
      <c r="J209" s="64"/>
      <c r="L209" s="65">
        <v>127.83</v>
      </c>
      <c r="M209" s="65">
        <f>Table13[[#This Row],[Price]]/Table13[[#This Row],[Area (ft2)]]</f>
        <v>3.9698757763975152</v>
      </c>
      <c r="N209" s="65"/>
      <c r="P209" s="39"/>
      <c r="S209" s="39"/>
      <c r="U209">
        <v>2023</v>
      </c>
      <c r="W209" t="s">
        <v>99</v>
      </c>
      <c r="X209" s="64" t="s">
        <v>2234</v>
      </c>
      <c r="Y209" t="s">
        <v>3414</v>
      </c>
    </row>
    <row r="210" spans="1:25" x14ac:dyDescent="0.2">
      <c r="A210" t="s">
        <v>7</v>
      </c>
      <c r="C210" s="64" t="s">
        <v>2022</v>
      </c>
      <c r="D210" s="363" t="s">
        <v>2235</v>
      </c>
      <c r="E210" s="64" t="s">
        <v>405</v>
      </c>
      <c r="F210" s="64">
        <v>1.0900000000000001</v>
      </c>
      <c r="G210" s="64" t="s">
        <v>1840</v>
      </c>
      <c r="H210" s="64" t="s">
        <v>2204</v>
      </c>
      <c r="I210" s="64"/>
      <c r="J210" s="64"/>
      <c r="L210" s="65">
        <v>54.09</v>
      </c>
      <c r="M210" s="65">
        <f>Table13[[#This Row],[Price]]/Table13[[#This Row],[Area (ft2)]]</f>
        <v>49.623853211009177</v>
      </c>
      <c r="N210" s="65"/>
      <c r="P210" s="39"/>
      <c r="S210" s="39"/>
      <c r="U210">
        <v>2023</v>
      </c>
      <c r="W210" t="s">
        <v>99</v>
      </c>
      <c r="X210" s="64" t="s">
        <v>2236</v>
      </c>
      <c r="Y210" t="s">
        <v>3405</v>
      </c>
    </row>
    <row r="211" spans="1:25" x14ac:dyDescent="0.2">
      <c r="A211" t="s">
        <v>7</v>
      </c>
      <c r="C211" s="64" t="s">
        <v>2022</v>
      </c>
      <c r="D211" s="363" t="s">
        <v>2237</v>
      </c>
      <c r="E211" s="64" t="s">
        <v>405</v>
      </c>
      <c r="F211" s="64">
        <v>1.98</v>
      </c>
      <c r="G211" s="64" t="s">
        <v>2034</v>
      </c>
      <c r="H211" s="64" t="s">
        <v>2035</v>
      </c>
      <c r="I211" s="64"/>
      <c r="J211" s="64"/>
      <c r="L211" s="65">
        <v>36.35</v>
      </c>
      <c r="M211" s="65">
        <f>Table13[[#This Row],[Price]]/Table13[[#This Row],[Area (ft2)]]</f>
        <v>18.358585858585858</v>
      </c>
      <c r="N211" s="65"/>
      <c r="P211" s="39"/>
      <c r="S211" s="39"/>
      <c r="U211">
        <v>2023</v>
      </c>
      <c r="W211" t="s">
        <v>99</v>
      </c>
      <c r="X211" s="64" t="s">
        <v>2238</v>
      </c>
      <c r="Y211" t="s">
        <v>3414</v>
      </c>
    </row>
    <row r="212" spans="1:25" x14ac:dyDescent="0.2">
      <c r="A212" t="s">
        <v>7</v>
      </c>
      <c r="C212" s="64"/>
      <c r="D212" s="363">
        <v>100030149</v>
      </c>
      <c r="E212" s="64" t="s">
        <v>405</v>
      </c>
      <c r="F212" s="64">
        <v>32.200000000000003</v>
      </c>
      <c r="G212" s="64" t="s">
        <v>1843</v>
      </c>
      <c r="H212" s="64" t="s">
        <v>1843</v>
      </c>
      <c r="I212" s="64"/>
      <c r="J212" s="64"/>
      <c r="L212" s="65">
        <v>126.08</v>
      </c>
      <c r="M212" s="65">
        <f>Table13[[#This Row],[Price]]/Table13[[#This Row],[Area (ft2)]]</f>
        <v>3.9155279503105587</v>
      </c>
      <c r="N212" s="65"/>
      <c r="P212" s="39"/>
      <c r="S212" s="39"/>
      <c r="U212">
        <v>2023</v>
      </c>
      <c r="W212" t="s">
        <v>99</v>
      </c>
      <c r="X212" s="64" t="s">
        <v>2239</v>
      </c>
      <c r="Y212" t="s">
        <v>3414</v>
      </c>
    </row>
    <row r="213" spans="1:25" x14ac:dyDescent="0.2">
      <c r="A213" t="s">
        <v>7</v>
      </c>
      <c r="C213" s="64" t="s">
        <v>2022</v>
      </c>
      <c r="D213" s="363" t="s">
        <v>2240</v>
      </c>
      <c r="E213" s="64" t="s">
        <v>405</v>
      </c>
      <c r="F213" s="64">
        <v>1.98</v>
      </c>
      <c r="G213" s="64" t="s">
        <v>1840</v>
      </c>
      <c r="H213" s="64" t="s">
        <v>2241</v>
      </c>
      <c r="I213" s="64"/>
      <c r="J213" s="64"/>
      <c r="L213" s="65">
        <v>51.88</v>
      </c>
      <c r="M213" s="65">
        <f>Table13[[#This Row],[Price]]/Table13[[#This Row],[Area (ft2)]]</f>
        <v>26.202020202020204</v>
      </c>
      <c r="N213" s="65"/>
      <c r="P213" s="39"/>
      <c r="S213" s="39"/>
      <c r="U213">
        <v>2023</v>
      </c>
      <c r="W213" t="s">
        <v>99</v>
      </c>
      <c r="X213" s="64" t="s">
        <v>2242</v>
      </c>
      <c r="Y213" t="s">
        <v>3414</v>
      </c>
    </row>
    <row r="214" spans="1:25" x14ac:dyDescent="0.2">
      <c r="A214" t="s">
        <v>7</v>
      </c>
      <c r="C214" s="64"/>
      <c r="D214" s="363">
        <v>100030147</v>
      </c>
      <c r="E214" s="64" t="s">
        <v>405</v>
      </c>
      <c r="F214" s="64">
        <v>32.200000000000003</v>
      </c>
      <c r="G214" s="64" t="s">
        <v>1841</v>
      </c>
      <c r="H214" s="64" t="s">
        <v>1841</v>
      </c>
      <c r="I214" s="64"/>
      <c r="J214" s="64"/>
      <c r="L214" s="65">
        <v>126.5</v>
      </c>
      <c r="M214" s="65">
        <f>Table13[[#This Row],[Price]]/Table13[[#This Row],[Area (ft2)]]</f>
        <v>3.9285714285714284</v>
      </c>
      <c r="N214" s="65"/>
      <c r="P214" s="39"/>
      <c r="S214" s="39"/>
      <c r="U214">
        <v>2023</v>
      </c>
      <c r="W214" t="s">
        <v>99</v>
      </c>
      <c r="X214" s="64" t="s">
        <v>2243</v>
      </c>
      <c r="Y214" t="s">
        <v>3414</v>
      </c>
    </row>
    <row r="215" spans="1:25" x14ac:dyDescent="0.2">
      <c r="A215" t="s">
        <v>7</v>
      </c>
      <c r="C215" s="64" t="s">
        <v>2208</v>
      </c>
      <c r="D215" s="363" t="s">
        <v>2244</v>
      </c>
      <c r="E215" s="64" t="s">
        <v>405</v>
      </c>
      <c r="F215" s="64">
        <v>7.5</v>
      </c>
      <c r="G215" s="64" t="s">
        <v>1837</v>
      </c>
      <c r="H215" s="64" t="s">
        <v>2245</v>
      </c>
      <c r="I215" s="64"/>
      <c r="J215" s="64"/>
      <c r="L215" s="65">
        <v>353.04</v>
      </c>
      <c r="M215" s="65">
        <f>Table13[[#This Row],[Price]]/Table13[[#This Row],[Area (ft2)]]</f>
        <v>47.072000000000003</v>
      </c>
      <c r="N215" s="65"/>
      <c r="P215" s="39"/>
      <c r="S215" s="39"/>
      <c r="U215">
        <v>2023</v>
      </c>
      <c r="W215" t="s">
        <v>99</v>
      </c>
      <c r="X215" s="64" t="s">
        <v>2246</v>
      </c>
      <c r="Y215" t="s">
        <v>3405</v>
      </c>
    </row>
    <row r="216" spans="1:25" x14ac:dyDescent="0.2">
      <c r="A216" t="s">
        <v>7</v>
      </c>
      <c r="C216" s="64"/>
      <c r="D216" s="363">
        <v>100030062</v>
      </c>
      <c r="E216" s="64" t="s">
        <v>405</v>
      </c>
      <c r="F216" s="64">
        <v>32</v>
      </c>
      <c r="G216" s="64" t="s">
        <v>1839</v>
      </c>
      <c r="H216" s="64" t="s">
        <v>2201</v>
      </c>
      <c r="I216" s="64"/>
      <c r="J216" s="64"/>
      <c r="L216" s="65">
        <v>124.27</v>
      </c>
      <c r="M216" s="65">
        <f>Table13[[#This Row],[Price]]/Table13[[#This Row],[Area (ft2)]]</f>
        <v>3.8834374999999999</v>
      </c>
      <c r="N216" s="65"/>
      <c r="P216" s="39"/>
      <c r="S216" s="39"/>
      <c r="U216">
        <v>2023</v>
      </c>
      <c r="W216" t="s">
        <v>99</v>
      </c>
      <c r="X216" s="64" t="s">
        <v>2247</v>
      </c>
      <c r="Y216" t="s">
        <v>3414</v>
      </c>
    </row>
    <row r="217" spans="1:25" x14ac:dyDescent="0.2">
      <c r="A217" t="s">
        <v>7</v>
      </c>
      <c r="C217" s="64"/>
      <c r="D217" s="363">
        <v>100440203</v>
      </c>
      <c r="E217" s="64" t="s">
        <v>405</v>
      </c>
      <c r="F217" s="64">
        <v>46</v>
      </c>
      <c r="G217" s="64" t="s">
        <v>1838</v>
      </c>
      <c r="H217" s="64" t="s">
        <v>2134</v>
      </c>
      <c r="I217" s="64"/>
      <c r="J217" s="64"/>
      <c r="L217" s="65">
        <v>345.54</v>
      </c>
      <c r="M217" s="65">
        <f>Table13[[#This Row],[Price]]/Table13[[#This Row],[Area (ft2)]]</f>
        <v>7.5117391304347834</v>
      </c>
      <c r="N217" s="65"/>
      <c r="P217" s="39"/>
      <c r="S217" s="39"/>
      <c r="U217">
        <v>2023</v>
      </c>
      <c r="W217" t="s">
        <v>99</v>
      </c>
      <c r="X217" s="64" t="s">
        <v>2248</v>
      </c>
      <c r="Y217" t="s">
        <v>3414</v>
      </c>
    </row>
    <row r="218" spans="1:25" x14ac:dyDescent="0.2">
      <c r="A218" t="s">
        <v>7</v>
      </c>
      <c r="C218" s="64"/>
      <c r="D218" s="363">
        <v>100060086</v>
      </c>
      <c r="E218" s="64" t="s">
        <v>405</v>
      </c>
      <c r="F218" s="64">
        <v>50</v>
      </c>
      <c r="G218" s="64" t="s">
        <v>1841</v>
      </c>
      <c r="H218" s="64" t="s">
        <v>1841</v>
      </c>
      <c r="I218" s="64"/>
      <c r="J218" s="64"/>
      <c r="L218" s="65">
        <v>205.05</v>
      </c>
      <c r="M218" s="65">
        <f>Table13[[#This Row],[Price]]/Table13[[#This Row],[Area (ft2)]]</f>
        <v>4.101</v>
      </c>
      <c r="N218" s="65"/>
      <c r="P218" s="39"/>
      <c r="S218" s="39"/>
      <c r="U218">
        <v>2023</v>
      </c>
      <c r="W218" t="s">
        <v>99</v>
      </c>
      <c r="X218" s="64" t="s">
        <v>2249</v>
      </c>
      <c r="Y218" t="s">
        <v>3414</v>
      </c>
    </row>
    <row r="219" spans="1:25" x14ac:dyDescent="0.2">
      <c r="A219" t="s">
        <v>7</v>
      </c>
      <c r="C219" s="64"/>
      <c r="D219" s="363">
        <v>100440200</v>
      </c>
      <c r="E219" s="64" t="s">
        <v>405</v>
      </c>
      <c r="F219" s="64">
        <v>46</v>
      </c>
      <c r="G219" s="64" t="s">
        <v>1835</v>
      </c>
      <c r="H219" s="64" t="s">
        <v>1835</v>
      </c>
      <c r="I219" s="64"/>
      <c r="J219" s="64"/>
      <c r="L219" s="65">
        <v>366.95</v>
      </c>
      <c r="M219" s="65">
        <f>Table13[[#This Row],[Price]]/Table13[[#This Row],[Area (ft2)]]</f>
        <v>7.9771739130434778</v>
      </c>
      <c r="N219" s="65"/>
      <c r="P219" s="39"/>
      <c r="S219" s="39"/>
      <c r="U219">
        <v>2023</v>
      </c>
      <c r="W219" t="s">
        <v>99</v>
      </c>
      <c r="X219" s="64" t="s">
        <v>2250</v>
      </c>
      <c r="Y219" t="s">
        <v>3414</v>
      </c>
    </row>
    <row r="220" spans="1:25" x14ac:dyDescent="0.2">
      <c r="A220" t="s">
        <v>7</v>
      </c>
      <c r="C220" s="64" t="s">
        <v>2022</v>
      </c>
      <c r="D220" s="363" t="s">
        <v>2251</v>
      </c>
      <c r="E220" s="64" t="s">
        <v>405</v>
      </c>
      <c r="F220" s="64">
        <v>38</v>
      </c>
      <c r="G220" s="64" t="s">
        <v>1841</v>
      </c>
      <c r="H220" s="64" t="s">
        <v>2252</v>
      </c>
      <c r="I220" s="64"/>
      <c r="J220" s="64"/>
      <c r="L220" s="65">
        <v>54.87</v>
      </c>
      <c r="M220" s="65">
        <f>Table13[[#This Row],[Price]]/Table13[[#This Row],[Area (ft2)]]</f>
        <v>1.4439473684210526</v>
      </c>
      <c r="N220" s="65"/>
      <c r="P220" s="39"/>
      <c r="S220" s="39"/>
      <c r="U220">
        <v>2023</v>
      </c>
      <c r="W220" t="s">
        <v>99</v>
      </c>
      <c r="X220" s="64" t="s">
        <v>2253</v>
      </c>
      <c r="Y220" t="s">
        <v>3414</v>
      </c>
    </row>
    <row r="221" spans="1:25" x14ac:dyDescent="0.2">
      <c r="A221" t="s">
        <v>7</v>
      </c>
      <c r="C221" s="64" t="s">
        <v>2022</v>
      </c>
      <c r="D221" s="363" t="s">
        <v>2254</v>
      </c>
      <c r="E221" s="64" t="s">
        <v>405</v>
      </c>
      <c r="F221" s="64">
        <v>3.2</v>
      </c>
      <c r="G221" s="64" t="s">
        <v>1837</v>
      </c>
      <c r="H221" s="64" t="s">
        <v>2024</v>
      </c>
      <c r="I221" s="64"/>
      <c r="J221" s="64"/>
      <c r="L221" s="65">
        <v>53.34</v>
      </c>
      <c r="M221" s="65">
        <f>Table13[[#This Row],[Price]]/Table13[[#This Row],[Area (ft2)]]</f>
        <v>16.668749999999999</v>
      </c>
      <c r="N221" s="65"/>
      <c r="P221" s="39"/>
      <c r="S221" s="39"/>
      <c r="U221">
        <v>2023</v>
      </c>
      <c r="W221" t="s">
        <v>99</v>
      </c>
      <c r="X221" s="64" t="s">
        <v>2255</v>
      </c>
      <c r="Y221" t="s">
        <v>3414</v>
      </c>
    </row>
    <row r="222" spans="1:25" x14ac:dyDescent="0.2">
      <c r="A222" t="s">
        <v>7</v>
      </c>
      <c r="C222" s="64" t="s">
        <v>2022</v>
      </c>
      <c r="D222" s="363" t="s">
        <v>2256</v>
      </c>
      <c r="E222" s="64" t="s">
        <v>405</v>
      </c>
      <c r="F222" s="64">
        <v>3.2</v>
      </c>
      <c r="G222" s="64" t="s">
        <v>1841</v>
      </c>
      <c r="H222" s="64" t="s">
        <v>2252</v>
      </c>
      <c r="I222" s="64"/>
      <c r="J222" s="64"/>
      <c r="L222" s="65">
        <v>56.44</v>
      </c>
      <c r="M222" s="65">
        <f>Table13[[#This Row],[Price]]/Table13[[#This Row],[Area (ft2)]]</f>
        <v>17.637499999999999</v>
      </c>
      <c r="N222" s="65"/>
      <c r="P222" s="39"/>
      <c r="S222" s="39"/>
      <c r="U222">
        <v>2023</v>
      </c>
      <c r="W222" t="s">
        <v>99</v>
      </c>
      <c r="X222" s="64" t="s">
        <v>2257</v>
      </c>
      <c r="Y222" t="s">
        <v>3414</v>
      </c>
    </row>
    <row r="223" spans="1:25" x14ac:dyDescent="0.2">
      <c r="A223" t="s">
        <v>7</v>
      </c>
      <c r="C223" s="64" t="s">
        <v>2022</v>
      </c>
      <c r="D223" s="363" t="s">
        <v>2258</v>
      </c>
      <c r="E223" s="64" t="s">
        <v>405</v>
      </c>
      <c r="F223" s="64">
        <v>3.61</v>
      </c>
      <c r="G223" s="64" t="s">
        <v>1840</v>
      </c>
      <c r="H223" s="64" t="s">
        <v>2241</v>
      </c>
      <c r="I223" s="64"/>
      <c r="J223" s="64"/>
      <c r="L223" s="65">
        <v>50.99</v>
      </c>
      <c r="M223" s="65">
        <f>Table13[[#This Row],[Price]]/Table13[[#This Row],[Area (ft2)]]</f>
        <v>14.124653739612189</v>
      </c>
      <c r="N223" s="65"/>
      <c r="P223" s="39"/>
      <c r="S223" s="39"/>
      <c r="U223">
        <v>2023</v>
      </c>
      <c r="W223" t="s">
        <v>99</v>
      </c>
      <c r="X223" s="64" t="s">
        <v>2259</v>
      </c>
      <c r="Y223" t="s">
        <v>3414</v>
      </c>
    </row>
    <row r="224" spans="1:25" x14ac:dyDescent="0.2">
      <c r="A224" t="s">
        <v>7</v>
      </c>
      <c r="C224" s="64" t="s">
        <v>2022</v>
      </c>
      <c r="D224" s="363" t="s">
        <v>2260</v>
      </c>
      <c r="E224" s="64" t="s">
        <v>405</v>
      </c>
      <c r="F224" s="64">
        <v>1.98</v>
      </c>
      <c r="G224" s="64" t="s">
        <v>1840</v>
      </c>
      <c r="H224" s="64" t="s">
        <v>2214</v>
      </c>
      <c r="I224" s="64"/>
      <c r="J224" s="64"/>
      <c r="L224" s="65">
        <v>29.74</v>
      </c>
      <c r="M224" s="65">
        <f>Table13[[#This Row],[Price]]/Table13[[#This Row],[Area (ft2)]]</f>
        <v>15.020202020202019</v>
      </c>
      <c r="N224" s="65"/>
      <c r="P224" s="39"/>
      <c r="S224" s="39"/>
      <c r="U224">
        <v>2023</v>
      </c>
      <c r="W224" t="s">
        <v>99</v>
      </c>
      <c r="X224" s="64" t="s">
        <v>2261</v>
      </c>
      <c r="Y224" t="s">
        <v>3414</v>
      </c>
    </row>
    <row r="225" spans="1:25" x14ac:dyDescent="0.2">
      <c r="A225" t="s">
        <v>7</v>
      </c>
      <c r="C225" s="64" t="s">
        <v>2263</v>
      </c>
      <c r="D225" s="363">
        <v>8272548</v>
      </c>
      <c r="E225" s="64" t="s">
        <v>2264</v>
      </c>
      <c r="F225" s="64">
        <v>4</v>
      </c>
      <c r="G225" s="64" t="s">
        <v>1835</v>
      </c>
      <c r="H225" s="64" t="s">
        <v>1835</v>
      </c>
      <c r="I225" s="64" t="s">
        <v>1871</v>
      </c>
      <c r="J225" s="64"/>
      <c r="L225" s="65">
        <v>281.76</v>
      </c>
      <c r="M225" s="65">
        <f>Table13[[#This Row],[Price]]/Table13[[#This Row],[Area (ft2)]]</f>
        <v>70.44</v>
      </c>
      <c r="N225" s="65"/>
      <c r="P225" s="39"/>
      <c r="S225" s="39"/>
      <c r="U225">
        <v>2023</v>
      </c>
      <c r="W225" t="s">
        <v>99</v>
      </c>
      <c r="X225" s="64" t="s">
        <v>2265</v>
      </c>
      <c r="Y225" t="s">
        <v>3414</v>
      </c>
    </row>
    <row r="226" spans="1:25" x14ac:dyDescent="0.2">
      <c r="A226" t="s">
        <v>7</v>
      </c>
      <c r="C226" s="64" t="s">
        <v>2266</v>
      </c>
      <c r="D226" s="363" t="s">
        <v>2267</v>
      </c>
      <c r="E226" s="64" t="s">
        <v>2268</v>
      </c>
      <c r="F226" s="64">
        <v>12.84</v>
      </c>
      <c r="G226" s="64" t="s">
        <v>1835</v>
      </c>
      <c r="H226" s="64" t="s">
        <v>2269</v>
      </c>
      <c r="I226" s="64"/>
      <c r="J226" s="64"/>
      <c r="L226" s="65">
        <v>140.5</v>
      </c>
      <c r="M226" s="65">
        <f>Table13[[#This Row],[Price]]/Table13[[#This Row],[Area (ft2)]]</f>
        <v>10.942367601246106</v>
      </c>
      <c r="N226" s="65"/>
      <c r="P226" s="39"/>
      <c r="S226" s="39"/>
      <c r="U226">
        <v>2023</v>
      </c>
      <c r="W226" t="s">
        <v>99</v>
      </c>
      <c r="X226" s="64" t="s">
        <v>2270</v>
      </c>
      <c r="Y226" t="s">
        <v>3414</v>
      </c>
    </row>
    <row r="227" spans="1:25" x14ac:dyDescent="0.2">
      <c r="A227" t="s">
        <v>7</v>
      </c>
      <c r="C227" s="64" t="s">
        <v>2032</v>
      </c>
      <c r="D227" s="363">
        <v>100540010</v>
      </c>
      <c r="E227" s="64" t="s">
        <v>917</v>
      </c>
      <c r="F227" s="64">
        <v>25</v>
      </c>
      <c r="G227" s="64" t="s">
        <v>1839</v>
      </c>
      <c r="H227" s="64" t="s">
        <v>2271</v>
      </c>
      <c r="I227" s="64" t="s">
        <v>1871</v>
      </c>
      <c r="J227" s="64"/>
      <c r="L227" s="65">
        <v>148</v>
      </c>
      <c r="M227" s="65">
        <f>Table13[[#This Row],[Price]]/Table13[[#This Row],[Area (ft2)]]</f>
        <v>5.92</v>
      </c>
      <c r="N227" s="65"/>
      <c r="P227" s="39"/>
      <c r="S227" s="39"/>
      <c r="U227">
        <v>2023</v>
      </c>
      <c r="W227" t="s">
        <v>99</v>
      </c>
      <c r="X227" s="64" t="s">
        <v>2272</v>
      </c>
      <c r="Y227" t="s">
        <v>3414</v>
      </c>
    </row>
    <row r="228" spans="1:25" x14ac:dyDescent="0.2">
      <c r="A228" t="s">
        <v>7</v>
      </c>
      <c r="C228" s="64" t="s">
        <v>2032</v>
      </c>
      <c r="D228" s="363">
        <v>100140006</v>
      </c>
      <c r="E228" s="64" t="s">
        <v>917</v>
      </c>
      <c r="F228" s="64">
        <v>49.32</v>
      </c>
      <c r="G228" s="64" t="s">
        <v>1837</v>
      </c>
      <c r="H228" s="64" t="s">
        <v>1837</v>
      </c>
      <c r="I228" s="64" t="s">
        <v>1871</v>
      </c>
      <c r="J228" s="64"/>
      <c r="L228" s="65">
        <v>169.35</v>
      </c>
      <c r="M228" s="65">
        <f>Table13[[#This Row],[Price]]/Table13[[#This Row],[Area (ft2)]]</f>
        <v>3.4336982968369827</v>
      </c>
      <c r="N228" s="65"/>
      <c r="P228" s="39"/>
      <c r="S228" s="39"/>
      <c r="U228">
        <v>2023</v>
      </c>
      <c r="W228" t="s">
        <v>99</v>
      </c>
      <c r="X228" s="64" t="s">
        <v>2273</v>
      </c>
      <c r="Y228" t="s">
        <v>3414</v>
      </c>
    </row>
    <row r="229" spans="1:25" x14ac:dyDescent="0.2">
      <c r="A229" t="s">
        <v>7</v>
      </c>
      <c r="C229" s="64" t="s">
        <v>2032</v>
      </c>
      <c r="D229" s="363">
        <v>100060088</v>
      </c>
      <c r="E229" s="64" t="s">
        <v>917</v>
      </c>
      <c r="F229" s="64">
        <v>48.84</v>
      </c>
      <c r="G229" s="64" t="s">
        <v>1841</v>
      </c>
      <c r="H229" s="64" t="s">
        <v>1841</v>
      </c>
      <c r="I229" s="64" t="s">
        <v>1871</v>
      </c>
      <c r="J229" s="64"/>
      <c r="L229" s="65">
        <v>197.14</v>
      </c>
      <c r="M229" s="65">
        <f>Table13[[#This Row],[Price]]/Table13[[#This Row],[Area (ft2)]]</f>
        <v>4.0364455364455356</v>
      </c>
      <c r="N229" s="65"/>
      <c r="P229" s="39"/>
      <c r="S229" s="39"/>
      <c r="U229">
        <v>2023</v>
      </c>
      <c r="W229" t="s">
        <v>99</v>
      </c>
      <c r="X229" s="64" t="s">
        <v>2274</v>
      </c>
      <c r="Y229" t="s">
        <v>3414</v>
      </c>
    </row>
    <row r="230" spans="1:25" x14ac:dyDescent="0.2">
      <c r="A230" t="s">
        <v>7</v>
      </c>
      <c r="C230" s="64" t="s">
        <v>2063</v>
      </c>
      <c r="D230" s="363" t="s">
        <v>2275</v>
      </c>
      <c r="E230" s="64" t="s">
        <v>917</v>
      </c>
      <c r="F230" s="64">
        <v>15.4</v>
      </c>
      <c r="G230" s="64" t="s">
        <v>1837</v>
      </c>
      <c r="H230" s="64" t="s">
        <v>2276</v>
      </c>
      <c r="I230" s="64" t="s">
        <v>1871</v>
      </c>
      <c r="J230" s="64"/>
      <c r="L230" s="65">
        <v>209.12</v>
      </c>
      <c r="M230" s="65">
        <f>Table13[[#This Row],[Price]]/Table13[[#This Row],[Area (ft2)]]</f>
        <v>13.57922077922078</v>
      </c>
      <c r="N230" s="65"/>
      <c r="P230" s="39"/>
      <c r="S230" s="39"/>
      <c r="U230">
        <v>2023</v>
      </c>
      <c r="W230" t="s">
        <v>99</v>
      </c>
      <c r="X230" s="64" t="s">
        <v>2277</v>
      </c>
      <c r="Y230" t="s">
        <v>3414</v>
      </c>
    </row>
    <row r="231" spans="1:25" x14ac:dyDescent="0.2">
      <c r="A231" t="s">
        <v>7</v>
      </c>
      <c r="C231" s="64" t="s">
        <v>2063</v>
      </c>
      <c r="D231" s="363" t="s">
        <v>2278</v>
      </c>
      <c r="E231" s="64" t="s">
        <v>917</v>
      </c>
      <c r="F231" s="64">
        <v>15.4</v>
      </c>
      <c r="G231" s="64" t="s">
        <v>1837</v>
      </c>
      <c r="H231" s="64" t="s">
        <v>2279</v>
      </c>
      <c r="I231" s="64" t="s">
        <v>1871</v>
      </c>
      <c r="J231" s="64"/>
      <c r="L231" s="65">
        <v>230</v>
      </c>
      <c r="M231" s="65">
        <f>Table13[[#This Row],[Price]]/Table13[[#This Row],[Area (ft2)]]</f>
        <v>14.935064935064934</v>
      </c>
      <c r="N231" s="65"/>
      <c r="P231" s="39"/>
      <c r="S231" s="39"/>
      <c r="U231">
        <v>2023</v>
      </c>
      <c r="W231" t="s">
        <v>99</v>
      </c>
      <c r="X231" s="64" t="s">
        <v>2280</v>
      </c>
      <c r="Y231" t="s">
        <v>3414</v>
      </c>
    </row>
    <row r="232" spans="1:25" x14ac:dyDescent="0.2">
      <c r="A232" t="s">
        <v>7</v>
      </c>
      <c r="C232" s="64" t="s">
        <v>2063</v>
      </c>
      <c r="D232" s="363" t="s">
        <v>2281</v>
      </c>
      <c r="E232" s="64" t="s">
        <v>917</v>
      </c>
      <c r="F232" s="64">
        <v>15.4</v>
      </c>
      <c r="G232" s="64" t="s">
        <v>1837</v>
      </c>
      <c r="H232" s="64" t="s">
        <v>2282</v>
      </c>
      <c r="I232" s="64" t="s">
        <v>1871</v>
      </c>
      <c r="J232" s="64"/>
      <c r="L232" s="65">
        <v>210</v>
      </c>
      <c r="M232" s="65">
        <f>Table13[[#This Row],[Price]]/Table13[[#This Row],[Area (ft2)]]</f>
        <v>13.636363636363637</v>
      </c>
      <c r="N232" s="65"/>
      <c r="P232" s="39"/>
      <c r="S232" s="39"/>
      <c r="U232">
        <v>2023</v>
      </c>
      <c r="W232" t="s">
        <v>99</v>
      </c>
      <c r="X232" s="64" t="s">
        <v>2283</v>
      </c>
      <c r="Y232" t="s">
        <v>3414</v>
      </c>
    </row>
    <row r="233" spans="1:25" x14ac:dyDescent="0.2">
      <c r="A233" t="s">
        <v>7</v>
      </c>
      <c r="C233" s="64" t="s">
        <v>2063</v>
      </c>
      <c r="D233" s="363" t="s">
        <v>2284</v>
      </c>
      <c r="E233" s="64" t="s">
        <v>917</v>
      </c>
      <c r="F233" s="64">
        <v>15.4</v>
      </c>
      <c r="G233" s="64" t="s">
        <v>1838</v>
      </c>
      <c r="H233" s="64" t="s">
        <v>1838</v>
      </c>
      <c r="I233" s="64" t="s">
        <v>1871</v>
      </c>
      <c r="J233" s="64"/>
      <c r="L233" s="65">
        <v>210</v>
      </c>
      <c r="M233" s="65">
        <f>Table13[[#This Row],[Price]]/Table13[[#This Row],[Area (ft2)]]</f>
        <v>13.636363636363637</v>
      </c>
      <c r="N233" s="65"/>
      <c r="P233" s="39"/>
      <c r="S233" s="39"/>
      <c r="U233">
        <v>2023</v>
      </c>
      <c r="W233" t="s">
        <v>99</v>
      </c>
      <c r="X233" s="64" t="s">
        <v>2285</v>
      </c>
      <c r="Y233" t="s">
        <v>3414</v>
      </c>
    </row>
    <row r="234" spans="1:25" x14ac:dyDescent="0.2">
      <c r="A234" t="s">
        <v>7</v>
      </c>
      <c r="C234" s="64" t="s">
        <v>2032</v>
      </c>
      <c r="D234" s="363">
        <v>100070009</v>
      </c>
      <c r="E234" s="64" t="s">
        <v>917</v>
      </c>
      <c r="F234" s="64">
        <v>49.36</v>
      </c>
      <c r="G234" s="64" t="s">
        <v>1837</v>
      </c>
      <c r="H234" s="64" t="s">
        <v>1837</v>
      </c>
      <c r="I234" s="64" t="s">
        <v>1871</v>
      </c>
      <c r="J234" s="64"/>
      <c r="L234" s="65">
        <v>208</v>
      </c>
      <c r="M234" s="65">
        <f>Table13[[#This Row],[Price]]/Table13[[#This Row],[Area (ft2)]]</f>
        <v>4.2139384116693677</v>
      </c>
      <c r="N234" s="65"/>
      <c r="P234" s="39"/>
      <c r="S234" s="39"/>
      <c r="U234">
        <v>2023</v>
      </c>
      <c r="W234" t="s">
        <v>99</v>
      </c>
      <c r="X234" s="64" t="s">
        <v>2286</v>
      </c>
      <c r="Y234" t="s">
        <v>3414</v>
      </c>
    </row>
    <row r="235" spans="1:25" x14ac:dyDescent="0.2">
      <c r="A235" t="s">
        <v>7</v>
      </c>
      <c r="C235" s="64" t="s">
        <v>2063</v>
      </c>
      <c r="D235" s="363" t="s">
        <v>2287</v>
      </c>
      <c r="E235" s="64" t="s">
        <v>917</v>
      </c>
      <c r="F235" s="64">
        <v>15.4</v>
      </c>
      <c r="G235" s="64" t="s">
        <v>1837</v>
      </c>
      <c r="H235" s="64" t="s">
        <v>2276</v>
      </c>
      <c r="I235" s="64" t="s">
        <v>1871</v>
      </c>
      <c r="J235" s="64"/>
      <c r="L235" s="65">
        <v>207</v>
      </c>
      <c r="M235" s="65">
        <f>Table13[[#This Row],[Price]]/Table13[[#This Row],[Area (ft2)]]</f>
        <v>13.441558441558442</v>
      </c>
      <c r="N235" s="65"/>
      <c r="P235" s="39"/>
      <c r="S235" s="39"/>
      <c r="U235">
        <v>2023</v>
      </c>
      <c r="W235" t="s">
        <v>99</v>
      </c>
      <c r="X235" s="64" t="s">
        <v>2288</v>
      </c>
      <c r="Y235" t="s">
        <v>3414</v>
      </c>
    </row>
    <row r="236" spans="1:25" x14ac:dyDescent="0.2">
      <c r="A236" t="s">
        <v>7</v>
      </c>
      <c r="C236" s="64" t="s">
        <v>2063</v>
      </c>
      <c r="D236" s="363" t="s">
        <v>2289</v>
      </c>
      <c r="E236" s="64" t="s">
        <v>917</v>
      </c>
      <c r="F236" s="64">
        <v>19.600000000000001</v>
      </c>
      <c r="G236" s="64" t="s">
        <v>1837</v>
      </c>
      <c r="H236" s="64" t="s">
        <v>2290</v>
      </c>
      <c r="I236" s="64" t="s">
        <v>1871</v>
      </c>
      <c r="J236" s="64"/>
      <c r="L236" s="65">
        <v>140.99</v>
      </c>
      <c r="M236" s="65">
        <f>Table13[[#This Row],[Price]]/Table13[[#This Row],[Area (ft2)]]</f>
        <v>7.1933673469387758</v>
      </c>
      <c r="N236" s="65"/>
      <c r="P236" s="39"/>
      <c r="S236" s="39"/>
      <c r="U236">
        <v>2023</v>
      </c>
      <c r="W236" t="s">
        <v>99</v>
      </c>
      <c r="X236" s="64" t="s">
        <v>2291</v>
      </c>
      <c r="Y236" t="s">
        <v>3414</v>
      </c>
    </row>
    <row r="237" spans="1:25" x14ac:dyDescent="0.2">
      <c r="A237" t="s">
        <v>7</v>
      </c>
      <c r="C237" s="64" t="s">
        <v>2063</v>
      </c>
      <c r="D237" s="363" t="s">
        <v>2292</v>
      </c>
      <c r="E237" s="64" t="s">
        <v>917</v>
      </c>
      <c r="F237" s="64">
        <v>19.600000000000001</v>
      </c>
      <c r="G237" s="64" t="s">
        <v>1837</v>
      </c>
      <c r="H237" s="64" t="s">
        <v>2293</v>
      </c>
      <c r="I237" s="64" t="s">
        <v>1871</v>
      </c>
      <c r="J237" s="64"/>
      <c r="L237" s="65">
        <v>140.99</v>
      </c>
      <c r="M237" s="65">
        <f>Table13[[#This Row],[Price]]/Table13[[#This Row],[Area (ft2)]]</f>
        <v>7.1933673469387758</v>
      </c>
      <c r="N237" s="65"/>
      <c r="P237" s="39"/>
      <c r="S237" s="39"/>
      <c r="U237">
        <v>2023</v>
      </c>
      <c r="W237" t="s">
        <v>99</v>
      </c>
      <c r="X237" s="64" t="s">
        <v>2294</v>
      </c>
      <c r="Y237" t="s">
        <v>3414</v>
      </c>
    </row>
    <row r="238" spans="1:25" x14ac:dyDescent="0.2">
      <c r="A238" t="s">
        <v>7</v>
      </c>
      <c r="C238" s="64" t="s">
        <v>2032</v>
      </c>
      <c r="D238" s="363">
        <v>100070007</v>
      </c>
      <c r="E238" s="64" t="s">
        <v>917</v>
      </c>
      <c r="F238" s="64">
        <v>49.36</v>
      </c>
      <c r="G238" s="64" t="s">
        <v>1837</v>
      </c>
      <c r="H238" s="64" t="s">
        <v>1837</v>
      </c>
      <c r="I238" s="64" t="s">
        <v>1871</v>
      </c>
      <c r="J238" s="64"/>
      <c r="L238" s="65">
        <v>224</v>
      </c>
      <c r="M238" s="65">
        <f>Table13[[#This Row],[Price]]/Table13[[#This Row],[Area (ft2)]]</f>
        <v>4.5380875202593192</v>
      </c>
      <c r="N238" s="65"/>
      <c r="P238" s="39"/>
      <c r="S238" s="39"/>
      <c r="U238">
        <v>2023</v>
      </c>
      <c r="W238" t="s">
        <v>99</v>
      </c>
      <c r="X238" s="64" t="s">
        <v>2295</v>
      </c>
      <c r="Y238" t="s">
        <v>3414</v>
      </c>
    </row>
    <row r="239" spans="1:25" x14ac:dyDescent="0.2">
      <c r="A239" t="s">
        <v>7</v>
      </c>
      <c r="C239" s="64" t="s">
        <v>2063</v>
      </c>
      <c r="D239" s="363" t="s">
        <v>2296</v>
      </c>
      <c r="E239" s="64" t="s">
        <v>917</v>
      </c>
      <c r="F239" s="64">
        <v>18.600000000000001</v>
      </c>
      <c r="G239" s="64" t="s">
        <v>1838</v>
      </c>
      <c r="H239" s="64" t="s">
        <v>2297</v>
      </c>
      <c r="I239" s="64" t="s">
        <v>1871</v>
      </c>
      <c r="J239" s="64"/>
      <c r="L239" s="65">
        <v>209</v>
      </c>
      <c r="M239" s="65">
        <f>Table13[[#This Row],[Price]]/Table13[[#This Row],[Area (ft2)]]</f>
        <v>11.236559139784946</v>
      </c>
      <c r="N239" s="65"/>
      <c r="P239" s="39"/>
      <c r="S239" s="39"/>
      <c r="U239">
        <v>2023</v>
      </c>
      <c r="W239" t="s">
        <v>99</v>
      </c>
      <c r="X239" s="64" t="s">
        <v>2298</v>
      </c>
      <c r="Y239" t="s">
        <v>3414</v>
      </c>
    </row>
    <row r="240" spans="1:25" x14ac:dyDescent="0.2">
      <c r="A240" t="s">
        <v>7</v>
      </c>
      <c r="C240" s="64" t="s">
        <v>2063</v>
      </c>
      <c r="D240" s="363" t="s">
        <v>2299</v>
      </c>
      <c r="E240" s="64" t="s">
        <v>917</v>
      </c>
      <c r="F240" s="64">
        <v>15.4</v>
      </c>
      <c r="G240" s="64" t="s">
        <v>1837</v>
      </c>
      <c r="H240" s="64" t="s">
        <v>2300</v>
      </c>
      <c r="I240" s="64" t="s">
        <v>1871</v>
      </c>
      <c r="J240" s="64"/>
      <c r="L240" s="65">
        <v>210</v>
      </c>
      <c r="M240" s="65">
        <f>Table13[[#This Row],[Price]]/Table13[[#This Row],[Area (ft2)]]</f>
        <v>13.636363636363637</v>
      </c>
      <c r="N240" s="65"/>
      <c r="P240" s="39"/>
      <c r="S240" s="39"/>
      <c r="U240">
        <v>2023</v>
      </c>
      <c r="W240" t="s">
        <v>99</v>
      </c>
      <c r="X240" s="64" t="s">
        <v>2301</v>
      </c>
      <c r="Y240" t="s">
        <v>3414</v>
      </c>
    </row>
    <row r="241" spans="1:25" x14ac:dyDescent="0.2">
      <c r="A241" t="s">
        <v>7</v>
      </c>
      <c r="C241" s="64" t="s">
        <v>2063</v>
      </c>
      <c r="D241" s="363" t="s">
        <v>2302</v>
      </c>
      <c r="E241" s="64" t="s">
        <v>917</v>
      </c>
      <c r="F241" s="64">
        <v>19.600000000000001</v>
      </c>
      <c r="G241" s="64" t="s">
        <v>1841</v>
      </c>
      <c r="H241" s="64" t="s">
        <v>2303</v>
      </c>
      <c r="I241" s="64" t="s">
        <v>1871</v>
      </c>
      <c r="J241" s="64"/>
      <c r="L241" s="65">
        <v>140.99</v>
      </c>
      <c r="M241" s="65">
        <f>Table13[[#This Row],[Price]]/Table13[[#This Row],[Area (ft2)]]</f>
        <v>7.1933673469387758</v>
      </c>
      <c r="N241" s="65"/>
      <c r="P241" s="39"/>
      <c r="S241" s="39"/>
      <c r="U241">
        <v>2023</v>
      </c>
      <c r="W241" t="s">
        <v>99</v>
      </c>
      <c r="X241" s="64" t="s">
        <v>2304</v>
      </c>
      <c r="Y241" t="s">
        <v>3414</v>
      </c>
    </row>
    <row r="242" spans="1:25" x14ac:dyDescent="0.2">
      <c r="A242" t="s">
        <v>7</v>
      </c>
      <c r="C242" s="64" t="s">
        <v>2063</v>
      </c>
      <c r="D242" s="363" t="s">
        <v>2305</v>
      </c>
      <c r="E242" s="64" t="s">
        <v>917</v>
      </c>
      <c r="F242" s="64">
        <v>18.600000000000001</v>
      </c>
      <c r="G242" s="64" t="s">
        <v>1839</v>
      </c>
      <c r="H242" s="64" t="s">
        <v>2282</v>
      </c>
      <c r="I242" s="64" t="s">
        <v>1871</v>
      </c>
      <c r="J242" s="64"/>
      <c r="L242" s="65">
        <v>190.02</v>
      </c>
      <c r="M242" s="65">
        <f>Table13[[#This Row],[Price]]/Table13[[#This Row],[Area (ft2)]]</f>
        <v>10.216129032258065</v>
      </c>
      <c r="N242" s="65"/>
      <c r="P242" s="39"/>
      <c r="S242" s="39"/>
      <c r="U242">
        <v>2023</v>
      </c>
      <c r="W242" t="s">
        <v>99</v>
      </c>
      <c r="X242" s="64" t="s">
        <v>2306</v>
      </c>
      <c r="Y242" t="s">
        <v>3414</v>
      </c>
    </row>
    <row r="243" spans="1:25" x14ac:dyDescent="0.2">
      <c r="A243" t="s">
        <v>7</v>
      </c>
      <c r="C243" s="64" t="s">
        <v>2063</v>
      </c>
      <c r="D243" s="363" t="s">
        <v>2307</v>
      </c>
      <c r="E243" s="64" t="s">
        <v>917</v>
      </c>
      <c r="F243" s="64">
        <v>18.600000000000001</v>
      </c>
      <c r="G243" s="64" t="s">
        <v>1838</v>
      </c>
      <c r="H243" s="64" t="s">
        <v>2297</v>
      </c>
      <c r="I243" s="64" t="s">
        <v>1871</v>
      </c>
      <c r="J243" s="64"/>
      <c r="L243" s="65">
        <v>209</v>
      </c>
      <c r="M243" s="65">
        <f>Table13[[#This Row],[Price]]/Table13[[#This Row],[Area (ft2)]]</f>
        <v>11.236559139784946</v>
      </c>
      <c r="N243" s="65"/>
      <c r="P243" s="39"/>
      <c r="S243" s="39"/>
      <c r="U243">
        <v>2023</v>
      </c>
      <c r="W243" t="s">
        <v>99</v>
      </c>
      <c r="X243" s="64" t="s">
        <v>2308</v>
      </c>
      <c r="Y243" t="s">
        <v>3414</v>
      </c>
    </row>
    <row r="244" spans="1:25" x14ac:dyDescent="0.2">
      <c r="A244" t="s">
        <v>7</v>
      </c>
      <c r="C244" s="64" t="s">
        <v>2309</v>
      </c>
      <c r="D244" s="363">
        <v>2546026</v>
      </c>
      <c r="E244" s="64" t="s">
        <v>917</v>
      </c>
      <c r="F244" s="64">
        <v>100</v>
      </c>
      <c r="G244" s="64" t="s">
        <v>1837</v>
      </c>
      <c r="H244" s="64" t="s">
        <v>2135</v>
      </c>
      <c r="I244" s="64" t="s">
        <v>1871</v>
      </c>
      <c r="J244" s="64"/>
      <c r="L244" s="65">
        <v>516</v>
      </c>
      <c r="M244" s="65">
        <f>Table13[[#This Row],[Price]]/Table13[[#This Row],[Area (ft2)]]</f>
        <v>5.16</v>
      </c>
      <c r="N244" s="65"/>
      <c r="P244" s="39"/>
      <c r="S244" s="39"/>
      <c r="U244">
        <v>2023</v>
      </c>
      <c r="W244" t="s">
        <v>99</v>
      </c>
      <c r="X244" s="64" t="s">
        <v>2310</v>
      </c>
      <c r="Y244" t="s">
        <v>3416</v>
      </c>
    </row>
    <row r="245" spans="1:25" x14ac:dyDescent="0.2">
      <c r="A245" t="s">
        <v>7</v>
      </c>
      <c r="C245" s="64" t="s">
        <v>2063</v>
      </c>
      <c r="D245" s="363" t="s">
        <v>2311</v>
      </c>
      <c r="E245" s="64" t="s">
        <v>917</v>
      </c>
      <c r="F245" s="64">
        <v>16</v>
      </c>
      <c r="G245" s="64" t="s">
        <v>1837</v>
      </c>
      <c r="H245" s="64" t="s">
        <v>2312</v>
      </c>
      <c r="I245" s="64" t="s">
        <v>1871</v>
      </c>
      <c r="J245" s="64"/>
      <c r="L245" s="65">
        <v>128.19</v>
      </c>
      <c r="M245" s="65">
        <f>Table13[[#This Row],[Price]]/Table13[[#This Row],[Area (ft2)]]</f>
        <v>8.0118749999999999</v>
      </c>
      <c r="N245" s="65"/>
      <c r="P245" s="39"/>
      <c r="S245" s="39"/>
      <c r="U245">
        <v>2023</v>
      </c>
      <c r="W245" t="s">
        <v>99</v>
      </c>
      <c r="X245" s="64" t="s">
        <v>2313</v>
      </c>
      <c r="Y245" t="s">
        <v>3414</v>
      </c>
    </row>
    <row r="246" spans="1:25" x14ac:dyDescent="0.2">
      <c r="A246" t="s">
        <v>7</v>
      </c>
      <c r="C246" s="64" t="s">
        <v>2063</v>
      </c>
      <c r="D246" s="363" t="s">
        <v>2314</v>
      </c>
      <c r="E246" s="64" t="s">
        <v>917</v>
      </c>
      <c r="F246" s="64">
        <v>19.600000000000001</v>
      </c>
      <c r="G246" s="64" t="s">
        <v>1837</v>
      </c>
      <c r="H246" s="64" t="s">
        <v>2315</v>
      </c>
      <c r="I246" s="64" t="s">
        <v>1871</v>
      </c>
      <c r="J246" s="64"/>
      <c r="L246" s="65">
        <v>128.19</v>
      </c>
      <c r="M246" s="65">
        <f>Table13[[#This Row],[Price]]/Table13[[#This Row],[Area (ft2)]]</f>
        <v>6.5403061224489791</v>
      </c>
      <c r="N246" s="65"/>
      <c r="P246" s="39"/>
      <c r="S246" s="39"/>
      <c r="U246">
        <v>2023</v>
      </c>
      <c r="W246" t="s">
        <v>99</v>
      </c>
      <c r="X246" s="64" t="s">
        <v>2316</v>
      </c>
      <c r="Y246" t="s">
        <v>3414</v>
      </c>
    </row>
    <row r="247" spans="1:25" x14ac:dyDescent="0.2">
      <c r="A247" t="s">
        <v>7</v>
      </c>
      <c r="C247" s="64" t="s">
        <v>2309</v>
      </c>
      <c r="D247" s="363">
        <v>2546030</v>
      </c>
      <c r="E247" s="64" t="s">
        <v>917</v>
      </c>
      <c r="F247" s="64">
        <v>100</v>
      </c>
      <c r="G247" s="64" t="s">
        <v>1835</v>
      </c>
      <c r="H247" s="64" t="s">
        <v>1835</v>
      </c>
      <c r="I247" s="64" t="s">
        <v>1871</v>
      </c>
      <c r="J247" s="64"/>
      <c r="L247" s="65">
        <v>596.11</v>
      </c>
      <c r="M247" s="65">
        <f>Table13[[#This Row],[Price]]/Table13[[#This Row],[Area (ft2)]]</f>
        <v>5.9611000000000001</v>
      </c>
      <c r="N247" s="65"/>
      <c r="P247" s="39"/>
      <c r="S247" s="39"/>
      <c r="U247">
        <v>2023</v>
      </c>
      <c r="W247" t="s">
        <v>99</v>
      </c>
      <c r="X247" s="64" t="s">
        <v>2317</v>
      </c>
      <c r="Y247" t="s">
        <v>3416</v>
      </c>
    </row>
    <row r="248" spans="1:25" x14ac:dyDescent="0.2">
      <c r="A248" t="s">
        <v>7</v>
      </c>
      <c r="C248" s="64" t="s">
        <v>2309</v>
      </c>
      <c r="D248" s="363">
        <v>2546003</v>
      </c>
      <c r="E248" s="64" t="s">
        <v>917</v>
      </c>
      <c r="F248" s="64">
        <v>50</v>
      </c>
      <c r="G248" s="64" t="s">
        <v>1842</v>
      </c>
      <c r="H248" s="64" t="s">
        <v>1842</v>
      </c>
      <c r="I248" s="64" t="s">
        <v>1871</v>
      </c>
      <c r="J248" s="64"/>
      <c r="L248" s="65">
        <v>348</v>
      </c>
      <c r="M248" s="65">
        <f>Table13[[#This Row],[Price]]/Table13[[#This Row],[Area (ft2)]]</f>
        <v>6.96</v>
      </c>
      <c r="N248" s="65"/>
      <c r="P248" s="39"/>
      <c r="S248" s="39"/>
      <c r="U248">
        <v>2023</v>
      </c>
      <c r="W248" t="s">
        <v>99</v>
      </c>
      <c r="X248" s="64" t="s">
        <v>2318</v>
      </c>
      <c r="Y248" t="s">
        <v>3416</v>
      </c>
    </row>
    <row r="249" spans="1:25" x14ac:dyDescent="0.2">
      <c r="A249" t="s">
        <v>7</v>
      </c>
      <c r="C249" s="64" t="s">
        <v>2032</v>
      </c>
      <c r="D249" s="363">
        <v>100440201</v>
      </c>
      <c r="E249" s="64" t="s">
        <v>917</v>
      </c>
      <c r="F249" s="64">
        <v>46</v>
      </c>
      <c r="G249" s="64" t="s">
        <v>1841</v>
      </c>
      <c r="H249" s="64" t="s">
        <v>1841</v>
      </c>
      <c r="I249" s="64" t="s">
        <v>1871</v>
      </c>
      <c r="J249" s="64"/>
      <c r="L249" s="65">
        <v>308.33999999999997</v>
      </c>
      <c r="M249" s="65">
        <f>Table13[[#This Row],[Price]]/Table13[[#This Row],[Area (ft2)]]</f>
        <v>6.7030434782608692</v>
      </c>
      <c r="N249" s="65"/>
      <c r="P249" s="39"/>
      <c r="S249" s="39"/>
      <c r="U249">
        <v>2023</v>
      </c>
      <c r="W249" t="s">
        <v>99</v>
      </c>
      <c r="X249" s="64" t="s">
        <v>2319</v>
      </c>
      <c r="Y249" t="s">
        <v>3414</v>
      </c>
    </row>
    <row r="250" spans="1:25" x14ac:dyDescent="0.2">
      <c r="A250" t="s">
        <v>7</v>
      </c>
      <c r="C250" s="64" t="s">
        <v>2063</v>
      </c>
      <c r="D250" s="363" t="s">
        <v>2320</v>
      </c>
      <c r="E250" s="64" t="s">
        <v>917</v>
      </c>
      <c r="F250" s="64">
        <v>18.600000000000001</v>
      </c>
      <c r="G250" s="64" t="s">
        <v>1841</v>
      </c>
      <c r="H250" s="64" t="s">
        <v>2321</v>
      </c>
      <c r="I250" s="64" t="s">
        <v>1871</v>
      </c>
      <c r="J250" s="64"/>
      <c r="L250" s="65">
        <v>188.76</v>
      </c>
      <c r="M250" s="65">
        <f>Table13[[#This Row],[Price]]/Table13[[#This Row],[Area (ft2)]]</f>
        <v>10.148387096774192</v>
      </c>
      <c r="N250" s="65"/>
      <c r="P250" s="39"/>
      <c r="S250" s="39"/>
      <c r="U250">
        <v>2023</v>
      </c>
      <c r="W250" t="s">
        <v>99</v>
      </c>
      <c r="X250" s="64" t="s">
        <v>2322</v>
      </c>
      <c r="Y250" t="s">
        <v>3414</v>
      </c>
    </row>
    <row r="251" spans="1:25" x14ac:dyDescent="0.2">
      <c r="A251" t="s">
        <v>7</v>
      </c>
      <c r="C251" s="64" t="s">
        <v>2063</v>
      </c>
      <c r="D251" s="363" t="s">
        <v>2323</v>
      </c>
      <c r="E251" s="64" t="s">
        <v>917</v>
      </c>
      <c r="F251" s="64">
        <v>19.600000000000001</v>
      </c>
      <c r="G251" s="64" t="s">
        <v>1837</v>
      </c>
      <c r="H251" s="64" t="s">
        <v>2290</v>
      </c>
      <c r="I251" s="64" t="s">
        <v>1871</v>
      </c>
      <c r="J251" s="64"/>
      <c r="L251" s="65">
        <v>134.58000000000001</v>
      </c>
      <c r="M251" s="65">
        <f>Table13[[#This Row],[Price]]/Table13[[#This Row],[Area (ft2)]]</f>
        <v>6.8663265306122447</v>
      </c>
      <c r="N251" s="65"/>
      <c r="P251" s="39"/>
      <c r="S251" s="39"/>
      <c r="U251">
        <v>2023</v>
      </c>
      <c r="W251" t="s">
        <v>99</v>
      </c>
      <c r="X251" s="64" t="s">
        <v>2324</v>
      </c>
      <c r="Y251" t="s">
        <v>3414</v>
      </c>
    </row>
    <row r="252" spans="1:25" x14ac:dyDescent="0.2">
      <c r="A252" t="s">
        <v>7</v>
      </c>
      <c r="C252" s="64" t="s">
        <v>2063</v>
      </c>
      <c r="D252" s="363" t="s">
        <v>2325</v>
      </c>
      <c r="E252" s="64" t="s">
        <v>917</v>
      </c>
      <c r="F252" s="64">
        <v>19.600000000000001</v>
      </c>
      <c r="G252" s="64" t="s">
        <v>1837</v>
      </c>
      <c r="H252" s="64" t="s">
        <v>2326</v>
      </c>
      <c r="I252" s="64" t="s">
        <v>1871</v>
      </c>
      <c r="J252" s="64"/>
      <c r="L252" s="65">
        <v>129.55000000000001</v>
      </c>
      <c r="M252" s="65">
        <f>Table13[[#This Row],[Price]]/Table13[[#This Row],[Area (ft2)]]</f>
        <v>6.6096938775510203</v>
      </c>
      <c r="N252" s="65"/>
      <c r="P252" s="39"/>
      <c r="S252" s="39"/>
      <c r="U252">
        <v>2023</v>
      </c>
      <c r="W252" t="s">
        <v>99</v>
      </c>
      <c r="X252" s="64" t="s">
        <v>2327</v>
      </c>
      <c r="Y252" t="s">
        <v>3414</v>
      </c>
    </row>
    <row r="253" spans="1:25" x14ac:dyDescent="0.2">
      <c r="A253" t="s">
        <v>7</v>
      </c>
      <c r="C253" s="64" t="s">
        <v>2309</v>
      </c>
      <c r="D253" s="363">
        <v>2546031</v>
      </c>
      <c r="E253" s="64" t="s">
        <v>917</v>
      </c>
      <c r="F253" s="64">
        <v>100</v>
      </c>
      <c r="G253" s="64" t="s">
        <v>1841</v>
      </c>
      <c r="H253" s="64" t="s">
        <v>1841</v>
      </c>
      <c r="I253" s="64" t="s">
        <v>1871</v>
      </c>
      <c r="J253" s="64"/>
      <c r="L253" s="65">
        <v>496.04</v>
      </c>
      <c r="M253" s="65">
        <f>Table13[[#This Row],[Price]]/Table13[[#This Row],[Area (ft2)]]</f>
        <v>4.9603999999999999</v>
      </c>
      <c r="N253" s="65"/>
      <c r="P253" s="39"/>
      <c r="S253" s="39"/>
      <c r="U253">
        <v>2023</v>
      </c>
      <c r="W253" t="s">
        <v>99</v>
      </c>
      <c r="X253" s="64" t="s">
        <v>2328</v>
      </c>
      <c r="Y253" t="s">
        <v>3416</v>
      </c>
    </row>
    <row r="254" spans="1:25" x14ac:dyDescent="0.2">
      <c r="A254" t="s">
        <v>7</v>
      </c>
      <c r="C254" s="64" t="s">
        <v>2063</v>
      </c>
      <c r="D254" s="363" t="s">
        <v>2329</v>
      </c>
      <c r="E254" s="64" t="s">
        <v>917</v>
      </c>
      <c r="F254" s="64">
        <v>16</v>
      </c>
      <c r="G254" s="64" t="s">
        <v>1837</v>
      </c>
      <c r="H254" s="64" t="s">
        <v>2312</v>
      </c>
      <c r="I254" s="64" t="s">
        <v>1871</v>
      </c>
      <c r="J254" s="64"/>
      <c r="L254" s="65">
        <v>140.99</v>
      </c>
      <c r="M254" s="65">
        <f>Table13[[#This Row],[Price]]/Table13[[#This Row],[Area (ft2)]]</f>
        <v>8.8118750000000006</v>
      </c>
      <c r="N254" s="65"/>
      <c r="P254" s="39"/>
      <c r="S254" s="39"/>
      <c r="U254">
        <v>2023</v>
      </c>
      <c r="W254" t="s">
        <v>99</v>
      </c>
      <c r="X254" s="64" t="s">
        <v>2330</v>
      </c>
      <c r="Y254" t="s">
        <v>3414</v>
      </c>
    </row>
    <row r="255" spans="1:25" x14ac:dyDescent="0.2">
      <c r="A255" t="s">
        <v>7</v>
      </c>
      <c r="C255" s="64" t="s">
        <v>2063</v>
      </c>
      <c r="D255" s="363" t="s">
        <v>2331</v>
      </c>
      <c r="E255" s="64" t="s">
        <v>917</v>
      </c>
      <c r="F255" s="64">
        <v>15.4</v>
      </c>
      <c r="G255" s="64" t="s">
        <v>1841</v>
      </c>
      <c r="H255" s="64" t="s">
        <v>2332</v>
      </c>
      <c r="I255" s="64" t="s">
        <v>1871</v>
      </c>
      <c r="J255" s="64"/>
      <c r="L255" s="65">
        <v>191.54</v>
      </c>
      <c r="M255" s="65">
        <f>Table13[[#This Row],[Price]]/Table13[[#This Row],[Area (ft2)]]</f>
        <v>12.437662337662337</v>
      </c>
      <c r="N255" s="65"/>
      <c r="P255" s="39"/>
      <c r="S255" s="39"/>
      <c r="U255">
        <v>2023</v>
      </c>
      <c r="W255" t="s">
        <v>99</v>
      </c>
      <c r="X255" s="64" t="s">
        <v>2333</v>
      </c>
      <c r="Y255" t="s">
        <v>3414</v>
      </c>
    </row>
    <row r="256" spans="1:25" x14ac:dyDescent="0.2">
      <c r="A256" t="s">
        <v>7</v>
      </c>
      <c r="C256" s="64" t="s">
        <v>2063</v>
      </c>
      <c r="D256" s="363" t="s">
        <v>2334</v>
      </c>
      <c r="E256" s="64" t="s">
        <v>917</v>
      </c>
      <c r="F256" s="64">
        <v>19</v>
      </c>
      <c r="G256" s="64" t="s">
        <v>1837</v>
      </c>
      <c r="H256" s="64" t="s">
        <v>2335</v>
      </c>
      <c r="I256" s="64" t="s">
        <v>1871</v>
      </c>
      <c r="J256" s="64"/>
      <c r="L256" s="65">
        <v>130.09</v>
      </c>
      <c r="M256" s="65">
        <f>Table13[[#This Row],[Price]]/Table13[[#This Row],[Area (ft2)]]</f>
        <v>6.8468421052631578</v>
      </c>
      <c r="N256" s="65"/>
      <c r="P256" s="39"/>
      <c r="S256" s="39"/>
      <c r="U256">
        <v>2023</v>
      </c>
      <c r="W256" t="s">
        <v>99</v>
      </c>
      <c r="X256" s="64" t="s">
        <v>2336</v>
      </c>
      <c r="Y256" t="s">
        <v>3414</v>
      </c>
    </row>
    <row r="257" spans="1:25" x14ac:dyDescent="0.2">
      <c r="A257" t="s">
        <v>7</v>
      </c>
      <c r="C257" s="64" t="s">
        <v>2032</v>
      </c>
      <c r="D257" s="363">
        <v>267000001</v>
      </c>
      <c r="E257" s="64" t="s">
        <v>917</v>
      </c>
      <c r="F257" s="64">
        <v>0.88</v>
      </c>
      <c r="G257" s="64" t="s">
        <v>1841</v>
      </c>
      <c r="H257" s="64" t="s">
        <v>2262</v>
      </c>
      <c r="I257" s="64" t="s">
        <v>1871</v>
      </c>
      <c r="J257" s="64"/>
      <c r="L257" s="65">
        <v>81.19</v>
      </c>
      <c r="M257" s="65">
        <f>Table13[[#This Row],[Price]]/Table13[[#This Row],[Area (ft2)]]</f>
        <v>92.26136363636364</v>
      </c>
      <c r="N257" s="65"/>
      <c r="P257" s="39"/>
      <c r="S257" s="39"/>
      <c r="U257">
        <v>2023</v>
      </c>
      <c r="W257" t="s">
        <v>99</v>
      </c>
      <c r="X257" s="64" t="s">
        <v>2337</v>
      </c>
      <c r="Y257" t="s">
        <v>3414</v>
      </c>
    </row>
    <row r="258" spans="1:25" x14ac:dyDescent="0.2">
      <c r="A258" t="s">
        <v>7</v>
      </c>
      <c r="C258" s="64" t="s">
        <v>2063</v>
      </c>
      <c r="D258" s="363" t="s">
        <v>2338</v>
      </c>
      <c r="E258" s="64" t="s">
        <v>917</v>
      </c>
      <c r="F258" s="64">
        <v>19.600000000000001</v>
      </c>
      <c r="G258" s="64" t="s">
        <v>1841</v>
      </c>
      <c r="H258" s="64" t="s">
        <v>2303</v>
      </c>
      <c r="I258" s="64" t="s">
        <v>1871</v>
      </c>
      <c r="J258" s="64"/>
      <c r="L258" s="65">
        <v>128.19</v>
      </c>
      <c r="M258" s="65">
        <f>Table13[[#This Row],[Price]]/Table13[[#This Row],[Area (ft2)]]</f>
        <v>6.5403061224489791</v>
      </c>
      <c r="N258" s="65"/>
      <c r="P258" s="39"/>
      <c r="S258" s="39"/>
      <c r="U258">
        <v>2023</v>
      </c>
      <c r="W258" t="s">
        <v>99</v>
      </c>
      <c r="X258" s="64" t="s">
        <v>2339</v>
      </c>
      <c r="Y258" t="s">
        <v>3414</v>
      </c>
    </row>
    <row r="259" spans="1:25" x14ac:dyDescent="0.2">
      <c r="A259" t="s">
        <v>7</v>
      </c>
      <c r="C259" s="64" t="s">
        <v>2063</v>
      </c>
      <c r="D259" s="363" t="s">
        <v>2340</v>
      </c>
      <c r="E259" s="64" t="s">
        <v>917</v>
      </c>
      <c r="F259" s="64">
        <v>18.600000000000001</v>
      </c>
      <c r="G259" s="64" t="s">
        <v>1841</v>
      </c>
      <c r="H259" s="64" t="s">
        <v>2341</v>
      </c>
      <c r="I259" s="64" t="s">
        <v>1871</v>
      </c>
      <c r="J259" s="64"/>
      <c r="L259" s="65">
        <v>192.32</v>
      </c>
      <c r="M259" s="65">
        <f>Table13[[#This Row],[Price]]/Table13[[#This Row],[Area (ft2)]]</f>
        <v>10.339784946236557</v>
      </c>
      <c r="N259" s="65"/>
      <c r="P259" s="39"/>
      <c r="S259" s="39"/>
      <c r="U259">
        <v>2023</v>
      </c>
      <c r="W259" t="s">
        <v>99</v>
      </c>
      <c r="X259" s="64" t="s">
        <v>2342</v>
      </c>
      <c r="Y259" t="s">
        <v>3414</v>
      </c>
    </row>
    <row r="260" spans="1:25" x14ac:dyDescent="0.2">
      <c r="A260" t="s">
        <v>7</v>
      </c>
      <c r="C260" s="64" t="s">
        <v>2063</v>
      </c>
      <c r="D260" s="363" t="s">
        <v>2343</v>
      </c>
      <c r="E260" s="64" t="s">
        <v>917</v>
      </c>
      <c r="F260" s="64">
        <v>16</v>
      </c>
      <c r="G260" s="64" t="s">
        <v>1835</v>
      </c>
      <c r="H260" s="64" t="s">
        <v>2344</v>
      </c>
      <c r="I260" s="64" t="s">
        <v>1871</v>
      </c>
      <c r="J260" s="64"/>
      <c r="L260" s="65">
        <v>128.38999999999999</v>
      </c>
      <c r="M260" s="65">
        <f>Table13[[#This Row],[Price]]/Table13[[#This Row],[Area (ft2)]]</f>
        <v>8.0243749999999991</v>
      </c>
      <c r="N260" s="65"/>
      <c r="P260" s="39"/>
      <c r="S260" s="39"/>
      <c r="U260">
        <v>2023</v>
      </c>
      <c r="W260" t="s">
        <v>99</v>
      </c>
      <c r="X260" s="64" t="s">
        <v>2345</v>
      </c>
      <c r="Y260" t="s">
        <v>3414</v>
      </c>
    </row>
    <row r="261" spans="1:25" x14ac:dyDescent="0.2">
      <c r="A261" t="s">
        <v>7</v>
      </c>
      <c r="C261" s="64" t="s">
        <v>1392</v>
      </c>
      <c r="D261" s="363" t="s">
        <v>2346</v>
      </c>
      <c r="E261" s="64" t="s">
        <v>917</v>
      </c>
      <c r="F261" s="64">
        <v>1.54</v>
      </c>
      <c r="G261" s="64" t="s">
        <v>1837</v>
      </c>
      <c r="H261" s="64" t="s">
        <v>1876</v>
      </c>
      <c r="I261" s="64" t="s">
        <v>1871</v>
      </c>
      <c r="J261" s="64"/>
      <c r="L261" s="65">
        <v>10.77</v>
      </c>
      <c r="M261" s="65">
        <f>Table13[[#This Row],[Price]]/Table13[[#This Row],[Area (ft2)]]</f>
        <v>6.9935064935064934</v>
      </c>
      <c r="N261" s="65"/>
      <c r="P261" s="39"/>
      <c r="S261" s="39"/>
      <c r="U261">
        <v>2023</v>
      </c>
      <c r="W261" t="s">
        <v>99</v>
      </c>
      <c r="X261" s="64" t="s">
        <v>2347</v>
      </c>
      <c r="Y261" t="s">
        <v>3414</v>
      </c>
    </row>
    <row r="262" spans="1:25" x14ac:dyDescent="0.2">
      <c r="A262" t="s">
        <v>7</v>
      </c>
      <c r="C262" s="64" t="s">
        <v>2063</v>
      </c>
      <c r="D262" s="363" t="s">
        <v>2348</v>
      </c>
      <c r="E262" s="64" t="s">
        <v>917</v>
      </c>
      <c r="F262" s="64">
        <v>0.42</v>
      </c>
      <c r="G262" s="64" t="s">
        <v>1838</v>
      </c>
      <c r="H262" s="64" t="s">
        <v>1838</v>
      </c>
      <c r="I262" s="64" t="s">
        <v>1871</v>
      </c>
      <c r="J262" s="64"/>
      <c r="L262" s="65">
        <v>12.23</v>
      </c>
      <c r="M262" s="65">
        <f>Table13[[#This Row],[Price]]/Table13[[#This Row],[Area (ft2)]]</f>
        <v>29.11904761904762</v>
      </c>
      <c r="N262" s="65"/>
      <c r="P262" s="39"/>
      <c r="S262" s="39"/>
      <c r="U262">
        <v>2023</v>
      </c>
      <c r="W262" t="s">
        <v>99</v>
      </c>
      <c r="X262" s="64" t="s">
        <v>2349</v>
      </c>
      <c r="Y262" t="s">
        <v>3414</v>
      </c>
    </row>
    <row r="263" spans="1:25" x14ac:dyDescent="0.2">
      <c r="A263" t="s">
        <v>7</v>
      </c>
      <c r="C263" s="64" t="s">
        <v>2063</v>
      </c>
      <c r="D263" s="363" t="s">
        <v>2350</v>
      </c>
      <c r="E263" s="64" t="s">
        <v>917</v>
      </c>
      <c r="F263" s="64">
        <v>12.6</v>
      </c>
      <c r="G263" s="64" t="s">
        <v>1841</v>
      </c>
      <c r="H263" s="64" t="s">
        <v>2351</v>
      </c>
      <c r="I263" s="64" t="s">
        <v>1871</v>
      </c>
      <c r="J263" s="64"/>
      <c r="L263" s="65">
        <v>129.37</v>
      </c>
      <c r="M263" s="65">
        <f>Table13[[#This Row],[Price]]/Table13[[#This Row],[Area (ft2)]]</f>
        <v>10.267460317460317</v>
      </c>
      <c r="N263" s="65"/>
      <c r="P263" s="39"/>
      <c r="S263" s="39"/>
      <c r="U263">
        <v>2023</v>
      </c>
      <c r="W263" t="s">
        <v>99</v>
      </c>
      <c r="X263" s="64" t="s">
        <v>2352</v>
      </c>
      <c r="Y263" t="s">
        <v>3414</v>
      </c>
    </row>
    <row r="264" spans="1:25" x14ac:dyDescent="0.2">
      <c r="A264" t="s">
        <v>7</v>
      </c>
      <c r="C264" s="64" t="s">
        <v>1392</v>
      </c>
      <c r="D264" s="363" t="s">
        <v>2353</v>
      </c>
      <c r="E264" s="64" t="s">
        <v>917</v>
      </c>
      <c r="F264" s="64">
        <v>1.54</v>
      </c>
      <c r="G264" s="64" t="s">
        <v>1837</v>
      </c>
      <c r="H264" s="64" t="s">
        <v>2354</v>
      </c>
      <c r="I264" s="64" t="s">
        <v>1871</v>
      </c>
      <c r="J264" s="64"/>
      <c r="L264" s="65">
        <v>10.97</v>
      </c>
      <c r="M264" s="65">
        <f>Table13[[#This Row],[Price]]/Table13[[#This Row],[Area (ft2)]]</f>
        <v>7.1233766233766236</v>
      </c>
      <c r="N264" s="65"/>
      <c r="P264" s="39"/>
      <c r="S264" s="39"/>
      <c r="U264">
        <v>2023</v>
      </c>
      <c r="W264" t="s">
        <v>99</v>
      </c>
      <c r="X264" s="64" t="s">
        <v>2355</v>
      </c>
      <c r="Y264" t="s">
        <v>3414</v>
      </c>
    </row>
    <row r="265" spans="1:25" x14ac:dyDescent="0.2">
      <c r="A265" t="s">
        <v>7</v>
      </c>
      <c r="C265" s="64" t="s">
        <v>2063</v>
      </c>
      <c r="D265" s="363" t="s">
        <v>2356</v>
      </c>
      <c r="E265" s="64" t="s">
        <v>917</v>
      </c>
      <c r="F265" s="64">
        <v>19.600000000000001</v>
      </c>
      <c r="G265" s="64" t="s">
        <v>1841</v>
      </c>
      <c r="H265" s="64" t="s">
        <v>2357</v>
      </c>
      <c r="I265" s="64" t="s">
        <v>1871</v>
      </c>
      <c r="J265" s="64"/>
      <c r="L265" s="65">
        <v>128.19</v>
      </c>
      <c r="M265" s="65">
        <f>Table13[[#This Row],[Price]]/Table13[[#This Row],[Area (ft2)]]</f>
        <v>6.5403061224489791</v>
      </c>
      <c r="N265" s="65"/>
      <c r="P265" s="39"/>
      <c r="S265" s="39"/>
      <c r="U265">
        <v>2023</v>
      </c>
      <c r="W265" t="s">
        <v>99</v>
      </c>
      <c r="X265" s="64" t="s">
        <v>2358</v>
      </c>
      <c r="Y265" t="s">
        <v>3414</v>
      </c>
    </row>
    <row r="266" spans="1:25" x14ac:dyDescent="0.2">
      <c r="A266" t="s">
        <v>7</v>
      </c>
      <c r="C266" s="64" t="s">
        <v>2063</v>
      </c>
      <c r="D266" s="363" t="s">
        <v>2359</v>
      </c>
      <c r="E266" s="64" t="s">
        <v>917</v>
      </c>
      <c r="F266" s="64">
        <v>0.42</v>
      </c>
      <c r="G266" s="64" t="s">
        <v>1838</v>
      </c>
      <c r="H266" s="64" t="s">
        <v>2297</v>
      </c>
      <c r="I266" s="64" t="s">
        <v>1871</v>
      </c>
      <c r="J266" s="64"/>
      <c r="L266" s="65">
        <v>12.99</v>
      </c>
      <c r="M266" s="65">
        <f>Table13[[#This Row],[Price]]/Table13[[#This Row],[Area (ft2)]]</f>
        <v>30.928571428571431</v>
      </c>
      <c r="N266" s="65"/>
      <c r="P266" s="39"/>
      <c r="S266" s="39"/>
      <c r="U266">
        <v>2023</v>
      </c>
      <c r="W266" t="s">
        <v>99</v>
      </c>
      <c r="X266" s="64" t="s">
        <v>2360</v>
      </c>
      <c r="Y266" t="s">
        <v>3414</v>
      </c>
    </row>
    <row r="267" spans="1:25" x14ac:dyDescent="0.2">
      <c r="A267" t="s">
        <v>7</v>
      </c>
      <c r="C267" s="64" t="s">
        <v>1392</v>
      </c>
      <c r="D267" s="363" t="s">
        <v>2361</v>
      </c>
      <c r="E267" s="64" t="s">
        <v>917</v>
      </c>
      <c r="F267" s="64">
        <v>1.77</v>
      </c>
      <c r="G267" s="64" t="s">
        <v>1835</v>
      </c>
      <c r="H267" s="64" t="s">
        <v>2362</v>
      </c>
      <c r="I267" s="64" t="s">
        <v>1871</v>
      </c>
      <c r="J267" s="64"/>
      <c r="L267" s="65">
        <v>9.94</v>
      </c>
      <c r="M267" s="65">
        <f>Table13[[#This Row],[Price]]/Table13[[#This Row],[Area (ft2)]]</f>
        <v>5.6158192090395476</v>
      </c>
      <c r="N267" s="65"/>
      <c r="P267" s="39"/>
      <c r="S267" s="39"/>
      <c r="U267">
        <v>2023</v>
      </c>
      <c r="W267" t="s">
        <v>99</v>
      </c>
      <c r="X267" s="64" t="s">
        <v>2363</v>
      </c>
      <c r="Y267" t="s">
        <v>3414</v>
      </c>
    </row>
    <row r="268" spans="1:25" x14ac:dyDescent="0.2">
      <c r="A268" t="s">
        <v>7</v>
      </c>
      <c r="C268" s="64" t="s">
        <v>2063</v>
      </c>
      <c r="D268" s="363" t="s">
        <v>2364</v>
      </c>
      <c r="E268" s="64" t="s">
        <v>917</v>
      </c>
      <c r="F268" s="64">
        <v>0.42</v>
      </c>
      <c r="G268" s="64" t="s">
        <v>1837</v>
      </c>
      <c r="H268" s="64" t="s">
        <v>2279</v>
      </c>
      <c r="I268" s="64" t="s">
        <v>1871</v>
      </c>
      <c r="J268" s="64"/>
      <c r="L268" s="65">
        <v>12.57</v>
      </c>
      <c r="M268" s="65">
        <f>Table13[[#This Row],[Price]]/Table13[[#This Row],[Area (ft2)]]</f>
        <v>29.928571428571431</v>
      </c>
      <c r="N268" s="65"/>
      <c r="P268" s="39"/>
      <c r="S268" s="39"/>
      <c r="U268">
        <v>2023</v>
      </c>
      <c r="W268" t="s">
        <v>99</v>
      </c>
      <c r="X268" s="64" t="s">
        <v>2365</v>
      </c>
      <c r="Y268" t="s">
        <v>3414</v>
      </c>
    </row>
    <row r="269" spans="1:25" x14ac:dyDescent="0.2">
      <c r="A269" t="s">
        <v>7</v>
      </c>
      <c r="C269" s="64" t="s">
        <v>2063</v>
      </c>
      <c r="D269" s="363" t="s">
        <v>2366</v>
      </c>
      <c r="E269" s="64" t="s">
        <v>917</v>
      </c>
      <c r="F269" s="64">
        <v>19</v>
      </c>
      <c r="G269" s="64" t="s">
        <v>1838</v>
      </c>
      <c r="H269" s="64" t="s">
        <v>1838</v>
      </c>
      <c r="I269" s="64" t="s">
        <v>1871</v>
      </c>
      <c r="J269" s="64"/>
      <c r="L269" s="65">
        <v>130.27000000000001</v>
      </c>
      <c r="M269" s="65">
        <f>Table13[[#This Row],[Price]]/Table13[[#This Row],[Area (ft2)]]</f>
        <v>6.856315789473685</v>
      </c>
      <c r="N269" s="65"/>
      <c r="P269" s="39"/>
      <c r="S269" s="39"/>
      <c r="U269">
        <v>2023</v>
      </c>
      <c r="W269" t="s">
        <v>99</v>
      </c>
      <c r="X269" s="64" t="s">
        <v>2367</v>
      </c>
      <c r="Y269" t="s">
        <v>3414</v>
      </c>
    </row>
    <row r="270" spans="1:25" x14ac:dyDescent="0.2">
      <c r="A270" t="s">
        <v>7</v>
      </c>
      <c r="C270" s="64" t="s">
        <v>1392</v>
      </c>
      <c r="D270" s="363" t="s">
        <v>2368</v>
      </c>
      <c r="E270" s="64" t="s">
        <v>917</v>
      </c>
      <c r="F270" s="64">
        <v>1.71</v>
      </c>
      <c r="G270" s="64" t="s">
        <v>1837</v>
      </c>
      <c r="H270" s="64" t="s">
        <v>1876</v>
      </c>
      <c r="I270" s="64" t="s">
        <v>1871</v>
      </c>
      <c r="J270" s="64"/>
      <c r="L270" s="65">
        <v>9.7799999999999994</v>
      </c>
      <c r="M270" s="65">
        <f>Table13[[#This Row],[Price]]/Table13[[#This Row],[Area (ft2)]]</f>
        <v>5.7192982456140351</v>
      </c>
      <c r="N270" s="65"/>
      <c r="P270" s="39"/>
      <c r="S270" s="39"/>
      <c r="U270">
        <v>2023</v>
      </c>
      <c r="W270" t="s">
        <v>99</v>
      </c>
      <c r="X270" s="64" t="s">
        <v>2369</v>
      </c>
      <c r="Y270" t="s">
        <v>3414</v>
      </c>
    </row>
    <row r="271" spans="1:25" x14ac:dyDescent="0.2">
      <c r="A271" t="s">
        <v>7</v>
      </c>
      <c r="C271" s="64" t="s">
        <v>1392</v>
      </c>
      <c r="D271" s="363" t="s">
        <v>2370</v>
      </c>
      <c r="E271" s="64" t="s">
        <v>917</v>
      </c>
      <c r="F271" s="64">
        <v>1.87</v>
      </c>
      <c r="G271" s="64" t="s">
        <v>1837</v>
      </c>
      <c r="H271" s="64" t="s">
        <v>2371</v>
      </c>
      <c r="I271" s="64" t="s">
        <v>1871</v>
      </c>
      <c r="J271" s="64"/>
      <c r="L271" s="65">
        <v>11.35</v>
      </c>
      <c r="M271" s="65">
        <f>Table13[[#This Row],[Price]]/Table13[[#This Row],[Area (ft2)]]</f>
        <v>6.0695187165775399</v>
      </c>
      <c r="N271" s="65"/>
      <c r="P271" s="39"/>
      <c r="S271" s="39"/>
      <c r="U271">
        <v>2023</v>
      </c>
      <c r="W271" t="s">
        <v>99</v>
      </c>
      <c r="X271" s="64" t="s">
        <v>2372</v>
      </c>
      <c r="Y271" t="s">
        <v>3414</v>
      </c>
    </row>
    <row r="272" spans="1:25" x14ac:dyDescent="0.2">
      <c r="A272" t="s">
        <v>7</v>
      </c>
      <c r="C272" s="64" t="s">
        <v>1392</v>
      </c>
      <c r="D272" s="363" t="s">
        <v>2373</v>
      </c>
      <c r="E272" s="64" t="s">
        <v>917</v>
      </c>
      <c r="F272" s="64">
        <v>2.33</v>
      </c>
      <c r="G272" s="64" t="s">
        <v>1835</v>
      </c>
      <c r="H272" s="64" t="s">
        <v>1835</v>
      </c>
      <c r="I272" s="64" t="s">
        <v>1871</v>
      </c>
      <c r="J272" s="64"/>
      <c r="L272" s="65">
        <v>10.01</v>
      </c>
      <c r="M272" s="65">
        <f>Table13[[#This Row],[Price]]/Table13[[#This Row],[Area (ft2)]]</f>
        <v>4.296137339055794</v>
      </c>
      <c r="N272" s="65"/>
      <c r="P272" s="39"/>
      <c r="S272" s="39"/>
      <c r="U272">
        <v>2023</v>
      </c>
      <c r="W272" t="s">
        <v>99</v>
      </c>
      <c r="X272" s="64" t="s">
        <v>2374</v>
      </c>
      <c r="Y272" t="s">
        <v>3416</v>
      </c>
    </row>
    <row r="273" spans="1:25" x14ac:dyDescent="0.2">
      <c r="A273" t="s">
        <v>7</v>
      </c>
      <c r="C273" s="64" t="s">
        <v>2063</v>
      </c>
      <c r="D273" s="363" t="s">
        <v>2375</v>
      </c>
      <c r="E273" s="64" t="s">
        <v>917</v>
      </c>
      <c r="F273" s="64">
        <v>19.600000000000001</v>
      </c>
      <c r="G273" s="64" t="s">
        <v>1835</v>
      </c>
      <c r="H273" s="64" t="s">
        <v>2376</v>
      </c>
      <c r="I273" s="64" t="s">
        <v>1871</v>
      </c>
      <c r="J273" s="64"/>
      <c r="L273" s="65">
        <v>128.19</v>
      </c>
      <c r="M273" s="65">
        <f>Table13[[#This Row],[Price]]/Table13[[#This Row],[Area (ft2)]]</f>
        <v>6.5403061224489791</v>
      </c>
      <c r="N273" s="65"/>
      <c r="P273" s="39"/>
      <c r="S273" s="39"/>
      <c r="U273">
        <v>2023</v>
      </c>
      <c r="W273" t="s">
        <v>99</v>
      </c>
      <c r="X273" s="64" t="s">
        <v>2377</v>
      </c>
      <c r="Y273" t="s">
        <v>3414</v>
      </c>
    </row>
    <row r="274" spans="1:25" x14ac:dyDescent="0.2">
      <c r="A274" t="s">
        <v>7</v>
      </c>
      <c r="C274" s="64" t="s">
        <v>1392</v>
      </c>
      <c r="D274" s="363" t="s">
        <v>2378</v>
      </c>
      <c r="E274" s="64" t="s">
        <v>917</v>
      </c>
      <c r="F274" s="64">
        <v>1.54</v>
      </c>
      <c r="G274" s="64" t="s">
        <v>1837</v>
      </c>
      <c r="H274" s="64" t="s">
        <v>1876</v>
      </c>
      <c r="I274" s="64" t="s">
        <v>1871</v>
      </c>
      <c r="J274" s="64"/>
      <c r="L274" s="65">
        <v>12.54</v>
      </c>
      <c r="M274" s="65">
        <f>Table13[[#This Row],[Price]]/Table13[[#This Row],[Area (ft2)]]</f>
        <v>8.1428571428571423</v>
      </c>
      <c r="N274" s="65"/>
      <c r="P274" s="39"/>
      <c r="S274" s="39"/>
      <c r="U274">
        <v>2023</v>
      </c>
      <c r="W274" t="s">
        <v>99</v>
      </c>
      <c r="X274" s="64" t="s">
        <v>2379</v>
      </c>
      <c r="Y274" t="s">
        <v>3414</v>
      </c>
    </row>
    <row r="275" spans="1:25" x14ac:dyDescent="0.2">
      <c r="A275" t="s">
        <v>7</v>
      </c>
      <c r="C275" s="64" t="s">
        <v>1392</v>
      </c>
      <c r="D275" s="363" t="s">
        <v>2380</v>
      </c>
      <c r="E275" s="64" t="s">
        <v>917</v>
      </c>
      <c r="F275" s="64">
        <v>1.54</v>
      </c>
      <c r="G275" s="64" t="s">
        <v>1837</v>
      </c>
      <c r="H275" s="64" t="s">
        <v>2371</v>
      </c>
      <c r="I275" s="64" t="s">
        <v>1871</v>
      </c>
      <c r="J275" s="64"/>
      <c r="L275" s="65">
        <v>11.44</v>
      </c>
      <c r="M275" s="65">
        <f>Table13[[#This Row],[Price]]/Table13[[#This Row],[Area (ft2)]]</f>
        <v>7.4285714285714279</v>
      </c>
      <c r="N275" s="65"/>
      <c r="P275" s="39"/>
      <c r="S275" s="39"/>
      <c r="U275">
        <v>2023</v>
      </c>
      <c r="W275" t="s">
        <v>99</v>
      </c>
      <c r="X275" s="64" t="s">
        <v>2381</v>
      </c>
      <c r="Y275" t="s">
        <v>3414</v>
      </c>
    </row>
    <row r="276" spans="1:25" x14ac:dyDescent="0.2">
      <c r="A276" t="s">
        <v>7</v>
      </c>
      <c r="C276" s="64" t="s">
        <v>2063</v>
      </c>
      <c r="D276" s="363" t="s">
        <v>2382</v>
      </c>
      <c r="E276" s="64" t="s">
        <v>917</v>
      </c>
      <c r="F276" s="64">
        <v>19</v>
      </c>
      <c r="G276" s="64" t="s">
        <v>1835</v>
      </c>
      <c r="H276" s="64" t="s">
        <v>1835</v>
      </c>
      <c r="I276" s="64" t="s">
        <v>1871</v>
      </c>
      <c r="J276" s="64"/>
      <c r="L276" s="65">
        <v>130.09</v>
      </c>
      <c r="M276" s="65">
        <f>Table13[[#This Row],[Price]]/Table13[[#This Row],[Area (ft2)]]</f>
        <v>6.8468421052631578</v>
      </c>
      <c r="N276" s="65"/>
      <c r="P276" s="39"/>
      <c r="S276" s="39"/>
      <c r="U276">
        <v>2023</v>
      </c>
      <c r="W276" t="s">
        <v>99</v>
      </c>
      <c r="X276" s="64" t="s">
        <v>2383</v>
      </c>
      <c r="Y276" t="s">
        <v>3414</v>
      </c>
    </row>
    <row r="277" spans="1:25" x14ac:dyDescent="0.2">
      <c r="A277" t="s">
        <v>7</v>
      </c>
      <c r="C277" s="64" t="s">
        <v>2063</v>
      </c>
      <c r="D277" s="363" t="s">
        <v>2384</v>
      </c>
      <c r="E277" s="64" t="s">
        <v>917</v>
      </c>
      <c r="F277" s="64">
        <v>0.42</v>
      </c>
      <c r="G277" s="64" t="s">
        <v>1837</v>
      </c>
      <c r="H277" s="64" t="s">
        <v>2282</v>
      </c>
      <c r="I277" s="64" t="s">
        <v>1871</v>
      </c>
      <c r="J277" s="64"/>
      <c r="L277" s="65">
        <v>12.99</v>
      </c>
      <c r="M277" s="65">
        <f>Table13[[#This Row],[Price]]/Table13[[#This Row],[Area (ft2)]]</f>
        <v>30.928571428571431</v>
      </c>
      <c r="N277" s="65"/>
      <c r="P277" s="39"/>
      <c r="S277" s="39"/>
      <c r="U277">
        <v>2023</v>
      </c>
      <c r="W277" t="s">
        <v>99</v>
      </c>
      <c r="X277" s="64" t="s">
        <v>2385</v>
      </c>
      <c r="Y277" t="s">
        <v>3414</v>
      </c>
    </row>
    <row r="278" spans="1:25" x14ac:dyDescent="0.2">
      <c r="A278" t="s">
        <v>7</v>
      </c>
      <c r="C278" s="64" t="s">
        <v>2063</v>
      </c>
      <c r="D278" s="363" t="s">
        <v>2386</v>
      </c>
      <c r="E278" s="64" t="s">
        <v>917</v>
      </c>
      <c r="F278" s="64">
        <v>19</v>
      </c>
      <c r="G278" s="64" t="s">
        <v>1837</v>
      </c>
      <c r="H278" s="64" t="s">
        <v>2387</v>
      </c>
      <c r="I278" s="64" t="s">
        <v>1871</v>
      </c>
      <c r="J278" s="64"/>
      <c r="L278" s="65">
        <v>129.18</v>
      </c>
      <c r="M278" s="65">
        <f>Table13[[#This Row],[Price]]/Table13[[#This Row],[Area (ft2)]]</f>
        <v>6.7989473684210529</v>
      </c>
      <c r="N278" s="65"/>
      <c r="P278" s="39"/>
      <c r="S278" s="39"/>
      <c r="U278">
        <v>2023</v>
      </c>
      <c r="W278" t="s">
        <v>99</v>
      </c>
      <c r="X278" s="64" t="s">
        <v>2388</v>
      </c>
      <c r="Y278" t="s">
        <v>3414</v>
      </c>
    </row>
    <row r="279" spans="1:25" x14ac:dyDescent="0.2">
      <c r="A279" t="s">
        <v>7</v>
      </c>
      <c r="C279" s="64" t="s">
        <v>2063</v>
      </c>
      <c r="D279" s="363" t="s">
        <v>2389</v>
      </c>
      <c r="E279" s="64" t="s">
        <v>917</v>
      </c>
      <c r="F279" s="64">
        <v>15.47</v>
      </c>
      <c r="G279" s="64" t="s">
        <v>1839</v>
      </c>
      <c r="H279" s="64" t="s">
        <v>2315</v>
      </c>
      <c r="I279" s="64" t="s">
        <v>1871</v>
      </c>
      <c r="J279" s="64"/>
      <c r="L279" s="65">
        <v>149</v>
      </c>
      <c r="M279" s="65">
        <f>Table13[[#This Row],[Price]]/Table13[[#This Row],[Area (ft2)]]</f>
        <v>9.6315449256625723</v>
      </c>
      <c r="N279" s="65"/>
      <c r="P279" s="39"/>
      <c r="S279" s="39"/>
      <c r="U279">
        <v>2023</v>
      </c>
      <c r="W279" t="s">
        <v>99</v>
      </c>
      <c r="X279" s="64" t="s">
        <v>2390</v>
      </c>
      <c r="Y279" t="s">
        <v>3414</v>
      </c>
    </row>
    <row r="280" spans="1:25" x14ac:dyDescent="0.2">
      <c r="A280" t="s">
        <v>7</v>
      </c>
      <c r="C280" s="64" t="s">
        <v>1392</v>
      </c>
      <c r="D280" s="363" t="s">
        <v>2391</v>
      </c>
      <c r="E280" s="64" t="s">
        <v>917</v>
      </c>
      <c r="F280" s="64">
        <v>1.87</v>
      </c>
      <c r="G280" s="64" t="s">
        <v>1841</v>
      </c>
      <c r="H280" s="64" t="s">
        <v>2392</v>
      </c>
      <c r="I280" s="64" t="s">
        <v>1871</v>
      </c>
      <c r="J280" s="64"/>
      <c r="L280" s="65">
        <v>10.59</v>
      </c>
      <c r="M280" s="65">
        <f>Table13[[#This Row],[Price]]/Table13[[#This Row],[Area (ft2)]]</f>
        <v>5.6631016042780749</v>
      </c>
      <c r="N280" s="65"/>
      <c r="P280" s="39"/>
      <c r="S280" s="39"/>
      <c r="U280">
        <v>2023</v>
      </c>
      <c r="W280" t="s">
        <v>99</v>
      </c>
      <c r="X280" s="64" t="s">
        <v>2393</v>
      </c>
      <c r="Y280" t="s">
        <v>3414</v>
      </c>
    </row>
    <row r="281" spans="1:25" x14ac:dyDescent="0.2">
      <c r="A281" t="s">
        <v>7</v>
      </c>
      <c r="C281" s="64" t="s">
        <v>1392</v>
      </c>
      <c r="D281" s="363" t="s">
        <v>2394</v>
      </c>
      <c r="E281" s="64" t="s">
        <v>917</v>
      </c>
      <c r="F281" s="64">
        <v>2.73</v>
      </c>
      <c r="G281" s="64" t="s">
        <v>1837</v>
      </c>
      <c r="H281" s="64" t="s">
        <v>2371</v>
      </c>
      <c r="I281" s="64" t="s">
        <v>1871</v>
      </c>
      <c r="J281" s="64"/>
      <c r="L281" s="65">
        <v>8.64</v>
      </c>
      <c r="M281" s="65">
        <f>Table13[[#This Row],[Price]]/Table13[[#This Row],[Area (ft2)]]</f>
        <v>3.1648351648351651</v>
      </c>
      <c r="N281" s="65"/>
      <c r="P281" s="39"/>
      <c r="S281" s="39"/>
      <c r="U281">
        <v>2023</v>
      </c>
      <c r="W281" t="s">
        <v>99</v>
      </c>
      <c r="X281" s="64" t="s">
        <v>2395</v>
      </c>
      <c r="Y281" t="s">
        <v>3414</v>
      </c>
    </row>
    <row r="282" spans="1:25" x14ac:dyDescent="0.2">
      <c r="A282" t="s">
        <v>7</v>
      </c>
      <c r="C282" s="64" t="s">
        <v>1392</v>
      </c>
      <c r="D282" s="363" t="s">
        <v>2396</v>
      </c>
      <c r="E282" s="64" t="s">
        <v>917</v>
      </c>
      <c r="F282" s="64">
        <v>1.87</v>
      </c>
      <c r="G282" s="64" t="s">
        <v>1843</v>
      </c>
      <c r="H282" s="64" t="s">
        <v>2397</v>
      </c>
      <c r="I282" s="64" t="s">
        <v>1871</v>
      </c>
      <c r="J282" s="64"/>
      <c r="L282" s="65">
        <v>7.22</v>
      </c>
      <c r="M282" s="65">
        <f>Table13[[#This Row],[Price]]/Table13[[#This Row],[Area (ft2)]]</f>
        <v>3.8609625668449192</v>
      </c>
      <c r="N282" s="65"/>
      <c r="P282" s="39"/>
      <c r="S282" s="39"/>
      <c r="U282">
        <v>2023</v>
      </c>
      <c r="W282" t="s">
        <v>99</v>
      </c>
      <c r="X282" s="64" t="s">
        <v>2398</v>
      </c>
      <c r="Y282" t="s">
        <v>3414</v>
      </c>
    </row>
    <row r="283" spans="1:25" x14ac:dyDescent="0.2">
      <c r="A283" t="s">
        <v>7</v>
      </c>
      <c r="C283" s="64" t="s">
        <v>1392</v>
      </c>
      <c r="D283" s="363" t="s">
        <v>2399</v>
      </c>
      <c r="E283" s="64" t="s">
        <v>917</v>
      </c>
      <c r="F283" s="64">
        <v>1.71</v>
      </c>
      <c r="G283" s="64" t="s">
        <v>1844</v>
      </c>
      <c r="H283" s="64" t="s">
        <v>2400</v>
      </c>
      <c r="I283" s="64" t="s">
        <v>1871</v>
      </c>
      <c r="J283" s="64"/>
      <c r="L283" s="65">
        <v>8.49</v>
      </c>
      <c r="M283" s="65">
        <f>Table13[[#This Row],[Price]]/Table13[[#This Row],[Area (ft2)]]</f>
        <v>4.9649122807017543</v>
      </c>
      <c r="N283" s="65"/>
      <c r="P283" s="39"/>
      <c r="S283" s="39"/>
      <c r="U283">
        <v>2023</v>
      </c>
      <c r="W283" t="s">
        <v>99</v>
      </c>
      <c r="X283" s="64" t="s">
        <v>2401</v>
      </c>
      <c r="Y283" t="s">
        <v>3414</v>
      </c>
    </row>
    <row r="284" spans="1:25" x14ac:dyDescent="0.2">
      <c r="A284" t="s">
        <v>7</v>
      </c>
      <c r="C284" s="64" t="s">
        <v>2063</v>
      </c>
      <c r="D284" s="363" t="s">
        <v>2402</v>
      </c>
      <c r="E284" s="64" t="s">
        <v>917</v>
      </c>
      <c r="F284" s="64">
        <v>19.600000000000001</v>
      </c>
      <c r="G284" s="64" t="s">
        <v>1837</v>
      </c>
      <c r="H284" s="64" t="s">
        <v>2403</v>
      </c>
      <c r="I284" s="64" t="s">
        <v>1871</v>
      </c>
      <c r="J284" s="64"/>
      <c r="L284" s="65">
        <v>128.38999999999999</v>
      </c>
      <c r="M284" s="65">
        <f>Table13[[#This Row],[Price]]/Table13[[#This Row],[Area (ft2)]]</f>
        <v>6.5505102040816316</v>
      </c>
      <c r="N284" s="65"/>
      <c r="P284" s="39"/>
      <c r="S284" s="39"/>
      <c r="U284">
        <v>2023</v>
      </c>
      <c r="W284" t="s">
        <v>99</v>
      </c>
      <c r="X284" s="64" t="s">
        <v>2404</v>
      </c>
      <c r="Y284" t="s">
        <v>3414</v>
      </c>
    </row>
    <row r="285" spans="1:25" x14ac:dyDescent="0.2">
      <c r="A285" t="s">
        <v>7</v>
      </c>
      <c r="C285" s="64" t="s">
        <v>2063</v>
      </c>
      <c r="D285" s="363" t="s">
        <v>2405</v>
      </c>
      <c r="E285" s="64" t="s">
        <v>917</v>
      </c>
      <c r="F285" s="64">
        <v>0.42</v>
      </c>
      <c r="G285" s="64" t="s">
        <v>1837</v>
      </c>
      <c r="H285" s="64" t="s">
        <v>2300</v>
      </c>
      <c r="I285" s="64" t="s">
        <v>1871</v>
      </c>
      <c r="J285" s="64"/>
      <c r="L285" s="65">
        <v>12.99</v>
      </c>
      <c r="M285" s="65">
        <f>Table13[[#This Row],[Price]]/Table13[[#This Row],[Area (ft2)]]</f>
        <v>30.928571428571431</v>
      </c>
      <c r="N285" s="65"/>
      <c r="P285" s="39"/>
      <c r="S285" s="39"/>
      <c r="U285">
        <v>2023</v>
      </c>
      <c r="W285" t="s">
        <v>99</v>
      </c>
      <c r="X285" s="64" t="s">
        <v>2406</v>
      </c>
      <c r="Y285" t="s">
        <v>3414</v>
      </c>
    </row>
    <row r="286" spans="1:25" x14ac:dyDescent="0.2">
      <c r="A286" t="s">
        <v>7</v>
      </c>
      <c r="C286" s="64" t="s">
        <v>2407</v>
      </c>
      <c r="D286" s="363" t="s">
        <v>2408</v>
      </c>
      <c r="E286" s="64" t="s">
        <v>991</v>
      </c>
      <c r="F286" s="64">
        <v>25</v>
      </c>
      <c r="G286" s="64" t="s">
        <v>1835</v>
      </c>
      <c r="H286" s="64" t="s">
        <v>1835</v>
      </c>
      <c r="I286" s="64" t="s">
        <v>1846</v>
      </c>
      <c r="J286" s="64"/>
      <c r="L286" s="65">
        <v>143.56</v>
      </c>
      <c r="M286" s="65">
        <f>Table13[[#This Row],[Price]]/Table13[[#This Row],[Area (ft2)]]</f>
        <v>5.7423999999999999</v>
      </c>
      <c r="N286" s="65"/>
      <c r="P286" s="39"/>
      <c r="S286" s="39"/>
      <c r="U286">
        <v>2023</v>
      </c>
      <c r="W286" t="s">
        <v>99</v>
      </c>
      <c r="X286" s="64" t="s">
        <v>2409</v>
      </c>
      <c r="Y286" t="s">
        <v>3414</v>
      </c>
    </row>
    <row r="287" spans="1:25" x14ac:dyDescent="0.2">
      <c r="A287" t="s">
        <v>7</v>
      </c>
      <c r="C287" s="64" t="s">
        <v>2410</v>
      </c>
      <c r="D287" s="363" t="s">
        <v>2411</v>
      </c>
      <c r="E287" s="64" t="s">
        <v>991</v>
      </c>
      <c r="F287" s="64">
        <v>32</v>
      </c>
      <c r="G287" s="64" t="s">
        <v>1839</v>
      </c>
      <c r="H287" s="64" t="s">
        <v>2412</v>
      </c>
      <c r="I287" s="64" t="s">
        <v>1846</v>
      </c>
      <c r="J287" s="64"/>
      <c r="L287" s="65">
        <v>39.82</v>
      </c>
      <c r="M287" s="65">
        <f>Table13[[#This Row],[Price]]/Table13[[#This Row],[Area (ft2)]]</f>
        <v>1.244375</v>
      </c>
      <c r="N287" s="65"/>
      <c r="P287" s="39"/>
      <c r="S287" s="39"/>
      <c r="U287">
        <v>2023</v>
      </c>
      <c r="W287" t="s">
        <v>99</v>
      </c>
      <c r="X287" s="64" t="s">
        <v>2413</v>
      </c>
      <c r="Y287" t="s">
        <v>3414</v>
      </c>
    </row>
    <row r="288" spans="1:25" x14ac:dyDescent="0.2">
      <c r="A288" t="s">
        <v>7</v>
      </c>
      <c r="C288" s="64" t="s">
        <v>2414</v>
      </c>
      <c r="D288" s="363">
        <v>871934</v>
      </c>
      <c r="E288" s="64" t="s">
        <v>991</v>
      </c>
      <c r="F288" s="64">
        <v>32</v>
      </c>
      <c r="G288" s="64" t="s">
        <v>1841</v>
      </c>
      <c r="H288" s="64" t="s">
        <v>1846</v>
      </c>
      <c r="I288" s="64" t="s">
        <v>1846</v>
      </c>
      <c r="J288" s="64"/>
      <c r="L288" s="65">
        <v>54.86</v>
      </c>
      <c r="M288" s="65">
        <f>Table13[[#This Row],[Price]]/Table13[[#This Row],[Area (ft2)]]</f>
        <v>1.714375</v>
      </c>
      <c r="N288" s="65"/>
      <c r="P288" s="39"/>
      <c r="S288" s="39"/>
      <c r="U288">
        <v>2023</v>
      </c>
      <c r="W288" t="s">
        <v>99</v>
      </c>
      <c r="X288" s="64" t="s">
        <v>2415</v>
      </c>
      <c r="Y288" t="s">
        <v>3414</v>
      </c>
    </row>
    <row r="289" spans="1:25" x14ac:dyDescent="0.2">
      <c r="A289" t="s">
        <v>7</v>
      </c>
      <c r="C289" s="64"/>
      <c r="D289" s="363" t="s">
        <v>2416</v>
      </c>
      <c r="E289" s="64" t="s">
        <v>991</v>
      </c>
      <c r="F289" s="64">
        <v>6.1</v>
      </c>
      <c r="G289" s="64" t="s">
        <v>1835</v>
      </c>
      <c r="H289" s="64" t="s">
        <v>2417</v>
      </c>
      <c r="I289" s="64" t="s">
        <v>1846</v>
      </c>
      <c r="J289" s="64"/>
      <c r="L289" s="65">
        <v>45.98</v>
      </c>
      <c r="M289" s="65">
        <f>Table13[[#This Row],[Price]]/Table13[[#This Row],[Area (ft2)]]</f>
        <v>7.5377049180327864</v>
      </c>
      <c r="N289" s="65"/>
      <c r="P289" s="39"/>
      <c r="S289" s="39"/>
      <c r="U289">
        <v>2023</v>
      </c>
      <c r="W289" t="s">
        <v>99</v>
      </c>
      <c r="X289" s="64" t="s">
        <v>2418</v>
      </c>
      <c r="Y289" t="s">
        <v>3414</v>
      </c>
    </row>
    <row r="290" spans="1:25" x14ac:dyDescent="0.2">
      <c r="A290" t="s">
        <v>7</v>
      </c>
      <c r="C290" s="64"/>
      <c r="D290" s="363" t="s">
        <v>2419</v>
      </c>
      <c r="E290" s="64" t="s">
        <v>991</v>
      </c>
      <c r="F290" s="64">
        <v>4.88</v>
      </c>
      <c r="G290" s="64" t="s">
        <v>1835</v>
      </c>
      <c r="H290" s="64" t="s">
        <v>2417</v>
      </c>
      <c r="I290" s="64" t="s">
        <v>1846</v>
      </c>
      <c r="J290" s="64"/>
      <c r="L290" s="65">
        <v>36.979999999999997</v>
      </c>
      <c r="M290" s="65">
        <f>Table13[[#This Row],[Price]]/Table13[[#This Row],[Area (ft2)]]</f>
        <v>7.5778688524590159</v>
      </c>
      <c r="N290" s="65"/>
      <c r="P290" s="39"/>
      <c r="S290" s="39"/>
      <c r="U290">
        <v>2023</v>
      </c>
      <c r="W290" t="s">
        <v>99</v>
      </c>
      <c r="X290" s="64" t="s">
        <v>2420</v>
      </c>
      <c r="Y290" t="s">
        <v>3414</v>
      </c>
    </row>
    <row r="291" spans="1:25" x14ac:dyDescent="0.2">
      <c r="A291" t="s">
        <v>7</v>
      </c>
      <c r="C291" s="64"/>
      <c r="D291" s="363" t="s">
        <v>2421</v>
      </c>
      <c r="E291" s="64" t="s">
        <v>991</v>
      </c>
      <c r="F291" s="64">
        <v>4.5999999999999996</v>
      </c>
      <c r="G291" s="64" t="s">
        <v>1835</v>
      </c>
      <c r="H291" s="64" t="s">
        <v>2417</v>
      </c>
      <c r="I291" s="64" t="s">
        <v>1846</v>
      </c>
      <c r="J291" s="64"/>
      <c r="L291" s="65">
        <v>33.479999999999997</v>
      </c>
      <c r="M291" s="65">
        <f>Table13[[#This Row],[Price]]/Table13[[#This Row],[Area (ft2)]]</f>
        <v>7.2782608695652176</v>
      </c>
      <c r="N291" s="65"/>
      <c r="P291" s="39"/>
      <c r="S291" s="39"/>
      <c r="U291">
        <v>2023</v>
      </c>
      <c r="W291" t="s">
        <v>99</v>
      </c>
      <c r="X291" s="64" t="s">
        <v>2422</v>
      </c>
      <c r="Y291" t="s">
        <v>3414</v>
      </c>
    </row>
    <row r="292" spans="1:25" x14ac:dyDescent="0.2">
      <c r="A292" t="s">
        <v>7</v>
      </c>
      <c r="C292" s="64"/>
      <c r="D292" s="363" t="s">
        <v>2423</v>
      </c>
      <c r="E292" s="64" t="s">
        <v>991</v>
      </c>
      <c r="F292" s="64">
        <v>7.36</v>
      </c>
      <c r="G292" s="64" t="s">
        <v>1835</v>
      </c>
      <c r="H292" s="64" t="s">
        <v>2417</v>
      </c>
      <c r="I292" s="64" t="s">
        <v>1846</v>
      </c>
      <c r="J292" s="64"/>
      <c r="L292" s="65">
        <v>49.98</v>
      </c>
      <c r="M292" s="65">
        <f>Table13[[#This Row],[Price]]/Table13[[#This Row],[Area (ft2)]]</f>
        <v>6.7907608695652169</v>
      </c>
      <c r="N292" s="65"/>
      <c r="P292" s="39"/>
      <c r="S292" s="39"/>
      <c r="U292">
        <v>2023</v>
      </c>
      <c r="W292" t="s">
        <v>99</v>
      </c>
      <c r="X292" s="64" t="s">
        <v>2424</v>
      </c>
      <c r="Y292" t="s">
        <v>3414</v>
      </c>
    </row>
    <row r="293" spans="1:25" x14ac:dyDescent="0.2">
      <c r="A293" t="s">
        <v>7</v>
      </c>
      <c r="C293" s="64" t="s">
        <v>2063</v>
      </c>
      <c r="D293" s="363" t="s">
        <v>2425</v>
      </c>
      <c r="E293" s="64" t="s">
        <v>991</v>
      </c>
      <c r="F293" s="64">
        <v>17.600000000000001</v>
      </c>
      <c r="G293" s="64" t="s">
        <v>1837</v>
      </c>
      <c r="H293" s="64" t="s">
        <v>2426</v>
      </c>
      <c r="I293" s="64" t="s">
        <v>1871</v>
      </c>
      <c r="J293" s="64"/>
      <c r="L293" s="65">
        <v>142.80000000000001</v>
      </c>
      <c r="M293" s="65">
        <f>Table13[[#This Row],[Price]]/Table13[[#This Row],[Area (ft2)]]</f>
        <v>8.1136363636363633</v>
      </c>
      <c r="N293" s="65"/>
      <c r="P293" s="39"/>
      <c r="S293" s="39"/>
      <c r="U293">
        <v>2023</v>
      </c>
      <c r="W293" t="s">
        <v>99</v>
      </c>
      <c r="X293" s="64" t="s">
        <v>2427</v>
      </c>
      <c r="Y293" t="s">
        <v>3414</v>
      </c>
    </row>
    <row r="294" spans="1:25" x14ac:dyDescent="0.2">
      <c r="A294" t="s">
        <v>7</v>
      </c>
      <c r="C294" s="64" t="s">
        <v>2063</v>
      </c>
      <c r="D294" s="363" t="s">
        <v>2428</v>
      </c>
      <c r="E294" s="64" t="s">
        <v>991</v>
      </c>
      <c r="F294" s="64">
        <v>12</v>
      </c>
      <c r="G294" s="64" t="s">
        <v>1844</v>
      </c>
      <c r="H294" s="64" t="s">
        <v>2312</v>
      </c>
      <c r="I294" s="64" t="s">
        <v>1871</v>
      </c>
      <c r="J294" s="64"/>
      <c r="L294" s="65">
        <v>120.17</v>
      </c>
      <c r="M294" s="65">
        <f>Table13[[#This Row],[Price]]/Table13[[#This Row],[Area (ft2)]]</f>
        <v>10.014166666666666</v>
      </c>
      <c r="N294" s="65"/>
      <c r="P294" s="39"/>
      <c r="S294" s="39"/>
      <c r="U294">
        <v>2023</v>
      </c>
      <c r="W294" t="s">
        <v>99</v>
      </c>
      <c r="X294" s="64" t="s">
        <v>2429</v>
      </c>
      <c r="Y294" t="s">
        <v>3414</v>
      </c>
    </row>
    <row r="295" spans="1:25" x14ac:dyDescent="0.2">
      <c r="A295" t="s">
        <v>7</v>
      </c>
      <c r="C295" s="64" t="s">
        <v>2063</v>
      </c>
      <c r="D295" s="363" t="s">
        <v>2430</v>
      </c>
      <c r="E295" s="64" t="s">
        <v>991</v>
      </c>
      <c r="F295" s="64">
        <v>12</v>
      </c>
      <c r="G295" s="64" t="s">
        <v>1844</v>
      </c>
      <c r="H295" s="64" t="s">
        <v>2312</v>
      </c>
      <c r="I295" s="64" t="s">
        <v>1871</v>
      </c>
      <c r="J295" s="64"/>
      <c r="L295" s="65">
        <v>120.17</v>
      </c>
      <c r="M295" s="65">
        <f>Table13[[#This Row],[Price]]/Table13[[#This Row],[Area (ft2)]]</f>
        <v>10.014166666666666</v>
      </c>
      <c r="N295" s="65"/>
      <c r="P295" s="39"/>
      <c r="S295" s="39"/>
      <c r="U295">
        <v>2023</v>
      </c>
      <c r="W295" t="s">
        <v>99</v>
      </c>
      <c r="X295" s="64" t="s">
        <v>2431</v>
      </c>
      <c r="Y295" t="s">
        <v>3414</v>
      </c>
    </row>
    <row r="296" spans="1:25" x14ac:dyDescent="0.2">
      <c r="A296" t="s">
        <v>7</v>
      </c>
      <c r="C296" s="64" t="s">
        <v>2063</v>
      </c>
      <c r="D296" s="363" t="s">
        <v>2432</v>
      </c>
      <c r="E296" s="64" t="s">
        <v>991</v>
      </c>
      <c r="F296" s="64">
        <v>17.600000000000001</v>
      </c>
      <c r="G296" s="64" t="s">
        <v>1839</v>
      </c>
      <c r="H296" s="64" t="s">
        <v>2293</v>
      </c>
      <c r="I296" s="64" t="s">
        <v>1871</v>
      </c>
      <c r="J296" s="64"/>
      <c r="L296" s="65">
        <v>142.80000000000001</v>
      </c>
      <c r="M296" s="65">
        <f>Table13[[#This Row],[Price]]/Table13[[#This Row],[Area (ft2)]]</f>
        <v>8.1136363636363633</v>
      </c>
      <c r="N296" s="65"/>
      <c r="P296" s="39"/>
      <c r="S296" s="39"/>
      <c r="U296">
        <v>2023</v>
      </c>
      <c r="W296" t="s">
        <v>99</v>
      </c>
      <c r="X296" s="64" t="s">
        <v>2433</v>
      </c>
      <c r="Y296" t="s">
        <v>3414</v>
      </c>
    </row>
    <row r="297" spans="1:25" x14ac:dyDescent="0.2">
      <c r="A297" t="s">
        <v>7</v>
      </c>
      <c r="C297" s="64" t="s">
        <v>2063</v>
      </c>
      <c r="D297" s="363" t="s">
        <v>2434</v>
      </c>
      <c r="E297" s="64" t="s">
        <v>991</v>
      </c>
      <c r="F297" s="64">
        <v>17.600000000000001</v>
      </c>
      <c r="G297" s="64" t="s">
        <v>1839</v>
      </c>
      <c r="H297" s="64" t="s">
        <v>2293</v>
      </c>
      <c r="I297" s="64" t="s">
        <v>1871</v>
      </c>
      <c r="J297" s="64"/>
      <c r="L297" s="65">
        <v>142.80000000000001</v>
      </c>
      <c r="M297" s="65">
        <f>Table13[[#This Row],[Price]]/Table13[[#This Row],[Area (ft2)]]</f>
        <v>8.1136363636363633</v>
      </c>
      <c r="N297" s="65"/>
      <c r="P297" s="39"/>
      <c r="S297" s="39"/>
      <c r="U297">
        <v>2023</v>
      </c>
      <c r="W297" t="s">
        <v>99</v>
      </c>
      <c r="X297" s="64" t="s">
        <v>2435</v>
      </c>
      <c r="Y297" t="s">
        <v>3414</v>
      </c>
    </row>
    <row r="298" spans="1:25" x14ac:dyDescent="0.2">
      <c r="A298" t="s">
        <v>7</v>
      </c>
      <c r="C298" s="64" t="s">
        <v>2063</v>
      </c>
      <c r="D298" s="363" t="s">
        <v>2436</v>
      </c>
      <c r="E298" s="64" t="s">
        <v>991</v>
      </c>
      <c r="F298" s="64">
        <v>17.600000000000001</v>
      </c>
      <c r="G298" s="64" t="s">
        <v>1837</v>
      </c>
      <c r="H298" s="64" t="s">
        <v>2312</v>
      </c>
      <c r="I298" s="64" t="s">
        <v>1871</v>
      </c>
      <c r="J298" s="64"/>
      <c r="L298" s="65">
        <v>142.80000000000001</v>
      </c>
      <c r="M298" s="65">
        <f>Table13[[#This Row],[Price]]/Table13[[#This Row],[Area (ft2)]]</f>
        <v>8.1136363636363633</v>
      </c>
      <c r="N298" s="65"/>
      <c r="P298" s="39"/>
      <c r="S298" s="39"/>
      <c r="U298">
        <v>2023</v>
      </c>
      <c r="W298" t="s">
        <v>99</v>
      </c>
      <c r="X298" s="64" t="s">
        <v>2437</v>
      </c>
      <c r="Y298" t="s">
        <v>3414</v>
      </c>
    </row>
    <row r="299" spans="1:25" x14ac:dyDescent="0.2">
      <c r="A299" t="s">
        <v>7</v>
      </c>
      <c r="C299" s="64" t="s">
        <v>2063</v>
      </c>
      <c r="D299" s="363" t="s">
        <v>2438</v>
      </c>
      <c r="E299" s="64" t="s">
        <v>991</v>
      </c>
      <c r="F299" s="64">
        <v>17.600000000000001</v>
      </c>
      <c r="G299" s="64" t="s">
        <v>1835</v>
      </c>
      <c r="H299" s="64" t="s">
        <v>2439</v>
      </c>
      <c r="I299" s="64" t="s">
        <v>1871</v>
      </c>
      <c r="J299" s="64"/>
      <c r="L299" s="65">
        <v>142.80000000000001</v>
      </c>
      <c r="M299" s="65">
        <f>Table13[[#This Row],[Price]]/Table13[[#This Row],[Area (ft2)]]</f>
        <v>8.1136363636363633</v>
      </c>
      <c r="N299" s="65"/>
      <c r="P299" s="39"/>
      <c r="S299" s="39"/>
      <c r="U299">
        <v>2023</v>
      </c>
      <c r="W299" t="s">
        <v>99</v>
      </c>
      <c r="X299" s="64" t="s">
        <v>2440</v>
      </c>
      <c r="Y299" t="s">
        <v>3414</v>
      </c>
    </row>
    <row r="300" spans="1:25" x14ac:dyDescent="0.2">
      <c r="A300" t="s">
        <v>7</v>
      </c>
      <c r="C300" s="64" t="s">
        <v>2063</v>
      </c>
      <c r="D300" s="363" t="s">
        <v>2441</v>
      </c>
      <c r="E300" s="64" t="s">
        <v>991</v>
      </c>
      <c r="F300" s="64">
        <v>12</v>
      </c>
      <c r="G300" s="64" t="s">
        <v>1839</v>
      </c>
      <c r="H300" s="64" t="s">
        <v>2442</v>
      </c>
      <c r="I300" s="64" t="s">
        <v>1871</v>
      </c>
      <c r="J300" s="64"/>
      <c r="L300" s="65">
        <v>120.17</v>
      </c>
      <c r="M300" s="65">
        <f>Table13[[#This Row],[Price]]/Table13[[#This Row],[Area (ft2)]]</f>
        <v>10.014166666666666</v>
      </c>
      <c r="N300" s="65"/>
      <c r="P300" s="39"/>
      <c r="S300" s="39"/>
      <c r="U300">
        <v>2023</v>
      </c>
      <c r="W300" t="s">
        <v>99</v>
      </c>
      <c r="X300" s="64" t="s">
        <v>2443</v>
      </c>
      <c r="Y300" t="s">
        <v>3414</v>
      </c>
    </row>
    <row r="301" spans="1:25" x14ac:dyDescent="0.2">
      <c r="A301" t="s">
        <v>7</v>
      </c>
      <c r="C301" s="64" t="s">
        <v>2063</v>
      </c>
      <c r="D301" s="363" t="s">
        <v>2444</v>
      </c>
      <c r="E301" s="64" t="s">
        <v>991</v>
      </c>
      <c r="F301" s="64">
        <v>17.600000000000001</v>
      </c>
      <c r="G301" s="64" t="s">
        <v>1837</v>
      </c>
      <c r="H301" s="64" t="s">
        <v>2445</v>
      </c>
      <c r="I301" s="64" t="s">
        <v>1871</v>
      </c>
      <c r="J301" s="64"/>
      <c r="L301" s="65">
        <v>142.80000000000001</v>
      </c>
      <c r="M301" s="65">
        <f>Table13[[#This Row],[Price]]/Table13[[#This Row],[Area (ft2)]]</f>
        <v>8.1136363636363633</v>
      </c>
      <c r="N301" s="65"/>
      <c r="P301" s="39"/>
      <c r="S301" s="39"/>
      <c r="U301">
        <v>2023</v>
      </c>
      <c r="W301" t="s">
        <v>99</v>
      </c>
      <c r="X301" s="64" t="s">
        <v>2446</v>
      </c>
      <c r="Y301" t="s">
        <v>3414</v>
      </c>
    </row>
    <row r="302" spans="1:25" x14ac:dyDescent="0.2">
      <c r="A302" t="s">
        <v>7</v>
      </c>
      <c r="C302" s="64" t="s">
        <v>2063</v>
      </c>
      <c r="D302" s="363" t="s">
        <v>2447</v>
      </c>
      <c r="E302" s="64" t="s">
        <v>991</v>
      </c>
      <c r="F302" s="64">
        <v>18</v>
      </c>
      <c r="G302" s="64" t="s">
        <v>1844</v>
      </c>
      <c r="H302" s="64" t="s">
        <v>2448</v>
      </c>
      <c r="I302" s="64" t="s">
        <v>1871</v>
      </c>
      <c r="J302" s="64"/>
      <c r="L302" s="65">
        <v>175</v>
      </c>
      <c r="M302" s="65">
        <f>Table13[[#This Row],[Price]]/Table13[[#This Row],[Area (ft2)]]</f>
        <v>9.7222222222222214</v>
      </c>
      <c r="N302" s="65"/>
      <c r="P302" s="39"/>
      <c r="S302" s="39"/>
      <c r="U302">
        <v>2023</v>
      </c>
      <c r="W302" t="s">
        <v>99</v>
      </c>
      <c r="X302" s="64" t="s">
        <v>2449</v>
      </c>
      <c r="Y302" t="s">
        <v>3414</v>
      </c>
    </row>
    <row r="303" spans="1:25" x14ac:dyDescent="0.2">
      <c r="A303" t="s">
        <v>7</v>
      </c>
      <c r="C303" s="64" t="s">
        <v>2063</v>
      </c>
      <c r="D303" s="363" t="s">
        <v>2450</v>
      </c>
      <c r="E303" s="64" t="s">
        <v>991</v>
      </c>
      <c r="F303" s="64">
        <v>17.600000000000001</v>
      </c>
      <c r="G303" s="64" t="s">
        <v>1837</v>
      </c>
      <c r="H303" s="64" t="s">
        <v>2300</v>
      </c>
      <c r="I303" s="64" t="s">
        <v>1871</v>
      </c>
      <c r="J303" s="64"/>
      <c r="L303" s="65">
        <v>142.80000000000001</v>
      </c>
      <c r="M303" s="65">
        <f>Table13[[#This Row],[Price]]/Table13[[#This Row],[Area (ft2)]]</f>
        <v>8.1136363636363633</v>
      </c>
      <c r="N303" s="65"/>
      <c r="P303" s="39"/>
      <c r="S303" s="39"/>
      <c r="U303">
        <v>2023</v>
      </c>
      <c r="W303" t="s">
        <v>99</v>
      </c>
      <c r="X303" s="64" t="s">
        <v>2451</v>
      </c>
      <c r="Y303" t="s">
        <v>3414</v>
      </c>
    </row>
    <row r="304" spans="1:25" x14ac:dyDescent="0.2">
      <c r="A304" t="s">
        <v>7</v>
      </c>
      <c r="C304" s="64" t="s">
        <v>2063</v>
      </c>
      <c r="D304" s="363" t="s">
        <v>2452</v>
      </c>
      <c r="E304" s="64" t="s">
        <v>991</v>
      </c>
      <c r="F304" s="64">
        <v>17.600000000000001</v>
      </c>
      <c r="G304" s="64" t="s">
        <v>1841</v>
      </c>
      <c r="H304" s="64" t="s">
        <v>2453</v>
      </c>
      <c r="I304" s="64" t="s">
        <v>1871</v>
      </c>
      <c r="J304" s="64"/>
      <c r="L304" s="65">
        <v>142.80000000000001</v>
      </c>
      <c r="M304" s="65">
        <f>Table13[[#This Row],[Price]]/Table13[[#This Row],[Area (ft2)]]</f>
        <v>8.1136363636363633</v>
      </c>
      <c r="N304" s="65"/>
      <c r="P304" s="39"/>
      <c r="S304" s="39"/>
      <c r="U304">
        <v>2023</v>
      </c>
      <c r="W304" t="s">
        <v>99</v>
      </c>
      <c r="X304" s="64" t="s">
        <v>2454</v>
      </c>
      <c r="Y304" t="s">
        <v>3414</v>
      </c>
    </row>
    <row r="305" spans="1:25" x14ac:dyDescent="0.2">
      <c r="A305" t="s">
        <v>7</v>
      </c>
      <c r="C305" s="64" t="s">
        <v>2063</v>
      </c>
      <c r="D305" s="363" t="s">
        <v>2455</v>
      </c>
      <c r="E305" s="64" t="s">
        <v>991</v>
      </c>
      <c r="F305" s="64">
        <v>0.42</v>
      </c>
      <c r="G305" s="64" t="s">
        <v>1844</v>
      </c>
      <c r="H305" s="64" t="s">
        <v>2312</v>
      </c>
      <c r="I305" s="64" t="s">
        <v>1871</v>
      </c>
      <c r="J305" s="64"/>
      <c r="L305" s="65">
        <v>12.99</v>
      </c>
      <c r="M305" s="65">
        <f>Table13[[#This Row],[Price]]/Table13[[#This Row],[Area (ft2)]]</f>
        <v>30.928571428571431</v>
      </c>
      <c r="N305" s="65"/>
      <c r="P305" s="39"/>
      <c r="S305" s="39"/>
      <c r="U305">
        <v>2023</v>
      </c>
      <c r="W305" t="s">
        <v>99</v>
      </c>
      <c r="X305" s="64" t="s">
        <v>2456</v>
      </c>
      <c r="Y305" t="s">
        <v>3414</v>
      </c>
    </row>
    <row r="306" spans="1:25" x14ac:dyDescent="0.2">
      <c r="A306" t="s">
        <v>7</v>
      </c>
      <c r="C306" s="64" t="s">
        <v>2063</v>
      </c>
      <c r="D306" s="363" t="s">
        <v>2457</v>
      </c>
      <c r="E306" s="64" t="s">
        <v>991</v>
      </c>
      <c r="F306" s="64">
        <v>17.600000000000001</v>
      </c>
      <c r="G306" s="64" t="s">
        <v>1840</v>
      </c>
      <c r="H306" s="64" t="s">
        <v>2458</v>
      </c>
      <c r="I306" s="64" t="s">
        <v>1871</v>
      </c>
      <c r="J306" s="64"/>
      <c r="L306" s="65">
        <v>142.80000000000001</v>
      </c>
      <c r="M306" s="65">
        <f>Table13[[#This Row],[Price]]/Table13[[#This Row],[Area (ft2)]]</f>
        <v>8.1136363636363633</v>
      </c>
      <c r="N306" s="65"/>
      <c r="P306" s="39"/>
      <c r="S306" s="39"/>
      <c r="U306">
        <v>2023</v>
      </c>
      <c r="W306" t="s">
        <v>99</v>
      </c>
      <c r="X306" s="64" t="s">
        <v>2459</v>
      </c>
      <c r="Y306" t="s">
        <v>3414</v>
      </c>
    </row>
    <row r="307" spans="1:25" x14ac:dyDescent="0.2">
      <c r="A307" t="s">
        <v>7</v>
      </c>
      <c r="C307" s="64" t="s">
        <v>2063</v>
      </c>
      <c r="D307" s="363" t="s">
        <v>2460</v>
      </c>
      <c r="E307" s="64" t="s">
        <v>991</v>
      </c>
      <c r="F307" s="64">
        <v>0.42</v>
      </c>
      <c r="G307" s="64" t="s">
        <v>1839</v>
      </c>
      <c r="H307" s="64" t="s">
        <v>2442</v>
      </c>
      <c r="I307" s="64" t="s">
        <v>1871</v>
      </c>
      <c r="J307" s="64"/>
      <c r="L307" s="65">
        <v>12.99</v>
      </c>
      <c r="M307" s="65">
        <f>Table13[[#This Row],[Price]]/Table13[[#This Row],[Area (ft2)]]</f>
        <v>30.928571428571431</v>
      </c>
      <c r="N307" s="65"/>
      <c r="P307" s="39"/>
      <c r="S307" s="39"/>
      <c r="U307">
        <v>2023</v>
      </c>
      <c r="W307" t="s">
        <v>99</v>
      </c>
      <c r="X307" s="64" t="s">
        <v>2461</v>
      </c>
      <c r="Y307" t="s">
        <v>3414</v>
      </c>
    </row>
    <row r="308" spans="1:25" x14ac:dyDescent="0.2">
      <c r="A308" t="s">
        <v>7</v>
      </c>
      <c r="C308" s="64" t="s">
        <v>2063</v>
      </c>
      <c r="D308" s="363" t="s">
        <v>2462</v>
      </c>
      <c r="E308" s="64" t="s">
        <v>991</v>
      </c>
      <c r="F308" s="64">
        <v>0.42</v>
      </c>
      <c r="G308" s="64" t="s">
        <v>1837</v>
      </c>
      <c r="H308" s="64" t="s">
        <v>2463</v>
      </c>
      <c r="I308" s="64" t="s">
        <v>1871</v>
      </c>
      <c r="J308" s="64"/>
      <c r="L308" s="65">
        <v>12.99</v>
      </c>
      <c r="M308" s="65">
        <f>Table13[[#This Row],[Price]]/Table13[[#This Row],[Area (ft2)]]</f>
        <v>30.928571428571431</v>
      </c>
      <c r="N308" s="65"/>
      <c r="P308" s="39"/>
      <c r="S308" s="39"/>
      <c r="U308">
        <v>2023</v>
      </c>
      <c r="W308" t="s">
        <v>99</v>
      </c>
      <c r="X308" s="64" t="s">
        <v>2464</v>
      </c>
      <c r="Y308" t="s">
        <v>3414</v>
      </c>
    </row>
    <row r="309" spans="1:25" x14ac:dyDescent="0.2">
      <c r="A309" t="s">
        <v>7</v>
      </c>
      <c r="C309" s="64" t="s">
        <v>2063</v>
      </c>
      <c r="D309" s="363" t="s">
        <v>2465</v>
      </c>
      <c r="E309" s="64" t="s">
        <v>991</v>
      </c>
      <c r="F309" s="64">
        <v>0.42</v>
      </c>
      <c r="G309" s="64" t="s">
        <v>1839</v>
      </c>
      <c r="H309" s="64" t="s">
        <v>2466</v>
      </c>
      <c r="I309" s="64" t="s">
        <v>1871</v>
      </c>
      <c r="J309" s="64"/>
      <c r="L309" s="65">
        <v>12.99</v>
      </c>
      <c r="M309" s="65">
        <f>Table13[[#This Row],[Price]]/Table13[[#This Row],[Area (ft2)]]</f>
        <v>30.928571428571431</v>
      </c>
      <c r="N309" s="65"/>
      <c r="P309" s="39"/>
      <c r="S309" s="39"/>
      <c r="U309">
        <v>2023</v>
      </c>
      <c r="W309" t="s">
        <v>99</v>
      </c>
      <c r="X309" s="64" t="s">
        <v>2467</v>
      </c>
      <c r="Y309" t="s">
        <v>3414</v>
      </c>
    </row>
    <row r="310" spans="1:25" x14ac:dyDescent="0.2">
      <c r="A310" t="s">
        <v>7</v>
      </c>
      <c r="C310" s="64" t="s">
        <v>2063</v>
      </c>
      <c r="D310" s="363" t="s">
        <v>2468</v>
      </c>
      <c r="E310" s="64" t="s">
        <v>991</v>
      </c>
      <c r="F310" s="64">
        <v>18</v>
      </c>
      <c r="G310" s="64" t="s">
        <v>1844</v>
      </c>
      <c r="H310" s="64" t="s">
        <v>2448</v>
      </c>
      <c r="I310" s="64" t="s">
        <v>1871</v>
      </c>
      <c r="J310" s="64"/>
      <c r="L310" s="65">
        <v>175</v>
      </c>
      <c r="M310" s="65">
        <f>Table13[[#This Row],[Price]]/Table13[[#This Row],[Area (ft2)]]</f>
        <v>9.7222222222222214</v>
      </c>
      <c r="N310" s="65"/>
      <c r="P310" s="39"/>
      <c r="S310" s="39"/>
      <c r="U310">
        <v>2023</v>
      </c>
      <c r="W310" t="s">
        <v>99</v>
      </c>
      <c r="X310" s="64" t="s">
        <v>2469</v>
      </c>
      <c r="Y310" t="s">
        <v>3414</v>
      </c>
    </row>
    <row r="311" spans="1:25" x14ac:dyDescent="0.2">
      <c r="A311" t="s">
        <v>7</v>
      </c>
      <c r="C311" s="64" t="s">
        <v>2063</v>
      </c>
      <c r="D311" s="363" t="s">
        <v>2470</v>
      </c>
      <c r="E311" s="64" t="s">
        <v>991</v>
      </c>
      <c r="F311" s="64">
        <v>0.42</v>
      </c>
      <c r="G311" s="64" t="s">
        <v>1839</v>
      </c>
      <c r="H311" s="64" t="s">
        <v>2471</v>
      </c>
      <c r="I311" s="64" t="s">
        <v>1871</v>
      </c>
      <c r="J311" s="64"/>
      <c r="L311" s="65">
        <v>12.99</v>
      </c>
      <c r="M311" s="65">
        <f>Table13[[#This Row],[Price]]/Table13[[#This Row],[Area (ft2)]]</f>
        <v>30.928571428571431</v>
      </c>
      <c r="N311" s="65"/>
      <c r="P311" s="39"/>
      <c r="S311" s="39"/>
      <c r="U311">
        <v>2023</v>
      </c>
      <c r="W311" t="s">
        <v>99</v>
      </c>
      <c r="X311" s="64" t="s">
        <v>2472</v>
      </c>
      <c r="Y311" t="s">
        <v>3414</v>
      </c>
    </row>
    <row r="312" spans="1:25" x14ac:dyDescent="0.2">
      <c r="A312" t="s">
        <v>7</v>
      </c>
      <c r="C312" s="64" t="s">
        <v>2063</v>
      </c>
      <c r="D312" s="363" t="s">
        <v>2473</v>
      </c>
      <c r="E312" s="64" t="s">
        <v>991</v>
      </c>
      <c r="F312" s="64">
        <v>0.42</v>
      </c>
      <c r="G312" s="64" t="s">
        <v>1841</v>
      </c>
      <c r="H312" s="64" t="s">
        <v>2474</v>
      </c>
      <c r="I312" s="64" t="s">
        <v>1871</v>
      </c>
      <c r="J312" s="64"/>
      <c r="L312" s="65">
        <v>12.99</v>
      </c>
      <c r="M312" s="65">
        <f>Table13[[#This Row],[Price]]/Table13[[#This Row],[Area (ft2)]]</f>
        <v>30.928571428571431</v>
      </c>
      <c r="N312" s="65"/>
      <c r="P312" s="39"/>
      <c r="S312" s="39"/>
      <c r="U312">
        <v>2023</v>
      </c>
      <c r="W312" t="s">
        <v>99</v>
      </c>
      <c r="X312" s="64" t="s">
        <v>2475</v>
      </c>
      <c r="Y312" t="s">
        <v>3414</v>
      </c>
    </row>
    <row r="313" spans="1:25" x14ac:dyDescent="0.2">
      <c r="A313" t="s">
        <v>7</v>
      </c>
      <c r="C313" s="64" t="s">
        <v>2476</v>
      </c>
      <c r="D313" s="363">
        <v>113699</v>
      </c>
      <c r="E313" s="64" t="s">
        <v>991</v>
      </c>
      <c r="F313" s="64">
        <v>47.938000000000002</v>
      </c>
      <c r="G313" s="64" t="s">
        <v>1837</v>
      </c>
      <c r="H313" s="64" t="s">
        <v>1877</v>
      </c>
      <c r="I313" s="64" t="s">
        <v>1877</v>
      </c>
      <c r="J313" s="64"/>
      <c r="L313" s="65">
        <v>45.32</v>
      </c>
      <c r="M313" s="65">
        <f>Table13[[#This Row],[Price]]/Table13[[#This Row],[Area (ft2)]]</f>
        <v>0.94538779256539696</v>
      </c>
      <c r="N313" s="65"/>
      <c r="P313" s="39"/>
      <c r="S313" s="39"/>
      <c r="U313">
        <v>2023</v>
      </c>
      <c r="W313" t="s">
        <v>99</v>
      </c>
      <c r="X313" s="64" t="s">
        <v>2477</v>
      </c>
      <c r="Y313" t="s">
        <v>3414</v>
      </c>
    </row>
    <row r="314" spans="1:25" x14ac:dyDescent="0.2">
      <c r="A314" t="s">
        <v>7</v>
      </c>
      <c r="C314" s="64"/>
      <c r="D314" s="363">
        <v>905178</v>
      </c>
      <c r="E314" s="64" t="s">
        <v>991</v>
      </c>
      <c r="F314" s="64">
        <v>5.5</v>
      </c>
      <c r="G314" s="64" t="s">
        <v>1837</v>
      </c>
      <c r="H314" s="64" t="s">
        <v>1837</v>
      </c>
      <c r="I314" s="64" t="s">
        <v>1877</v>
      </c>
      <c r="J314" s="64"/>
      <c r="L314" s="65">
        <v>14.97</v>
      </c>
      <c r="M314" s="65">
        <f>Table13[[#This Row],[Price]]/Table13[[#This Row],[Area (ft2)]]</f>
        <v>2.7218181818181821</v>
      </c>
      <c r="N314" s="65"/>
      <c r="P314" s="39"/>
      <c r="S314" s="39"/>
      <c r="U314">
        <v>2023</v>
      </c>
      <c r="W314" t="s">
        <v>99</v>
      </c>
      <c r="X314" s="64" t="s">
        <v>2478</v>
      </c>
      <c r="Y314" t="s">
        <v>3414</v>
      </c>
    </row>
    <row r="315" spans="1:25" x14ac:dyDescent="0.2">
      <c r="A315" t="s">
        <v>7</v>
      </c>
      <c r="C315" s="64"/>
      <c r="D315" s="363">
        <v>399067</v>
      </c>
      <c r="E315" s="64" t="s">
        <v>991</v>
      </c>
      <c r="F315" s="64">
        <v>32</v>
      </c>
      <c r="G315" s="64" t="s">
        <v>1837</v>
      </c>
      <c r="H315" s="64" t="s">
        <v>1877</v>
      </c>
      <c r="I315" s="64" t="s">
        <v>1877</v>
      </c>
      <c r="J315" s="64"/>
      <c r="L315" s="65">
        <v>40.96</v>
      </c>
      <c r="M315" s="65">
        <f>Table13[[#This Row],[Price]]/Table13[[#This Row],[Area (ft2)]]</f>
        <v>1.28</v>
      </c>
      <c r="N315" s="65"/>
      <c r="P315" s="39"/>
      <c r="S315" s="39"/>
      <c r="U315">
        <v>2023</v>
      </c>
      <c r="W315" t="s">
        <v>99</v>
      </c>
      <c r="X315" s="64" t="s">
        <v>2479</v>
      </c>
      <c r="Y315" t="s">
        <v>3414</v>
      </c>
    </row>
    <row r="316" spans="1:25" x14ac:dyDescent="0.2">
      <c r="A316" t="s">
        <v>7</v>
      </c>
      <c r="C316" s="64"/>
      <c r="D316" s="363" t="s">
        <v>2480</v>
      </c>
      <c r="E316" s="64" t="s">
        <v>991</v>
      </c>
      <c r="F316" s="64">
        <v>3.125</v>
      </c>
      <c r="G316" s="64" t="s">
        <v>1837</v>
      </c>
      <c r="H316" s="64" t="s">
        <v>1837</v>
      </c>
      <c r="I316" s="64" t="s">
        <v>1877</v>
      </c>
      <c r="J316" s="64"/>
      <c r="L316" s="65">
        <v>9.9600000000000009</v>
      </c>
      <c r="M316" s="65">
        <f>Table13[[#This Row],[Price]]/Table13[[#This Row],[Area (ft2)]]</f>
        <v>3.1872000000000003</v>
      </c>
      <c r="N316" s="65"/>
      <c r="P316" s="39"/>
      <c r="S316" s="39"/>
      <c r="U316">
        <v>2023</v>
      </c>
      <c r="W316" t="s">
        <v>99</v>
      </c>
      <c r="X316" s="64" t="s">
        <v>2481</v>
      </c>
      <c r="Y316" t="s">
        <v>3414</v>
      </c>
    </row>
    <row r="317" spans="1:25" x14ac:dyDescent="0.2">
      <c r="A317" t="s">
        <v>7</v>
      </c>
      <c r="C317" s="64"/>
      <c r="D317" s="363" t="s">
        <v>2482</v>
      </c>
      <c r="E317" s="64" t="s">
        <v>991</v>
      </c>
      <c r="F317" s="64">
        <v>4.6879999999999997</v>
      </c>
      <c r="G317" s="64" t="s">
        <v>1837</v>
      </c>
      <c r="H317" s="64" t="s">
        <v>1837</v>
      </c>
      <c r="I317" s="64" t="s">
        <v>1877</v>
      </c>
      <c r="J317" s="64"/>
      <c r="L317" s="65">
        <v>14.94</v>
      </c>
      <c r="M317" s="65">
        <f>Table13[[#This Row],[Price]]/Table13[[#This Row],[Area (ft2)]]</f>
        <v>3.1868600682593859</v>
      </c>
      <c r="N317" s="65"/>
      <c r="P317" s="39"/>
      <c r="S317" s="39"/>
      <c r="U317">
        <v>2023</v>
      </c>
      <c r="W317" t="s">
        <v>99</v>
      </c>
      <c r="X317" s="64" t="s">
        <v>2483</v>
      </c>
      <c r="Y317" t="s">
        <v>3414</v>
      </c>
    </row>
    <row r="318" spans="1:25" x14ac:dyDescent="0.2">
      <c r="A318" t="s">
        <v>7</v>
      </c>
      <c r="C318" s="64" t="s">
        <v>2145</v>
      </c>
      <c r="D318" s="363" t="s">
        <v>2484</v>
      </c>
      <c r="E318" s="64"/>
      <c r="F318" s="64">
        <v>7.3</v>
      </c>
      <c r="G318" s="64" t="s">
        <v>1845</v>
      </c>
      <c r="H318" s="64" t="s">
        <v>2485</v>
      </c>
      <c r="I318" s="64"/>
      <c r="J318" s="64"/>
      <c r="L318" s="65">
        <v>104.18</v>
      </c>
      <c r="M318" s="65">
        <f>Table13[[#This Row],[Price]]/Table13[[#This Row],[Area (ft2)]]</f>
        <v>14.271232876712331</v>
      </c>
      <c r="N318" s="65"/>
      <c r="P318" s="39"/>
      <c r="S318" s="39"/>
      <c r="U318">
        <v>2023</v>
      </c>
      <c r="W318" t="s">
        <v>99</v>
      </c>
      <c r="X318" s="64" t="s">
        <v>2486</v>
      </c>
      <c r="Y318" t="s">
        <v>3414</v>
      </c>
    </row>
    <row r="319" spans="1:25" x14ac:dyDescent="0.2">
      <c r="A319" t="s">
        <v>7</v>
      </c>
      <c r="C319" s="64" t="s">
        <v>2145</v>
      </c>
      <c r="D319" s="363" t="s">
        <v>2489</v>
      </c>
      <c r="E319" s="64"/>
      <c r="F319" s="64">
        <v>7.2</v>
      </c>
      <c r="G319" s="64" t="s">
        <v>1838</v>
      </c>
      <c r="H319" s="64" t="s">
        <v>2147</v>
      </c>
      <c r="I319" s="64"/>
      <c r="J319" s="64"/>
      <c r="L319" s="65">
        <v>87.85</v>
      </c>
      <c r="M319" s="65">
        <f>Table13[[#This Row],[Price]]/Table13[[#This Row],[Area (ft2)]]</f>
        <v>12.201388888888888</v>
      </c>
      <c r="N319" s="65"/>
      <c r="P319" s="39"/>
      <c r="S319" s="39"/>
      <c r="U319">
        <v>2023</v>
      </c>
      <c r="W319" t="s">
        <v>99</v>
      </c>
      <c r="X319" s="64" t="s">
        <v>2490</v>
      </c>
      <c r="Y319" t="s">
        <v>3414</v>
      </c>
    </row>
    <row r="320" spans="1:25" x14ac:dyDescent="0.2">
      <c r="A320" t="s">
        <v>7</v>
      </c>
      <c r="C320" s="64" t="s">
        <v>1952</v>
      </c>
      <c r="D320" s="363" t="s">
        <v>2491</v>
      </c>
      <c r="E320" s="64"/>
      <c r="F320" s="64">
        <v>5</v>
      </c>
      <c r="G320" s="64" t="s">
        <v>1837</v>
      </c>
      <c r="H320" s="64" t="s">
        <v>2492</v>
      </c>
      <c r="I320" s="64"/>
      <c r="J320" s="64"/>
      <c r="L320" s="65">
        <v>70.83</v>
      </c>
      <c r="M320" s="65">
        <f>Table13[[#This Row],[Price]]/Table13[[#This Row],[Area (ft2)]]</f>
        <v>14.166</v>
      </c>
      <c r="N320" s="65"/>
      <c r="P320" s="39"/>
      <c r="S320" s="39"/>
      <c r="U320">
        <v>2023</v>
      </c>
      <c r="W320" t="s">
        <v>99</v>
      </c>
      <c r="X320" s="64" t="s">
        <v>2493</v>
      </c>
      <c r="Y320" t="s">
        <v>3414</v>
      </c>
    </row>
    <row r="321" spans="1:25" x14ac:dyDescent="0.2">
      <c r="A321" t="s">
        <v>7</v>
      </c>
      <c r="C321" s="64" t="s">
        <v>1952</v>
      </c>
      <c r="D321" s="363" t="s">
        <v>2494</v>
      </c>
      <c r="E321" s="64"/>
      <c r="F321" s="64">
        <v>5</v>
      </c>
      <c r="G321" s="64" t="s">
        <v>1835</v>
      </c>
      <c r="H321" s="64" t="s">
        <v>1835</v>
      </c>
      <c r="I321" s="64"/>
      <c r="J321" s="64"/>
      <c r="L321" s="65">
        <v>70.709999999999994</v>
      </c>
      <c r="M321" s="65">
        <f>Table13[[#This Row],[Price]]/Table13[[#This Row],[Area (ft2)]]</f>
        <v>14.141999999999999</v>
      </c>
      <c r="N321" s="65"/>
      <c r="P321" s="39"/>
      <c r="S321" s="39"/>
      <c r="U321">
        <v>2023</v>
      </c>
      <c r="W321" t="s">
        <v>99</v>
      </c>
      <c r="X321" s="64" t="s">
        <v>2495</v>
      </c>
      <c r="Y321" t="s">
        <v>3414</v>
      </c>
    </row>
    <row r="322" spans="1:25" x14ac:dyDescent="0.2">
      <c r="A322" t="s">
        <v>7</v>
      </c>
      <c r="C322" s="64" t="s">
        <v>1952</v>
      </c>
      <c r="D322" s="363" t="s">
        <v>2496</v>
      </c>
      <c r="E322" s="64"/>
      <c r="F322" s="64">
        <v>5</v>
      </c>
      <c r="G322" s="64" t="s">
        <v>1837</v>
      </c>
      <c r="H322" s="64" t="s">
        <v>2492</v>
      </c>
      <c r="I322" s="64"/>
      <c r="J322" s="64"/>
      <c r="L322" s="65">
        <v>70.83</v>
      </c>
      <c r="M322" s="65">
        <f>Table13[[#This Row],[Price]]/Table13[[#This Row],[Area (ft2)]]</f>
        <v>14.166</v>
      </c>
      <c r="N322" s="65"/>
      <c r="P322" s="39"/>
      <c r="S322" s="39"/>
      <c r="U322">
        <v>2023</v>
      </c>
      <c r="W322" t="s">
        <v>99</v>
      </c>
      <c r="X322" s="64" t="s">
        <v>2497</v>
      </c>
      <c r="Y322" t="s">
        <v>3414</v>
      </c>
    </row>
    <row r="323" spans="1:25" x14ac:dyDescent="0.2">
      <c r="A323" t="s">
        <v>7</v>
      </c>
      <c r="C323" s="64" t="s">
        <v>2498</v>
      </c>
      <c r="D323" s="363" t="s">
        <v>2499</v>
      </c>
      <c r="E323" s="64"/>
      <c r="F323" s="64">
        <v>15.56</v>
      </c>
      <c r="G323" s="64" t="s">
        <v>1837</v>
      </c>
      <c r="H323" s="64" t="s">
        <v>1837</v>
      </c>
      <c r="I323" s="64"/>
      <c r="J323" s="64"/>
      <c r="L323" s="65">
        <v>687.2</v>
      </c>
      <c r="M323" s="65">
        <f>Table13[[#This Row],[Price]]/Table13[[#This Row],[Area (ft2)]]</f>
        <v>44.164524421593832</v>
      </c>
      <c r="N323" s="65"/>
      <c r="P323" s="39"/>
      <c r="S323" s="39"/>
      <c r="U323">
        <v>2023</v>
      </c>
      <c r="W323" t="s">
        <v>99</v>
      </c>
      <c r="X323" s="64" t="s">
        <v>2500</v>
      </c>
      <c r="Y323" t="s">
        <v>3405</v>
      </c>
    </row>
    <row r="324" spans="1:25" x14ac:dyDescent="0.2">
      <c r="A324" t="s">
        <v>7</v>
      </c>
      <c r="C324" s="64" t="s">
        <v>1952</v>
      </c>
      <c r="D324" s="363" t="s">
        <v>2501</v>
      </c>
      <c r="E324" s="64"/>
      <c r="F324" s="64">
        <v>5</v>
      </c>
      <c r="G324" s="64" t="s">
        <v>1837</v>
      </c>
      <c r="H324" s="64" t="s">
        <v>2502</v>
      </c>
      <c r="I324" s="64"/>
      <c r="J324" s="64"/>
      <c r="L324" s="65">
        <v>70.83</v>
      </c>
      <c r="M324" s="65">
        <f>Table13[[#This Row],[Price]]/Table13[[#This Row],[Area (ft2)]]</f>
        <v>14.166</v>
      </c>
      <c r="N324" s="65"/>
      <c r="P324" s="39"/>
      <c r="S324" s="39"/>
      <c r="U324">
        <v>2023</v>
      </c>
      <c r="W324" t="s">
        <v>99</v>
      </c>
      <c r="X324" s="64" t="s">
        <v>2503</v>
      </c>
      <c r="Y324" t="s">
        <v>3414</v>
      </c>
    </row>
    <row r="325" spans="1:25" x14ac:dyDescent="0.2">
      <c r="A325" t="s">
        <v>7</v>
      </c>
      <c r="C325" s="64" t="s">
        <v>1952</v>
      </c>
      <c r="D325" s="363" t="s">
        <v>2504</v>
      </c>
      <c r="E325" s="64"/>
      <c r="F325" s="64">
        <v>5</v>
      </c>
      <c r="G325" s="64" t="s">
        <v>1841</v>
      </c>
      <c r="H325" s="64" t="s">
        <v>1841</v>
      </c>
      <c r="I325" s="64"/>
      <c r="J325" s="64"/>
      <c r="L325" s="65">
        <v>70.83</v>
      </c>
      <c r="M325" s="65">
        <f>Table13[[#This Row],[Price]]/Table13[[#This Row],[Area (ft2)]]</f>
        <v>14.166</v>
      </c>
      <c r="N325" s="65"/>
      <c r="P325" s="39"/>
      <c r="S325" s="39"/>
      <c r="U325">
        <v>2023</v>
      </c>
      <c r="W325" t="s">
        <v>99</v>
      </c>
      <c r="X325" s="64" t="s">
        <v>2505</v>
      </c>
      <c r="Y325" t="s">
        <v>3414</v>
      </c>
    </row>
    <row r="326" spans="1:25" x14ac:dyDescent="0.2">
      <c r="A326" t="s">
        <v>7</v>
      </c>
      <c r="C326" s="64" t="s">
        <v>1851</v>
      </c>
      <c r="D326" s="363" t="s">
        <v>2506</v>
      </c>
      <c r="E326" s="64"/>
      <c r="F326" s="64">
        <v>4</v>
      </c>
      <c r="G326" s="64" t="s">
        <v>1845</v>
      </c>
      <c r="H326" s="64" t="s">
        <v>1899</v>
      </c>
      <c r="I326" s="64"/>
      <c r="J326" s="64"/>
      <c r="L326" s="65">
        <v>62.92</v>
      </c>
      <c r="M326" s="65">
        <f>Table13[[#This Row],[Price]]/Table13[[#This Row],[Area (ft2)]]</f>
        <v>15.73</v>
      </c>
      <c r="N326" s="65"/>
      <c r="P326" s="39"/>
      <c r="S326" s="39"/>
      <c r="U326">
        <v>2023</v>
      </c>
      <c r="W326" t="s">
        <v>99</v>
      </c>
      <c r="X326" s="64" t="s">
        <v>2507</v>
      </c>
      <c r="Y326" t="s">
        <v>3414</v>
      </c>
    </row>
    <row r="327" spans="1:25" x14ac:dyDescent="0.2">
      <c r="A327" t="s">
        <v>7</v>
      </c>
      <c r="C327" s="64" t="s">
        <v>1952</v>
      </c>
      <c r="D327" s="363" t="s">
        <v>2508</v>
      </c>
      <c r="E327" s="64"/>
      <c r="F327" s="64">
        <v>5</v>
      </c>
      <c r="G327" s="64" t="s">
        <v>1841</v>
      </c>
      <c r="H327" s="64" t="s">
        <v>1841</v>
      </c>
      <c r="I327" s="64"/>
      <c r="J327" s="64"/>
      <c r="L327" s="65">
        <v>70.83</v>
      </c>
      <c r="M327" s="65">
        <f>Table13[[#This Row],[Price]]/Table13[[#This Row],[Area (ft2)]]</f>
        <v>14.166</v>
      </c>
      <c r="N327" s="65"/>
      <c r="P327" s="39"/>
      <c r="S327" s="39"/>
      <c r="U327">
        <v>2023</v>
      </c>
      <c r="W327" t="s">
        <v>99</v>
      </c>
      <c r="X327" s="64" t="s">
        <v>2509</v>
      </c>
      <c r="Y327" t="s">
        <v>3414</v>
      </c>
    </row>
    <row r="328" spans="1:25" x14ac:dyDescent="0.2">
      <c r="A328" t="s">
        <v>7</v>
      </c>
      <c r="C328" s="64" t="s">
        <v>1851</v>
      </c>
      <c r="D328" s="363" t="s">
        <v>2510</v>
      </c>
      <c r="E328" s="64"/>
      <c r="F328" s="64">
        <v>2</v>
      </c>
      <c r="G328" s="64" t="s">
        <v>1845</v>
      </c>
      <c r="H328" s="64" t="s">
        <v>2511</v>
      </c>
      <c r="I328" s="64"/>
      <c r="J328" s="64"/>
      <c r="L328" s="65">
        <v>81.83</v>
      </c>
      <c r="M328" s="65">
        <f>Table13[[#This Row],[Price]]/Table13[[#This Row],[Area (ft2)]]</f>
        <v>40.914999999999999</v>
      </c>
      <c r="N328" s="65"/>
      <c r="P328" s="39"/>
      <c r="S328" s="39"/>
      <c r="U328">
        <v>2023</v>
      </c>
      <c r="W328" t="s">
        <v>99</v>
      </c>
      <c r="X328" s="64" t="s">
        <v>2512</v>
      </c>
      <c r="Y328" t="s">
        <v>3414</v>
      </c>
    </row>
    <row r="329" spans="1:25" x14ac:dyDescent="0.2">
      <c r="A329" t="s">
        <v>7</v>
      </c>
      <c r="C329" s="64" t="s">
        <v>2116</v>
      </c>
      <c r="D329" s="363" t="s">
        <v>2513</v>
      </c>
      <c r="E329" s="64"/>
      <c r="F329" s="64">
        <v>2.14</v>
      </c>
      <c r="G329" s="64" t="s">
        <v>1838</v>
      </c>
      <c r="H329" s="64" t="s">
        <v>2134</v>
      </c>
      <c r="I329" s="64"/>
      <c r="J329" s="64"/>
      <c r="L329" s="65">
        <v>279.33999999999997</v>
      </c>
      <c r="M329" s="65">
        <f>Table13[[#This Row],[Price]]/Table13[[#This Row],[Area (ft2)]]</f>
        <v>130.53271028037381</v>
      </c>
      <c r="N329" s="65"/>
      <c r="P329" s="39"/>
      <c r="S329" s="39"/>
      <c r="U329">
        <v>2023</v>
      </c>
      <c r="W329" t="s">
        <v>99</v>
      </c>
      <c r="X329" s="64" t="s">
        <v>2514</v>
      </c>
      <c r="Y329" t="s">
        <v>3414</v>
      </c>
    </row>
    <row r="330" spans="1:25" x14ac:dyDescent="0.2">
      <c r="A330" t="s">
        <v>7</v>
      </c>
      <c r="C330" s="64" t="s">
        <v>2498</v>
      </c>
      <c r="D330" s="363" t="s">
        <v>2515</v>
      </c>
      <c r="E330" s="64"/>
      <c r="F330" s="64">
        <v>15.56</v>
      </c>
      <c r="G330" s="64" t="s">
        <v>1837</v>
      </c>
      <c r="H330" s="64" t="s">
        <v>1837</v>
      </c>
      <c r="I330" s="64"/>
      <c r="J330" s="64"/>
      <c r="L330" s="65">
        <v>809</v>
      </c>
      <c r="M330" s="65">
        <f>Table13[[#This Row],[Price]]/Table13[[#This Row],[Area (ft2)]]</f>
        <v>51.992287917737791</v>
      </c>
      <c r="N330" s="65"/>
      <c r="P330" s="39"/>
      <c r="S330" s="39"/>
      <c r="U330">
        <v>2023</v>
      </c>
      <c r="W330" t="s">
        <v>99</v>
      </c>
      <c r="X330" s="64" t="s">
        <v>2516</v>
      </c>
      <c r="Y330" t="s">
        <v>3405</v>
      </c>
    </row>
    <row r="331" spans="1:25" x14ac:dyDescent="0.2">
      <c r="A331" t="s">
        <v>7</v>
      </c>
      <c r="C331" s="64" t="s">
        <v>1952</v>
      </c>
      <c r="D331" s="363" t="s">
        <v>2517</v>
      </c>
      <c r="E331" s="64"/>
      <c r="F331" s="64">
        <v>5</v>
      </c>
      <c r="G331" s="64" t="s">
        <v>1838</v>
      </c>
      <c r="H331" s="64" t="s">
        <v>2518</v>
      </c>
      <c r="I331" s="64"/>
      <c r="J331" s="64"/>
      <c r="L331" s="65">
        <v>85.81</v>
      </c>
      <c r="M331" s="65">
        <f>Table13[[#This Row],[Price]]/Table13[[#This Row],[Area (ft2)]]</f>
        <v>17.161999999999999</v>
      </c>
      <c r="N331" s="65"/>
      <c r="P331" s="39"/>
      <c r="S331" s="39"/>
      <c r="U331">
        <v>2023</v>
      </c>
      <c r="W331" t="s">
        <v>99</v>
      </c>
      <c r="X331" s="64" t="s">
        <v>2519</v>
      </c>
      <c r="Y331" t="s">
        <v>3414</v>
      </c>
    </row>
    <row r="332" spans="1:25" x14ac:dyDescent="0.2">
      <c r="A332" t="s">
        <v>7</v>
      </c>
      <c r="C332" s="64" t="s">
        <v>1952</v>
      </c>
      <c r="D332" s="363" t="s">
        <v>2520</v>
      </c>
      <c r="E332" s="64"/>
      <c r="F332" s="64">
        <v>5</v>
      </c>
      <c r="G332" s="64" t="s">
        <v>1837</v>
      </c>
      <c r="H332" s="64" t="s">
        <v>2502</v>
      </c>
      <c r="I332" s="64"/>
      <c r="J332" s="64"/>
      <c r="L332" s="65">
        <v>70.83</v>
      </c>
      <c r="M332" s="65">
        <f>Table13[[#This Row],[Price]]/Table13[[#This Row],[Area (ft2)]]</f>
        <v>14.166</v>
      </c>
      <c r="N332" s="65"/>
      <c r="P332" s="39"/>
      <c r="S332" s="39"/>
      <c r="U332">
        <v>2023</v>
      </c>
      <c r="W332" t="s">
        <v>99</v>
      </c>
      <c r="X332" s="64" t="s">
        <v>2521</v>
      </c>
      <c r="Y332" t="s">
        <v>3414</v>
      </c>
    </row>
    <row r="333" spans="1:25" x14ac:dyDescent="0.2">
      <c r="A333" t="s">
        <v>7</v>
      </c>
      <c r="C333" s="64" t="s">
        <v>1952</v>
      </c>
      <c r="D333" s="363" t="s">
        <v>2522</v>
      </c>
      <c r="E333" s="64"/>
      <c r="F333" s="64">
        <v>5</v>
      </c>
      <c r="G333" s="64" t="s">
        <v>1835</v>
      </c>
      <c r="H333" s="64" t="s">
        <v>1835</v>
      </c>
      <c r="I333" s="64"/>
      <c r="J333" s="64"/>
      <c r="L333" s="65">
        <v>70.83</v>
      </c>
      <c r="M333" s="65">
        <f>Table13[[#This Row],[Price]]/Table13[[#This Row],[Area (ft2)]]</f>
        <v>14.166</v>
      </c>
      <c r="N333" s="65"/>
      <c r="P333" s="39"/>
      <c r="S333" s="39"/>
      <c r="U333">
        <v>2023</v>
      </c>
      <c r="W333" t="s">
        <v>99</v>
      </c>
      <c r="X333" s="64" t="s">
        <v>2523</v>
      </c>
      <c r="Y333" t="s">
        <v>3414</v>
      </c>
    </row>
    <row r="334" spans="1:25" x14ac:dyDescent="0.2">
      <c r="A334" t="s">
        <v>7</v>
      </c>
      <c r="C334" s="64" t="s">
        <v>2524</v>
      </c>
      <c r="D334" s="363">
        <v>259912003</v>
      </c>
      <c r="E334" s="64"/>
      <c r="F334" s="64">
        <v>1.63</v>
      </c>
      <c r="G334" s="64"/>
      <c r="H334" s="64" t="s">
        <v>1835</v>
      </c>
      <c r="I334" s="64" t="s">
        <v>1846</v>
      </c>
      <c r="J334" s="64"/>
      <c r="L334" s="65">
        <v>36.18</v>
      </c>
      <c r="M334" s="65">
        <f>Table13[[#This Row],[Price]]/Table13[[#This Row],[Area (ft2)]]</f>
        <v>22.19631901840491</v>
      </c>
      <c r="N334" s="65"/>
      <c r="P334" s="39"/>
      <c r="S334" s="39"/>
      <c r="U334">
        <v>2023</v>
      </c>
      <c r="W334" t="s">
        <v>99</v>
      </c>
      <c r="X334" s="64" t="s">
        <v>2525</v>
      </c>
      <c r="Y334" t="s">
        <v>3416</v>
      </c>
    </row>
    <row r="335" spans="1:25" x14ac:dyDescent="0.2">
      <c r="A335" t="s">
        <v>7</v>
      </c>
      <c r="C335" s="64" t="s">
        <v>2498</v>
      </c>
      <c r="D335" s="363" t="s">
        <v>2526</v>
      </c>
      <c r="E335" s="64"/>
      <c r="F335" s="64">
        <v>8.89</v>
      </c>
      <c r="G335" s="64" t="s">
        <v>1837</v>
      </c>
      <c r="H335" s="64" t="s">
        <v>1837</v>
      </c>
      <c r="I335" s="64"/>
      <c r="J335" s="64"/>
      <c r="L335" s="65">
        <v>432</v>
      </c>
      <c r="M335" s="65">
        <f>Table13[[#This Row],[Price]]/Table13[[#This Row],[Area (ft2)]]</f>
        <v>48.59392575928009</v>
      </c>
      <c r="N335" s="65"/>
      <c r="P335" s="39"/>
      <c r="S335" s="39"/>
      <c r="U335">
        <v>2023</v>
      </c>
      <c r="W335" t="s">
        <v>99</v>
      </c>
      <c r="X335" s="64" t="s">
        <v>2527</v>
      </c>
      <c r="Y335" t="s">
        <v>3405</v>
      </c>
    </row>
    <row r="336" spans="1:25" x14ac:dyDescent="0.2">
      <c r="A336" t="s">
        <v>7</v>
      </c>
      <c r="C336" s="64" t="s">
        <v>2528</v>
      </c>
      <c r="D336" s="363"/>
      <c r="E336" s="64"/>
      <c r="F336" s="64"/>
      <c r="G336" s="64"/>
      <c r="H336" s="64"/>
      <c r="I336" s="64" t="s">
        <v>1877</v>
      </c>
      <c r="J336" s="64"/>
      <c r="L336" s="65">
        <v>755</v>
      </c>
      <c r="M336" s="65">
        <f>Table13[[#This Row],[Price]]/129</f>
        <v>5.8527131782945734</v>
      </c>
      <c r="N336" s="65"/>
      <c r="O336">
        <v>3.6</v>
      </c>
      <c r="P336" s="39">
        <f>(615+70+101)/134</f>
        <v>5.8656716417910451</v>
      </c>
      <c r="Q336" s="66">
        <f>Table13[[#This Row],[Labor ($/SF)]]+Table13[[#This Row],[Material $/SF]]</f>
        <v>11.718384820085618</v>
      </c>
      <c r="R336">
        <v>1.3</v>
      </c>
      <c r="S336" s="39">
        <f>(215+76)/125</f>
        <v>2.3279999999999998</v>
      </c>
      <c r="U336">
        <v>2023</v>
      </c>
      <c r="V336" t="s">
        <v>1128</v>
      </c>
      <c r="W336" t="s">
        <v>338</v>
      </c>
      <c r="X336" s="64"/>
      <c r="Y336" t="s">
        <v>3414</v>
      </c>
    </row>
    <row r="337" spans="1:25" x14ac:dyDescent="0.2">
      <c r="A337" t="s">
        <v>7</v>
      </c>
      <c r="C337" s="64" t="s">
        <v>2528</v>
      </c>
      <c r="D337" s="363"/>
      <c r="E337" s="64"/>
      <c r="F337" s="64"/>
      <c r="G337" s="64"/>
      <c r="H337" s="64"/>
      <c r="I337" s="64" t="s">
        <v>1877</v>
      </c>
      <c r="J337" s="64"/>
      <c r="L337" s="65">
        <v>544</v>
      </c>
      <c r="M337" s="65">
        <f>Table13[[#This Row],[Price]]/129</f>
        <v>4.2170542635658919</v>
      </c>
      <c r="N337" s="65"/>
      <c r="O337">
        <v>3.6</v>
      </c>
      <c r="P337" s="39">
        <f>(255+61+67)/134</f>
        <v>2.8582089552238807</v>
      </c>
      <c r="Q337" s="66">
        <f>Table13[[#This Row],[Labor ($/SF)]]+Table13[[#This Row],[Material $/SF]]</f>
        <v>7.0752632187897726</v>
      </c>
      <c r="R337">
        <v>1.3</v>
      </c>
      <c r="S337" s="39">
        <f>(89+66)/125</f>
        <v>1.24</v>
      </c>
      <c r="U337">
        <v>2023</v>
      </c>
      <c r="V337" t="s">
        <v>1129</v>
      </c>
      <c r="W337" t="s">
        <v>338</v>
      </c>
      <c r="Y337" t="s">
        <v>3414</v>
      </c>
    </row>
    <row r="338" spans="1:25" x14ac:dyDescent="0.2">
      <c r="A338" t="s">
        <v>7</v>
      </c>
      <c r="C338" s="64" t="s">
        <v>2528</v>
      </c>
      <c r="D338" s="363"/>
      <c r="E338" s="64"/>
      <c r="F338" s="64"/>
      <c r="G338" s="64"/>
      <c r="H338" s="64"/>
      <c r="I338" s="64" t="s">
        <v>1877</v>
      </c>
      <c r="J338" s="64"/>
      <c r="L338" s="65">
        <v>705</v>
      </c>
      <c r="M338" s="65">
        <f>Table13[[#This Row],[Price]]/129</f>
        <v>5.4651162790697674</v>
      </c>
      <c r="N338" s="65"/>
      <c r="O338">
        <v>3.6</v>
      </c>
      <c r="P338" s="39">
        <f>(417+65+94)/134</f>
        <v>4.2985074626865671</v>
      </c>
      <c r="Q338" s="66">
        <f>Table13[[#This Row],[Labor ($/SF)]]+Table13[[#This Row],[Material $/SF]]</f>
        <v>9.7636237417563336</v>
      </c>
      <c r="R338">
        <v>1.3</v>
      </c>
      <c r="S338" s="39">
        <f>(146+71)/125</f>
        <v>1.736</v>
      </c>
      <c r="U338">
        <v>2023</v>
      </c>
      <c r="V338" t="s">
        <v>1130</v>
      </c>
      <c r="W338" t="s">
        <v>338</v>
      </c>
      <c r="Y338" t="s">
        <v>3414</v>
      </c>
    </row>
    <row r="339" spans="1:25" x14ac:dyDescent="0.2">
      <c r="A339" t="s">
        <v>7</v>
      </c>
      <c r="C339" s="64" t="s">
        <v>2528</v>
      </c>
      <c r="D339" s="363"/>
      <c r="E339" s="64"/>
      <c r="F339" s="64"/>
      <c r="G339" s="64"/>
      <c r="H339" s="64"/>
      <c r="I339" s="64" t="s">
        <v>1877</v>
      </c>
      <c r="J339" s="64"/>
      <c r="L339" s="65">
        <v>508</v>
      </c>
      <c r="M339" s="65">
        <f>Table13[[#This Row],[Price]]/129</f>
        <v>3.9379844961240309</v>
      </c>
      <c r="N339" s="65"/>
      <c r="O339">
        <v>3.6</v>
      </c>
      <c r="P339" s="39">
        <f>(172+57+63)/134</f>
        <v>2.1791044776119404</v>
      </c>
      <c r="Q339" s="66">
        <f>Table13[[#This Row],[Labor ($/SF)]]+Table13[[#This Row],[Material $/SF]]</f>
        <v>6.1170889737359708</v>
      </c>
      <c r="R339">
        <v>1.3</v>
      </c>
      <c r="S339" s="39">
        <f>(60+62)/125</f>
        <v>0.97599999999999998</v>
      </c>
      <c r="U339">
        <v>2023</v>
      </c>
      <c r="V339" t="s">
        <v>1131</v>
      </c>
      <c r="W339" t="s">
        <v>338</v>
      </c>
      <c r="Y339" t="s">
        <v>3414</v>
      </c>
    </row>
    <row r="340" spans="1:25" x14ac:dyDescent="0.2">
      <c r="A340" t="s">
        <v>7</v>
      </c>
      <c r="C340" s="64" t="s">
        <v>2528</v>
      </c>
      <c r="D340" s="363"/>
      <c r="E340" s="64"/>
      <c r="F340" s="64"/>
      <c r="G340" s="64"/>
      <c r="H340" s="64"/>
      <c r="I340" s="64" t="s">
        <v>1877</v>
      </c>
      <c r="J340" s="64"/>
      <c r="L340" s="65">
        <v>726</v>
      </c>
      <c r="M340" s="65">
        <f>Table13[[#This Row],[Price]]/129</f>
        <v>5.6279069767441863</v>
      </c>
      <c r="N340" s="65"/>
      <c r="O340">
        <v>3.6</v>
      </c>
      <c r="P340" s="39">
        <f>(500+67+97)/134</f>
        <v>4.955223880597015</v>
      </c>
      <c r="Q340" s="66">
        <f>Table13[[#This Row],[Labor ($/SF)]]+Table13[[#This Row],[Material $/SF]]</f>
        <v>10.583130857341201</v>
      </c>
      <c r="R340">
        <v>1.3</v>
      </c>
      <c r="S340" s="39">
        <f>(175+73)/125</f>
        <v>1.984</v>
      </c>
      <c r="U340">
        <v>2023</v>
      </c>
      <c r="V340" t="s">
        <v>1132</v>
      </c>
      <c r="W340" t="s">
        <v>338</v>
      </c>
      <c r="Y340" t="s">
        <v>3414</v>
      </c>
    </row>
    <row r="341" spans="1:25" x14ac:dyDescent="0.2">
      <c r="A341" t="s">
        <v>7</v>
      </c>
      <c r="C341" s="64" t="s">
        <v>2528</v>
      </c>
      <c r="D341" s="363"/>
      <c r="E341" s="64"/>
      <c r="F341" s="64"/>
      <c r="G341" s="64"/>
      <c r="H341" s="64"/>
      <c r="I341" s="64" t="s">
        <v>1877</v>
      </c>
      <c r="J341" s="64"/>
      <c r="L341" s="65">
        <v>523</v>
      </c>
      <c r="M341" s="65">
        <f>Table13[[#This Row],[Price]]/129</f>
        <v>4.054263565891473</v>
      </c>
      <c r="N341" s="65"/>
      <c r="O341">
        <v>3.6</v>
      </c>
      <c r="P341" s="39">
        <f>(207+59+65)/134</f>
        <v>2.4701492537313432</v>
      </c>
      <c r="Q341" s="66">
        <f>Table13[[#This Row],[Labor ($/SF)]]+Table13[[#This Row],[Material $/SF]]</f>
        <v>6.5244128196228157</v>
      </c>
      <c r="R341">
        <v>1.3</v>
      </c>
      <c r="S341" s="39">
        <f>(72+64)/125</f>
        <v>1.0880000000000001</v>
      </c>
      <c r="U341">
        <v>2023</v>
      </c>
      <c r="V341" t="s">
        <v>1133</v>
      </c>
      <c r="W341" t="s">
        <v>338</v>
      </c>
      <c r="Y341" t="s">
        <v>3414</v>
      </c>
    </row>
    <row r="342" spans="1:25" x14ac:dyDescent="0.2">
      <c r="A342" t="s">
        <v>7</v>
      </c>
      <c r="C342" s="64" t="s">
        <v>2528</v>
      </c>
      <c r="D342" s="363"/>
      <c r="E342" s="64"/>
      <c r="F342" s="64"/>
      <c r="G342" s="64"/>
      <c r="H342" s="64"/>
      <c r="I342" s="64" t="s">
        <v>1877</v>
      </c>
      <c r="J342" s="64"/>
      <c r="L342" s="65">
        <v>709</v>
      </c>
      <c r="M342" s="65">
        <f>Table13[[#This Row],[Price]]/129</f>
        <v>5.4961240310077519</v>
      </c>
      <c r="N342" s="65"/>
      <c r="O342">
        <v>3.6</v>
      </c>
      <c r="P342" s="39">
        <f>(436+65+95)/134</f>
        <v>4.4477611940298507</v>
      </c>
      <c r="Q342" s="66">
        <f>Table13[[#This Row],[Labor ($/SF)]]+Table13[[#This Row],[Material $/SF]]</f>
        <v>9.9438852250376026</v>
      </c>
      <c r="R342">
        <v>1.3</v>
      </c>
      <c r="S342" s="39">
        <f>(152+71)/125</f>
        <v>1.784</v>
      </c>
      <c r="U342">
        <v>2023</v>
      </c>
      <c r="V342" t="s">
        <v>1134</v>
      </c>
      <c r="W342" t="s">
        <v>338</v>
      </c>
      <c r="Y342" t="s">
        <v>3414</v>
      </c>
    </row>
    <row r="343" spans="1:25" x14ac:dyDescent="0.2">
      <c r="A343" t="s">
        <v>7</v>
      </c>
      <c r="C343" s="64" t="s">
        <v>2528</v>
      </c>
      <c r="D343" s="363"/>
      <c r="E343" s="64"/>
      <c r="F343" s="64"/>
      <c r="G343" s="64"/>
      <c r="H343" s="64"/>
      <c r="I343" s="64" t="s">
        <v>1877</v>
      </c>
      <c r="J343" s="64"/>
      <c r="L343" s="65">
        <v>511</v>
      </c>
      <c r="M343" s="65">
        <f>Table13[[#This Row],[Price]]/129</f>
        <v>3.9612403100775193</v>
      </c>
      <c r="N343" s="65"/>
      <c r="O343">
        <v>3.6</v>
      </c>
      <c r="P343" s="39">
        <f>(180+57+63)/134</f>
        <v>2.2388059701492535</v>
      </c>
      <c r="Q343" s="66">
        <f>Table13[[#This Row],[Labor ($/SF)]]+Table13[[#This Row],[Material $/SF]]</f>
        <v>6.2000462802267728</v>
      </c>
      <c r="R343">
        <v>1.3</v>
      </c>
      <c r="S343" s="39">
        <f>(63+62)/125</f>
        <v>1</v>
      </c>
      <c r="U343">
        <v>2023</v>
      </c>
      <c r="V343" t="s">
        <v>1135</v>
      </c>
      <c r="W343" t="s">
        <v>338</v>
      </c>
      <c r="Y343" t="s">
        <v>3414</v>
      </c>
    </row>
    <row r="344" spans="1:25" x14ac:dyDescent="0.2">
      <c r="A344" t="s">
        <v>7</v>
      </c>
      <c r="C344" s="64" t="s">
        <v>2528</v>
      </c>
      <c r="D344" s="363"/>
      <c r="E344" s="64"/>
      <c r="F344" s="64"/>
      <c r="G344" s="64"/>
      <c r="H344" s="64"/>
      <c r="I344" s="64" t="s">
        <v>1877</v>
      </c>
      <c r="J344" s="64"/>
      <c r="L344" s="65">
        <v>696</v>
      </c>
      <c r="M344" s="65">
        <f>Table13[[#This Row],[Price]]/129</f>
        <v>5.3953488372093021</v>
      </c>
      <c r="N344" s="65"/>
      <c r="O344">
        <v>3.6</v>
      </c>
      <c r="P344" s="39">
        <f>(384+64+93)/134</f>
        <v>4.0373134328358207</v>
      </c>
      <c r="Q344" s="66">
        <f>Table13[[#This Row],[Labor ($/SF)]]+Table13[[#This Row],[Material $/SF]]</f>
        <v>9.4326622700451228</v>
      </c>
      <c r="R344">
        <v>1.3</v>
      </c>
      <c r="S344" s="39">
        <f>(134+70)/125</f>
        <v>1.6319999999999999</v>
      </c>
      <c r="U344">
        <v>2023</v>
      </c>
      <c r="V344" t="s">
        <v>1136</v>
      </c>
      <c r="W344" t="s">
        <v>338</v>
      </c>
      <c r="Y344" t="s">
        <v>3414</v>
      </c>
    </row>
    <row r="345" spans="1:25" x14ac:dyDescent="0.2">
      <c r="A345" t="s">
        <v>7</v>
      </c>
      <c r="C345" s="64" t="s">
        <v>2528</v>
      </c>
      <c r="D345" s="363"/>
      <c r="E345" s="64"/>
      <c r="F345" s="64"/>
      <c r="G345" s="64"/>
      <c r="H345" s="64"/>
      <c r="I345" s="64" t="s">
        <v>1877</v>
      </c>
      <c r="J345" s="64"/>
      <c r="L345" s="65">
        <v>502</v>
      </c>
      <c r="M345" s="65">
        <f>Table13[[#This Row],[Price]]/129</f>
        <v>3.8914728682170541</v>
      </c>
      <c r="N345" s="65"/>
      <c r="O345">
        <v>3.6</v>
      </c>
      <c r="P345" s="39">
        <f>(159+56+62)/134</f>
        <v>2.0671641791044775</v>
      </c>
      <c r="Q345" s="66">
        <f>Table13[[#This Row],[Labor ($/SF)]]+Table13[[#This Row],[Material $/SF]]</f>
        <v>5.9586370473215311</v>
      </c>
      <c r="R345">
        <v>1.3</v>
      </c>
      <c r="S345" s="39">
        <f>(56+61)/125</f>
        <v>0.93600000000000005</v>
      </c>
      <c r="U345">
        <v>2023</v>
      </c>
      <c r="V345" t="s">
        <v>1137</v>
      </c>
      <c r="W345" t="s">
        <v>338</v>
      </c>
      <c r="Y345" t="s">
        <v>3414</v>
      </c>
    </row>
    <row r="346" spans="1:25" x14ac:dyDescent="0.2">
      <c r="A346" t="s">
        <v>7</v>
      </c>
      <c r="C346" s="64" t="s">
        <v>2528</v>
      </c>
      <c r="D346" s="363"/>
      <c r="E346" s="64"/>
      <c r="F346" s="64"/>
      <c r="G346" s="64"/>
      <c r="H346" s="64"/>
      <c r="I346" s="64" t="s">
        <v>1877</v>
      </c>
      <c r="J346" s="64"/>
      <c r="L346" s="65">
        <v>696</v>
      </c>
      <c r="M346" s="65">
        <f>Table13[[#This Row],[Price]]/129</f>
        <v>5.3953488372093021</v>
      </c>
      <c r="N346" s="65"/>
      <c r="O346">
        <v>3.6</v>
      </c>
      <c r="P346" s="39">
        <f>(383+64+93)/134</f>
        <v>4.0298507462686564</v>
      </c>
      <c r="Q346" s="66">
        <f>Table13[[#This Row],[Labor ($/SF)]]+Table13[[#This Row],[Material $/SF]]</f>
        <v>9.4251995834779585</v>
      </c>
      <c r="R346">
        <v>1.3</v>
      </c>
      <c r="S346" s="39">
        <f>(134+70)/125</f>
        <v>1.6319999999999999</v>
      </c>
      <c r="U346">
        <v>2023</v>
      </c>
      <c r="V346" t="s">
        <v>1138</v>
      </c>
      <c r="W346" t="s">
        <v>338</v>
      </c>
      <c r="Y346" t="s">
        <v>3414</v>
      </c>
    </row>
    <row r="347" spans="1:25" x14ac:dyDescent="0.2">
      <c r="A347" t="s">
        <v>7</v>
      </c>
      <c r="C347" s="64" t="s">
        <v>2528</v>
      </c>
      <c r="D347" s="363"/>
      <c r="E347" s="64"/>
      <c r="F347" s="64"/>
      <c r="G347" s="64"/>
      <c r="H347" s="64"/>
      <c r="I347" s="64" t="s">
        <v>1877</v>
      </c>
      <c r="J347" s="64"/>
      <c r="L347" s="65">
        <v>502</v>
      </c>
      <c r="M347" s="65">
        <f>Table13[[#This Row],[Price]]/129</f>
        <v>3.8914728682170541</v>
      </c>
      <c r="N347" s="65"/>
      <c r="O347">
        <v>3.6</v>
      </c>
      <c r="P347" s="39">
        <f>(159+56+62)/134</f>
        <v>2.0671641791044775</v>
      </c>
      <c r="Q347" s="66">
        <f>Table13[[#This Row],[Labor ($/SF)]]+Table13[[#This Row],[Material $/SF]]</f>
        <v>5.9586370473215311</v>
      </c>
      <c r="R347">
        <v>1.3</v>
      </c>
      <c r="S347" s="39">
        <f>(55+61)/125</f>
        <v>0.92800000000000005</v>
      </c>
      <c r="U347">
        <v>2023</v>
      </c>
      <c r="V347" t="s">
        <v>1139</v>
      </c>
      <c r="W347" t="s">
        <v>338</v>
      </c>
      <c r="Y347" t="s">
        <v>3414</v>
      </c>
    </row>
    <row r="348" spans="1:25" x14ac:dyDescent="0.2">
      <c r="A348" t="s">
        <v>7</v>
      </c>
      <c r="C348" s="64" t="s">
        <v>2528</v>
      </c>
      <c r="D348" s="363"/>
      <c r="E348" s="64"/>
      <c r="F348" s="64"/>
      <c r="G348" s="64"/>
      <c r="H348" s="64"/>
      <c r="I348" s="64" t="s">
        <v>1877</v>
      </c>
      <c r="J348" s="64"/>
      <c r="L348" s="65">
        <v>698</v>
      </c>
      <c r="M348" s="65">
        <f>Table13[[#This Row],[Price]]/129</f>
        <v>5.4108527131782944</v>
      </c>
      <c r="N348" s="65"/>
      <c r="O348">
        <v>3.6</v>
      </c>
      <c r="P348" s="39">
        <f>(391+64+93)/134</f>
        <v>4.08955223880597</v>
      </c>
      <c r="Q348" s="66">
        <f>Table13[[#This Row],[Labor ($/SF)]]+Table13[[#This Row],[Material $/SF]]</f>
        <v>9.5004049519842653</v>
      </c>
      <c r="R348">
        <v>1.3</v>
      </c>
      <c r="S348" s="39">
        <f>(137+70)/125</f>
        <v>1.6559999999999999</v>
      </c>
      <c r="U348">
        <v>2023</v>
      </c>
      <c r="V348" t="s">
        <v>1140</v>
      </c>
      <c r="W348" t="s">
        <v>338</v>
      </c>
      <c r="Y348" t="s">
        <v>3414</v>
      </c>
    </row>
    <row r="349" spans="1:25" x14ac:dyDescent="0.2">
      <c r="A349" t="s">
        <v>7</v>
      </c>
      <c r="C349" s="64" t="s">
        <v>2528</v>
      </c>
      <c r="D349" s="363"/>
      <c r="E349" s="64"/>
      <c r="F349" s="64"/>
      <c r="G349" s="64"/>
      <c r="H349" s="64"/>
      <c r="I349" s="64" t="s">
        <v>1877</v>
      </c>
      <c r="J349" s="64"/>
      <c r="L349" s="65">
        <v>503</v>
      </c>
      <c r="M349" s="65">
        <f>Table13[[#This Row],[Price]]/129</f>
        <v>3.8992248062015502</v>
      </c>
      <c r="N349" s="65"/>
      <c r="O349">
        <v>3.6</v>
      </c>
      <c r="P349" s="39">
        <f>(162+56+62)/134</f>
        <v>2.08955223880597</v>
      </c>
      <c r="Q349" s="66">
        <f>Table13[[#This Row],[Labor ($/SF)]]+Table13[[#This Row],[Material $/SF]]</f>
        <v>5.9887770450075202</v>
      </c>
      <c r="R349">
        <v>1.3</v>
      </c>
      <c r="S349" s="39">
        <f>(57+61)/125</f>
        <v>0.94399999999999995</v>
      </c>
      <c r="U349">
        <v>2023</v>
      </c>
      <c r="V349" t="s">
        <v>1141</v>
      </c>
      <c r="W349" t="s">
        <v>338</v>
      </c>
      <c r="Y349" t="s">
        <v>3414</v>
      </c>
    </row>
    <row r="350" spans="1:25" x14ac:dyDescent="0.2">
      <c r="A350" t="s">
        <v>7</v>
      </c>
      <c r="C350" s="64" t="s">
        <v>2528</v>
      </c>
      <c r="D350" s="363"/>
      <c r="E350" s="64"/>
      <c r="F350" s="64"/>
      <c r="G350" s="64"/>
      <c r="H350" s="64"/>
      <c r="I350" s="64" t="s">
        <v>1877</v>
      </c>
      <c r="J350" s="64"/>
      <c r="L350" s="65">
        <v>690</v>
      </c>
      <c r="M350" s="65">
        <f>Table13[[#This Row],[Price]]/129</f>
        <v>5.3488372093023253</v>
      </c>
      <c r="N350" s="65"/>
      <c r="O350">
        <v>3.6</v>
      </c>
      <c r="P350" s="39">
        <f>(358+63+92)/134</f>
        <v>3.8283582089552239</v>
      </c>
      <c r="Q350" s="66">
        <f>Table13[[#This Row],[Labor ($/SF)]]+Table13[[#This Row],[Material $/SF]]</f>
        <v>9.1771954182575488</v>
      </c>
      <c r="R350">
        <v>1.3</v>
      </c>
      <c r="S350" s="39">
        <f>(125+69)/125</f>
        <v>1.552</v>
      </c>
      <c r="U350">
        <v>2023</v>
      </c>
      <c r="V350" t="s">
        <v>1142</v>
      </c>
      <c r="W350" t="s">
        <v>338</v>
      </c>
      <c r="Y350" t="s">
        <v>3414</v>
      </c>
    </row>
    <row r="351" spans="1:25" x14ac:dyDescent="0.2">
      <c r="A351" t="s">
        <v>7</v>
      </c>
      <c r="C351" s="64" t="s">
        <v>2528</v>
      </c>
      <c r="D351" s="363"/>
      <c r="E351" s="64"/>
      <c r="F351" s="64"/>
      <c r="G351" s="64"/>
      <c r="H351" s="64"/>
      <c r="I351" s="64" t="s">
        <v>1877</v>
      </c>
      <c r="J351" s="64"/>
      <c r="L351" s="65">
        <v>497</v>
      </c>
      <c r="M351" s="65">
        <f>Table13[[#This Row],[Price]]/129</f>
        <v>3.8527131782945738</v>
      </c>
      <c r="N351" s="65"/>
      <c r="O351">
        <v>3.6</v>
      </c>
      <c r="P351" s="39">
        <f>(148+56+61)/134</f>
        <v>1.9776119402985075</v>
      </c>
      <c r="Q351" s="66">
        <f>Table13[[#This Row],[Labor ($/SF)]]+Table13[[#This Row],[Material $/SF]]</f>
        <v>5.8303251185930813</v>
      </c>
      <c r="R351">
        <v>1.3</v>
      </c>
      <c r="S351" s="39">
        <f>(52+61)/125</f>
        <v>0.90400000000000003</v>
      </c>
      <c r="U351">
        <v>2023</v>
      </c>
      <c r="V351" t="s">
        <v>1143</v>
      </c>
      <c r="W351" t="s">
        <v>338</v>
      </c>
      <c r="Y351" t="s">
        <v>3414</v>
      </c>
    </row>
    <row r="352" spans="1:25" x14ac:dyDescent="0.2">
      <c r="A352" t="s">
        <v>7</v>
      </c>
      <c r="C352" s="64" t="s">
        <v>2528</v>
      </c>
      <c r="D352" s="363"/>
      <c r="E352" s="64"/>
      <c r="F352" s="64"/>
      <c r="G352" s="64"/>
      <c r="H352" s="64"/>
      <c r="I352" s="64" t="s">
        <v>1877</v>
      </c>
      <c r="J352" s="64"/>
      <c r="L352" s="65">
        <v>721</v>
      </c>
      <c r="M352" s="65">
        <f>Table13[[#This Row],[Price]]/129</f>
        <v>5.5891472868217056</v>
      </c>
      <c r="N352" s="65"/>
      <c r="O352">
        <v>3.6</v>
      </c>
      <c r="P352" s="39">
        <f>(481+66+96)/134</f>
        <v>4.7985074626865671</v>
      </c>
      <c r="Q352" s="66">
        <f>Table13[[#This Row],[Labor ($/SF)]]+Table13[[#This Row],[Material $/SF]]</f>
        <v>10.387654749508272</v>
      </c>
      <c r="R352">
        <v>1.3</v>
      </c>
      <c r="S352" s="39">
        <f>(168+72)/125</f>
        <v>1.92</v>
      </c>
      <c r="U352">
        <v>2023</v>
      </c>
      <c r="V352" t="s">
        <v>1144</v>
      </c>
      <c r="W352" t="s">
        <v>338</v>
      </c>
      <c r="Y352" t="s">
        <v>3414</v>
      </c>
    </row>
    <row r="353" spans="1:25" x14ac:dyDescent="0.2">
      <c r="A353" t="s">
        <v>7</v>
      </c>
      <c r="C353" s="64" t="s">
        <v>2528</v>
      </c>
      <c r="D353" s="363"/>
      <c r="E353" s="64"/>
      <c r="F353" s="64"/>
      <c r="G353" s="64"/>
      <c r="H353" s="64"/>
      <c r="I353" s="64" t="s">
        <v>1877</v>
      </c>
      <c r="J353" s="64"/>
      <c r="L353" s="65">
        <v>520</v>
      </c>
      <c r="M353" s="65">
        <f>Table13[[#This Row],[Price]]/129</f>
        <v>4.0310077519379846</v>
      </c>
      <c r="N353" s="65"/>
      <c r="O353">
        <v>3.6</v>
      </c>
      <c r="P353" s="39">
        <f>(199+58+64)/134</f>
        <v>2.3955223880597014</v>
      </c>
      <c r="Q353" s="66">
        <f>Table13[[#This Row],[Labor ($/SF)]]+Table13[[#This Row],[Material $/SF]]</f>
        <v>6.426530139997686</v>
      </c>
      <c r="R353">
        <v>1.3</v>
      </c>
      <c r="S353" s="39">
        <f>(69+63)/125</f>
        <v>1.056</v>
      </c>
      <c r="U353">
        <v>2023</v>
      </c>
      <c r="V353" t="s">
        <v>1145</v>
      </c>
      <c r="W353" t="s">
        <v>338</v>
      </c>
      <c r="Y353" t="s">
        <v>3414</v>
      </c>
    </row>
    <row r="354" spans="1:25" x14ac:dyDescent="0.2">
      <c r="A354" t="s">
        <v>7</v>
      </c>
      <c r="C354" s="64" t="s">
        <v>2528</v>
      </c>
      <c r="D354" s="363"/>
      <c r="E354" s="64"/>
      <c r="F354" s="64"/>
      <c r="G354" s="64"/>
      <c r="H354" s="64"/>
      <c r="I354" s="64" t="s">
        <v>1877</v>
      </c>
      <c r="J354" s="64"/>
      <c r="L354" s="65">
        <v>715</v>
      </c>
      <c r="M354" s="65">
        <f>Table13[[#This Row],[Price]]/129</f>
        <v>5.5426356589147288</v>
      </c>
      <c r="N354" s="65"/>
      <c r="O354">
        <v>3.6</v>
      </c>
      <c r="P354" s="39">
        <f>(458+66+96)/134</f>
        <v>4.6268656716417906</v>
      </c>
      <c r="Q354" s="66">
        <f>Table13[[#This Row],[Labor ($/SF)]]+Table13[[#This Row],[Material $/SF]]</f>
        <v>10.169501330556519</v>
      </c>
      <c r="R354">
        <v>1.3</v>
      </c>
      <c r="S354" s="39">
        <f>(160+72)/125</f>
        <v>1.8560000000000001</v>
      </c>
      <c r="U354">
        <v>2023</v>
      </c>
      <c r="V354" t="s">
        <v>1146</v>
      </c>
      <c r="W354" t="s">
        <v>338</v>
      </c>
      <c r="Y354" t="s">
        <v>3414</v>
      </c>
    </row>
    <row r="355" spans="1:25" x14ac:dyDescent="0.2">
      <c r="A355" t="s">
        <v>7</v>
      </c>
      <c r="C355" s="64" t="s">
        <v>2528</v>
      </c>
      <c r="D355" s="363"/>
      <c r="E355" s="64"/>
      <c r="F355" s="64"/>
      <c r="G355" s="64"/>
      <c r="H355" s="64"/>
      <c r="I355" s="64" t="s">
        <v>1877</v>
      </c>
      <c r="J355" s="64"/>
      <c r="L355" s="65">
        <v>516</v>
      </c>
      <c r="M355" s="65">
        <f>Table13[[#This Row],[Price]]/129</f>
        <v>4</v>
      </c>
      <c r="N355" s="65"/>
      <c r="O355">
        <v>3.6</v>
      </c>
      <c r="P355" s="39">
        <f>(190+58+64)/134</f>
        <v>2.3283582089552239</v>
      </c>
      <c r="Q355" s="66">
        <f>Table13[[#This Row],[Labor ($/SF)]]+Table13[[#This Row],[Material $/SF]]</f>
        <v>6.3283582089552244</v>
      </c>
      <c r="R355">
        <v>1.3</v>
      </c>
      <c r="S355" s="39">
        <f>(66+63)/125</f>
        <v>1.032</v>
      </c>
      <c r="U355">
        <v>2023</v>
      </c>
      <c r="V355" t="s">
        <v>1147</v>
      </c>
      <c r="W355" t="s">
        <v>338</v>
      </c>
      <c r="Y355" t="s">
        <v>3414</v>
      </c>
    </row>
    <row r="356" spans="1:25" x14ac:dyDescent="0.2">
      <c r="A356" t="s">
        <v>7</v>
      </c>
      <c r="C356" s="64" t="s">
        <v>4692</v>
      </c>
      <c r="D356" s="363"/>
      <c r="E356" s="64" t="s">
        <v>917</v>
      </c>
      <c r="F356" s="64"/>
      <c r="G356" s="64"/>
      <c r="H356" s="64"/>
      <c r="I356" s="64"/>
      <c r="J356" s="64"/>
      <c r="L356" s="65">
        <v>507</v>
      </c>
      <c r="M356" s="65">
        <f>Table13[[#This Row],[Price]]/129</f>
        <v>3.9302325581395348</v>
      </c>
      <c r="N356" s="65"/>
      <c r="O356">
        <v>7.1</v>
      </c>
      <c r="P356" s="39">
        <f>(1192+67+101)/129</f>
        <v>10.542635658914728</v>
      </c>
      <c r="Q356" s="66">
        <f>Table13[[#This Row],[Labor ($/SF)]]+Table13[[#This Row],[Material $/SF]]</f>
        <v>14.472868217054263</v>
      </c>
      <c r="R356">
        <v>1.2</v>
      </c>
      <c r="S356" s="39">
        <f>(206+73)/120</f>
        <v>2.3250000000000002</v>
      </c>
      <c r="U356">
        <v>2023</v>
      </c>
      <c r="V356" t="s">
        <v>1128</v>
      </c>
      <c r="W356" t="s">
        <v>338</v>
      </c>
      <c r="X356" t="s">
        <v>4694</v>
      </c>
    </row>
    <row r="357" spans="1:25" x14ac:dyDescent="0.2">
      <c r="A357" t="s">
        <v>7</v>
      </c>
      <c r="C357" s="64" t="s">
        <v>4692</v>
      </c>
      <c r="D357" s="363"/>
      <c r="E357" s="64" t="s">
        <v>917</v>
      </c>
      <c r="F357" s="64"/>
      <c r="G357" s="64"/>
      <c r="H357" s="64"/>
      <c r="I357" s="64"/>
      <c r="J357" s="64"/>
      <c r="L357" s="65">
        <v>365</v>
      </c>
      <c r="M357" s="65">
        <f>Table13[[#This Row],[Price]]/129</f>
        <v>2.8294573643410854</v>
      </c>
      <c r="N357" s="65"/>
      <c r="O357">
        <v>7.1</v>
      </c>
      <c r="P357" s="39">
        <f>(493+59+67)/129</f>
        <v>4.7984496124031004</v>
      </c>
      <c r="Q357" s="66">
        <f>Table13[[#This Row],[Labor ($/SF)]]+Table13[[#This Row],[Material $/SF]]</f>
        <v>7.6279069767441854</v>
      </c>
      <c r="R357">
        <v>1.2</v>
      </c>
      <c r="S357" s="39">
        <f>(85+64)/120</f>
        <v>1.2416666666666667</v>
      </c>
      <c r="U357">
        <v>2023</v>
      </c>
      <c r="V357" t="s">
        <v>1129</v>
      </c>
      <c r="W357" t="s">
        <v>338</v>
      </c>
    </row>
    <row r="358" spans="1:25" x14ac:dyDescent="0.2">
      <c r="A358" t="s">
        <v>7</v>
      </c>
      <c r="C358" s="64" t="s">
        <v>4692</v>
      </c>
      <c r="D358" s="363"/>
      <c r="E358" s="64" t="s">
        <v>917</v>
      </c>
      <c r="F358" s="64"/>
      <c r="G358" s="64"/>
      <c r="H358" s="64"/>
      <c r="I358" s="64"/>
      <c r="J358" s="64"/>
      <c r="L358" s="65">
        <v>473</v>
      </c>
      <c r="M358" s="65">
        <f>Table13[[#This Row],[Price]]/129</f>
        <v>3.6666666666666665</v>
      </c>
      <c r="N358" s="65"/>
      <c r="O358">
        <v>7.1</v>
      </c>
      <c r="P358" s="39">
        <f>(808+62+94)/129</f>
        <v>7.4728682170542635</v>
      </c>
      <c r="Q358" s="66">
        <f>Table13[[#This Row],[Labor ($/SF)]]+Table13[[#This Row],[Material $/SF]]</f>
        <v>11.13953488372093</v>
      </c>
      <c r="R358">
        <v>1.2</v>
      </c>
      <c r="S358" s="39">
        <f>(140+68)/120</f>
        <v>1.7333333333333334</v>
      </c>
      <c r="U358">
        <v>2023</v>
      </c>
      <c r="V358" t="s">
        <v>1130</v>
      </c>
      <c r="W358" t="s">
        <v>338</v>
      </c>
    </row>
    <row r="359" spans="1:25" x14ac:dyDescent="0.2">
      <c r="A359" t="s">
        <v>7</v>
      </c>
      <c r="C359" s="64" t="s">
        <v>4692</v>
      </c>
      <c r="D359" s="363"/>
      <c r="E359" s="64" t="s">
        <v>917</v>
      </c>
      <c r="F359" s="64"/>
      <c r="G359" s="64"/>
      <c r="H359" s="64"/>
      <c r="I359" s="64"/>
      <c r="J359" s="64"/>
      <c r="L359" s="65">
        <v>341</v>
      </c>
      <c r="M359" s="65">
        <f>Table13[[#This Row],[Price]]/129</f>
        <v>2.6434108527131781</v>
      </c>
      <c r="N359" s="65"/>
      <c r="O359">
        <v>7.1</v>
      </c>
      <c r="P359" s="39">
        <f>(334+55+63)/129</f>
        <v>3.5038759689922481</v>
      </c>
      <c r="Q359" s="66">
        <f>Table13[[#This Row],[Labor ($/SF)]]+Table13[[#This Row],[Material $/SF]]</f>
        <v>6.1472868217054266</v>
      </c>
      <c r="R359">
        <v>1.2</v>
      </c>
      <c r="S359" s="39">
        <f>(58+60)/120</f>
        <v>0.98333333333333328</v>
      </c>
      <c r="U359">
        <v>2023</v>
      </c>
      <c r="V359" t="s">
        <v>1131</v>
      </c>
      <c r="W359" t="s">
        <v>338</v>
      </c>
    </row>
    <row r="360" spans="1:25" x14ac:dyDescent="0.2">
      <c r="A360" t="s">
        <v>7</v>
      </c>
      <c r="C360" s="64" t="s">
        <v>4692</v>
      </c>
      <c r="D360" s="363"/>
      <c r="E360" s="64" t="s">
        <v>917</v>
      </c>
      <c r="F360" s="64"/>
      <c r="G360" s="64"/>
      <c r="H360" s="64"/>
      <c r="I360" s="64"/>
      <c r="J360" s="64"/>
      <c r="L360" s="65">
        <v>487</v>
      </c>
      <c r="M360" s="65">
        <f>Table13[[#This Row],[Price]]/129</f>
        <v>3.7751937984496124</v>
      </c>
      <c r="N360" s="65"/>
      <c r="O360">
        <v>7.1</v>
      </c>
      <c r="P360" s="39">
        <f>(970+64+97)/129</f>
        <v>8.7674418604651159</v>
      </c>
      <c r="Q360" s="66">
        <f>Table13[[#This Row],[Labor ($/SF)]]+Table13[[#This Row],[Material $/SF]]</f>
        <v>12.542635658914728</v>
      </c>
      <c r="R360">
        <v>1.2</v>
      </c>
      <c r="S360" s="39">
        <f>(168+70)/120</f>
        <v>1.9833333333333334</v>
      </c>
      <c r="U360">
        <v>2023</v>
      </c>
      <c r="V360" t="s">
        <v>1132</v>
      </c>
      <c r="W360" t="s">
        <v>338</v>
      </c>
    </row>
    <row r="361" spans="1:25" x14ac:dyDescent="0.2">
      <c r="A361" t="s">
        <v>7</v>
      </c>
      <c r="C361" s="64" t="s">
        <v>4692</v>
      </c>
      <c r="D361" s="363"/>
      <c r="E361" s="64" t="s">
        <v>917</v>
      </c>
      <c r="F361" s="64"/>
      <c r="G361" s="64"/>
      <c r="H361" s="64"/>
      <c r="I361" s="64"/>
      <c r="J361" s="64"/>
      <c r="L361" s="65">
        <v>351</v>
      </c>
      <c r="M361" s="65">
        <f>Table13[[#This Row],[Price]]/129</f>
        <v>2.7209302325581395</v>
      </c>
      <c r="N361" s="65"/>
      <c r="O361">
        <v>7.1</v>
      </c>
      <c r="P361" s="39">
        <f>(401+57+65)/129</f>
        <v>4.054263565891473</v>
      </c>
      <c r="Q361" s="66">
        <f>Table13[[#This Row],[Labor ($/SF)]]+Table13[[#This Row],[Material $/SF]]</f>
        <v>6.775193798449612</v>
      </c>
      <c r="R361">
        <v>1.2</v>
      </c>
      <c r="S361" s="39">
        <f>(69+61)/120</f>
        <v>1.0833333333333333</v>
      </c>
      <c r="U361">
        <v>2023</v>
      </c>
      <c r="V361" t="s">
        <v>1133</v>
      </c>
      <c r="W361" t="s">
        <v>338</v>
      </c>
    </row>
    <row r="362" spans="1:25" x14ac:dyDescent="0.2">
      <c r="A362" t="s">
        <v>7</v>
      </c>
      <c r="C362" s="64" t="s">
        <v>4692</v>
      </c>
      <c r="D362" s="363"/>
      <c r="E362" s="64" t="s">
        <v>917</v>
      </c>
      <c r="F362" s="64"/>
      <c r="G362" s="64"/>
      <c r="H362" s="64"/>
      <c r="I362" s="64"/>
      <c r="J362" s="64"/>
      <c r="L362" s="65">
        <v>476</v>
      </c>
      <c r="M362" s="65">
        <f>Table13[[#This Row],[Price]]/129</f>
        <v>3.6899224806201549</v>
      </c>
      <c r="N362" s="65"/>
      <c r="O362">
        <v>7.1</v>
      </c>
      <c r="P362" s="39">
        <f>(844+63+95)/129</f>
        <v>7.7674418604651159</v>
      </c>
      <c r="Q362" s="66">
        <f>Table13[[#This Row],[Labor ($/SF)]]+Table13[[#This Row],[Material $/SF]]</f>
        <v>11.45736434108527</v>
      </c>
      <c r="R362">
        <v>1.2</v>
      </c>
      <c r="S362" s="39">
        <f>(146+68)/120</f>
        <v>1.7833333333333334</v>
      </c>
      <c r="U362">
        <v>2023</v>
      </c>
      <c r="V362" t="s">
        <v>1134</v>
      </c>
      <c r="W362" t="s">
        <v>338</v>
      </c>
    </row>
    <row r="363" spans="1:25" x14ac:dyDescent="0.2">
      <c r="A363" t="s">
        <v>7</v>
      </c>
      <c r="C363" s="64" t="s">
        <v>4692</v>
      </c>
      <c r="D363" s="363"/>
      <c r="E363" s="64" t="s">
        <v>917</v>
      </c>
      <c r="F363" s="64"/>
      <c r="G363" s="64"/>
      <c r="H363" s="64"/>
      <c r="I363" s="64"/>
      <c r="J363" s="64"/>
      <c r="L363" s="65">
        <v>343</v>
      </c>
      <c r="M363" s="65">
        <f>Table13[[#This Row],[Price]]/129</f>
        <v>2.6589147286821704</v>
      </c>
      <c r="N363" s="65"/>
      <c r="O363">
        <v>7.1</v>
      </c>
      <c r="P363" s="39">
        <f>(349+55+63)/129</f>
        <v>3.6201550387596901</v>
      </c>
      <c r="Q363" s="66">
        <f>Table13[[#This Row],[Labor ($/SF)]]+Table13[[#This Row],[Material $/SF]]</f>
        <v>6.279069767441861</v>
      </c>
      <c r="R363">
        <v>1.2</v>
      </c>
      <c r="S363" s="39">
        <f>(60+60)/120</f>
        <v>1</v>
      </c>
      <c r="U363">
        <v>2023</v>
      </c>
      <c r="V363" t="s">
        <v>1135</v>
      </c>
      <c r="W363" t="s">
        <v>338</v>
      </c>
    </row>
    <row r="364" spans="1:25" x14ac:dyDescent="0.2">
      <c r="A364" t="s">
        <v>7</v>
      </c>
      <c r="C364" s="64" t="s">
        <v>4692</v>
      </c>
      <c r="D364" s="363"/>
      <c r="E364" s="64" t="s">
        <v>917</v>
      </c>
      <c r="F364" s="64"/>
      <c r="G364" s="64"/>
      <c r="H364" s="64"/>
      <c r="I364" s="64"/>
      <c r="J364" s="64"/>
      <c r="L364" s="65">
        <v>467</v>
      </c>
      <c r="M364" s="65">
        <f>Table13[[#This Row],[Price]]/129</f>
        <v>3.6201550387596901</v>
      </c>
      <c r="N364" s="65"/>
      <c r="O364">
        <v>7.1</v>
      </c>
      <c r="P364" s="39">
        <f>(744+62+93)/129</f>
        <v>6.9689922480620154</v>
      </c>
      <c r="Q364" s="66">
        <f>Table13[[#This Row],[Labor ($/SF)]]+Table13[[#This Row],[Material $/SF]]</f>
        <v>10.589147286821706</v>
      </c>
      <c r="R364">
        <v>1.2</v>
      </c>
      <c r="S364" s="39">
        <f>(129+67)/120</f>
        <v>1.6333333333333333</v>
      </c>
      <c r="U364">
        <v>2023</v>
      </c>
      <c r="V364" t="s">
        <v>1136</v>
      </c>
      <c r="W364" t="s">
        <v>338</v>
      </c>
    </row>
    <row r="365" spans="1:25" x14ac:dyDescent="0.2">
      <c r="A365" t="s">
        <v>7</v>
      </c>
      <c r="C365" s="64" t="s">
        <v>4692</v>
      </c>
      <c r="D365" s="363"/>
      <c r="E365" s="64" t="s">
        <v>917</v>
      </c>
      <c r="F365" s="64"/>
      <c r="G365" s="64"/>
      <c r="H365" s="64"/>
      <c r="I365" s="64"/>
      <c r="J365" s="64"/>
      <c r="L365" s="65">
        <v>337</v>
      </c>
      <c r="M365" s="65">
        <f>Table13[[#This Row],[Price]]/129</f>
        <v>2.612403100775194</v>
      </c>
      <c r="N365" s="65"/>
      <c r="O365">
        <v>7.1</v>
      </c>
      <c r="P365" s="39">
        <f>(308+54+62)/129</f>
        <v>3.2868217054263567</v>
      </c>
      <c r="Q365" s="66">
        <f>Table13[[#This Row],[Labor ($/SF)]]+Table13[[#This Row],[Material $/SF]]</f>
        <v>5.8992248062015502</v>
      </c>
      <c r="R365">
        <v>1.2</v>
      </c>
      <c r="S365" s="39">
        <f>(53+59)/120</f>
        <v>0.93333333333333335</v>
      </c>
      <c r="U365">
        <v>2023</v>
      </c>
      <c r="V365" t="s">
        <v>1137</v>
      </c>
      <c r="W365" t="s">
        <v>338</v>
      </c>
    </row>
    <row r="366" spans="1:25" x14ac:dyDescent="0.2">
      <c r="A366" t="s">
        <v>7</v>
      </c>
      <c r="C366" s="64" t="s">
        <v>4692</v>
      </c>
      <c r="D366" s="363"/>
      <c r="E366" s="64" t="s">
        <v>917</v>
      </c>
      <c r="F366" s="64"/>
      <c r="G366" s="64"/>
      <c r="H366" s="64"/>
      <c r="I366" s="64"/>
      <c r="J366" s="64"/>
      <c r="L366" s="65">
        <v>467</v>
      </c>
      <c r="M366" s="65">
        <f>Table13[[#This Row],[Price]]/129</f>
        <v>3.6201550387596901</v>
      </c>
      <c r="N366" s="65"/>
      <c r="O366">
        <v>7.1</v>
      </c>
      <c r="P366" s="39">
        <f>(743+62+93)/129</f>
        <v>6.9612403100775193</v>
      </c>
      <c r="Q366" s="66">
        <f>Table13[[#This Row],[Labor ($/SF)]]+Table13[[#This Row],[Material $/SF]]</f>
        <v>10.581395348837209</v>
      </c>
      <c r="R366">
        <v>1.2</v>
      </c>
      <c r="S366" s="39">
        <f>(129+67)/120</f>
        <v>1.6333333333333333</v>
      </c>
      <c r="U366">
        <v>2023</v>
      </c>
      <c r="V366" t="s">
        <v>1138</v>
      </c>
      <c r="W366" t="s">
        <v>338</v>
      </c>
    </row>
    <row r="367" spans="1:25" x14ac:dyDescent="0.2">
      <c r="A367" t="s">
        <v>7</v>
      </c>
      <c r="C367" s="64" t="s">
        <v>4692</v>
      </c>
      <c r="D367" s="363"/>
      <c r="E367" s="64" t="s">
        <v>917</v>
      </c>
      <c r="F367" s="64"/>
      <c r="G367" s="64"/>
      <c r="H367" s="64"/>
      <c r="I367" s="64"/>
      <c r="J367" s="64"/>
      <c r="L367" s="65">
        <v>337</v>
      </c>
      <c r="M367" s="65">
        <f>Table13[[#This Row],[Price]]/129</f>
        <v>2.612403100775194</v>
      </c>
      <c r="N367" s="65"/>
      <c r="O367">
        <v>7.1</v>
      </c>
      <c r="P367" s="39">
        <f>(307+54+62)/129</f>
        <v>3.2790697674418605</v>
      </c>
      <c r="Q367" s="66">
        <f>Table13[[#This Row],[Labor ($/SF)]]+Table13[[#This Row],[Material $/SF]]</f>
        <v>5.8914728682170541</v>
      </c>
      <c r="R367">
        <v>1.2</v>
      </c>
      <c r="S367" s="39">
        <f>(53+59)/120</f>
        <v>0.93333333333333335</v>
      </c>
      <c r="U367">
        <v>2023</v>
      </c>
      <c r="V367" t="s">
        <v>1139</v>
      </c>
      <c r="W367" t="s">
        <v>338</v>
      </c>
    </row>
    <row r="368" spans="1:25" x14ac:dyDescent="0.2">
      <c r="A368" t="s">
        <v>7</v>
      </c>
      <c r="C368" s="64" t="s">
        <v>4692</v>
      </c>
      <c r="D368" s="363"/>
      <c r="E368" s="64" t="s">
        <v>917</v>
      </c>
      <c r="F368" s="64"/>
      <c r="G368" s="64"/>
      <c r="H368" s="64"/>
      <c r="I368" s="64"/>
      <c r="J368" s="64"/>
      <c r="L368" s="65">
        <v>468</v>
      </c>
      <c r="M368" s="65">
        <f>Table13[[#This Row],[Price]]/129</f>
        <v>3.6279069767441858</v>
      </c>
      <c r="N368" s="65"/>
      <c r="O368">
        <v>7.1</v>
      </c>
      <c r="P368" s="39">
        <f>(758+62+93)/129</f>
        <v>7.0775193798449614</v>
      </c>
      <c r="Q368" s="66">
        <f>Table13[[#This Row],[Labor ($/SF)]]+Table13[[#This Row],[Material $/SF]]</f>
        <v>10.705426356589147</v>
      </c>
      <c r="R368">
        <v>1.2</v>
      </c>
      <c r="S368" s="39">
        <f>(131+67)/120</f>
        <v>1.65</v>
      </c>
      <c r="U368">
        <v>2023</v>
      </c>
      <c r="V368" t="s">
        <v>1140</v>
      </c>
      <c r="W368" t="s">
        <v>338</v>
      </c>
    </row>
    <row r="369" spans="1:24" x14ac:dyDescent="0.2">
      <c r="A369" t="s">
        <v>7</v>
      </c>
      <c r="C369" s="64" t="s">
        <v>4692</v>
      </c>
      <c r="D369" s="363"/>
      <c r="E369" s="64" t="s">
        <v>917</v>
      </c>
      <c r="F369" s="64"/>
      <c r="G369" s="64"/>
      <c r="H369" s="64"/>
      <c r="I369" s="64"/>
      <c r="J369" s="64"/>
      <c r="L369" s="65">
        <v>338</v>
      </c>
      <c r="M369" s="65">
        <f>Table13[[#This Row],[Price]]/129</f>
        <v>2.6201550387596901</v>
      </c>
      <c r="N369" s="65"/>
      <c r="O369">
        <v>7.1</v>
      </c>
      <c r="P369" s="39">
        <f>(314+54+62)/129</f>
        <v>3.3333333333333335</v>
      </c>
      <c r="Q369" s="66">
        <f>Table13[[#This Row],[Labor ($/SF)]]+Table13[[#This Row],[Material $/SF]]</f>
        <v>5.9534883720930232</v>
      </c>
      <c r="R369">
        <v>1.2</v>
      </c>
      <c r="S369" s="39">
        <f>(54+59)/120</f>
        <v>0.94166666666666665</v>
      </c>
      <c r="U369">
        <v>2023</v>
      </c>
      <c r="V369" t="s">
        <v>1141</v>
      </c>
      <c r="W369" t="s">
        <v>338</v>
      </c>
    </row>
    <row r="370" spans="1:24" x14ac:dyDescent="0.2">
      <c r="A370" t="s">
        <v>7</v>
      </c>
      <c r="C370" s="64" t="s">
        <v>4692</v>
      </c>
      <c r="D370" s="363"/>
      <c r="E370" s="64" t="s">
        <v>917</v>
      </c>
      <c r="F370" s="64"/>
      <c r="G370" s="64"/>
      <c r="H370" s="64"/>
      <c r="I370" s="64"/>
      <c r="J370" s="64"/>
      <c r="L370" s="65">
        <v>463</v>
      </c>
      <c r="M370" s="65">
        <f>Table13[[#This Row],[Price]]/129</f>
        <v>3.5891472868217056</v>
      </c>
      <c r="N370" s="65"/>
      <c r="O370">
        <v>7.1</v>
      </c>
      <c r="P370" s="39">
        <f>(694+61+92)/129</f>
        <v>6.5658914728682172</v>
      </c>
      <c r="Q370" s="66">
        <f>Table13[[#This Row],[Labor ($/SF)]]+Table13[[#This Row],[Material $/SF]]</f>
        <v>10.155038759689923</v>
      </c>
      <c r="R370">
        <v>1.2</v>
      </c>
      <c r="S370" s="39">
        <f>(120+66)/120</f>
        <v>1.55</v>
      </c>
      <c r="U370">
        <v>2023</v>
      </c>
      <c r="V370" t="s">
        <v>1142</v>
      </c>
      <c r="W370" t="s">
        <v>338</v>
      </c>
    </row>
    <row r="371" spans="1:24" x14ac:dyDescent="0.2">
      <c r="A371" t="s">
        <v>7</v>
      </c>
      <c r="C371" s="64" t="s">
        <v>4692</v>
      </c>
      <c r="D371" s="363"/>
      <c r="E371" s="64" t="s">
        <v>917</v>
      </c>
      <c r="F371" s="64"/>
      <c r="G371" s="64"/>
      <c r="H371" s="64"/>
      <c r="I371" s="64"/>
      <c r="J371" s="64"/>
      <c r="L371" s="65">
        <v>334</v>
      </c>
      <c r="M371" s="65">
        <f>Table13[[#This Row],[Price]]/129</f>
        <v>2.5891472868217056</v>
      </c>
      <c r="N371" s="65"/>
      <c r="O371">
        <v>7.1</v>
      </c>
      <c r="P371" s="39">
        <f>(287+54+61)/129</f>
        <v>3.1162790697674421</v>
      </c>
      <c r="Q371" s="66">
        <f>Table13[[#This Row],[Labor ($/SF)]]+Table13[[#This Row],[Material $/SF]]</f>
        <v>5.7054263565891477</v>
      </c>
      <c r="R371">
        <v>1.2</v>
      </c>
      <c r="S371" s="39">
        <f>(50+58)/120</f>
        <v>0.9</v>
      </c>
      <c r="U371">
        <v>2023</v>
      </c>
      <c r="V371" t="s">
        <v>1143</v>
      </c>
      <c r="W371" t="s">
        <v>338</v>
      </c>
    </row>
    <row r="372" spans="1:24" x14ac:dyDescent="0.2">
      <c r="A372" t="s">
        <v>7</v>
      </c>
      <c r="C372" s="64" t="s">
        <v>4692</v>
      </c>
      <c r="D372" s="363"/>
      <c r="E372" s="64" t="s">
        <v>917</v>
      </c>
      <c r="F372" s="64"/>
      <c r="G372" s="64"/>
      <c r="H372" s="64"/>
      <c r="I372" s="64"/>
      <c r="J372" s="64"/>
      <c r="L372" s="65">
        <v>484</v>
      </c>
      <c r="M372" s="65">
        <f>Table13[[#This Row],[Price]]/129</f>
        <v>3.751937984496124</v>
      </c>
      <c r="N372" s="65"/>
      <c r="O372">
        <v>7.1</v>
      </c>
      <c r="P372" s="39">
        <f>(932+64+96)/129</f>
        <v>8.4651162790697683</v>
      </c>
      <c r="Q372" s="66">
        <f>Table13[[#This Row],[Labor ($/SF)]]+Table13[[#This Row],[Material $/SF]]</f>
        <v>12.217054263565892</v>
      </c>
      <c r="R372">
        <v>1.2</v>
      </c>
      <c r="S372" s="39">
        <f>(161+69)/120</f>
        <v>1.9166666666666667</v>
      </c>
      <c r="U372">
        <v>2023</v>
      </c>
      <c r="V372" t="s">
        <v>1144</v>
      </c>
      <c r="W372" t="s">
        <v>338</v>
      </c>
    </row>
    <row r="373" spans="1:24" x14ac:dyDescent="0.2">
      <c r="A373" t="s">
        <v>7</v>
      </c>
      <c r="C373" s="64" t="s">
        <v>4692</v>
      </c>
      <c r="D373" s="363"/>
      <c r="E373" s="64" t="s">
        <v>917</v>
      </c>
      <c r="F373" s="64"/>
      <c r="G373" s="64"/>
      <c r="H373" s="64"/>
      <c r="I373" s="64"/>
      <c r="J373" s="64"/>
      <c r="L373" s="65">
        <v>349</v>
      </c>
      <c r="M373" s="65">
        <f>Table13[[#This Row],[Price]]/129</f>
        <v>2.7054263565891472</v>
      </c>
      <c r="N373" s="65"/>
      <c r="O373">
        <v>7.1</v>
      </c>
      <c r="P373" s="39">
        <f>(385+56+64)/129</f>
        <v>3.9147286821705425</v>
      </c>
      <c r="Q373" s="66">
        <f>Table13[[#This Row],[Labor ($/SF)]]+Table13[[#This Row],[Material $/SF]]</f>
        <v>6.6201550387596892</v>
      </c>
      <c r="R373">
        <v>1.2</v>
      </c>
      <c r="S373" s="39">
        <f>(67+61)/120</f>
        <v>1.0666666666666667</v>
      </c>
      <c r="U373">
        <v>2023</v>
      </c>
      <c r="V373" t="s">
        <v>1145</v>
      </c>
      <c r="W373" t="s">
        <v>338</v>
      </c>
    </row>
    <row r="374" spans="1:24" x14ac:dyDescent="0.2">
      <c r="A374" t="s">
        <v>7</v>
      </c>
      <c r="C374" s="64" t="s">
        <v>4692</v>
      </c>
      <c r="D374" s="363"/>
      <c r="E374" s="64" t="s">
        <v>917</v>
      </c>
      <c r="F374" s="64"/>
      <c r="G374" s="64"/>
      <c r="H374" s="64"/>
      <c r="I374" s="64"/>
      <c r="J374" s="64"/>
      <c r="L374" s="65">
        <v>480</v>
      </c>
      <c r="M374" s="65">
        <f>Table13[[#This Row],[Price]]/129</f>
        <v>3.7209302325581395</v>
      </c>
      <c r="N374" s="65"/>
      <c r="O374">
        <v>7.1</v>
      </c>
      <c r="P374" s="39">
        <f>(888+63+96)/129</f>
        <v>8.1162790697674421</v>
      </c>
      <c r="Q374" s="66">
        <f>Table13[[#This Row],[Labor ($/SF)]]+Table13[[#This Row],[Material $/SF]]</f>
        <v>11.837209302325581</v>
      </c>
      <c r="R374">
        <v>1.2</v>
      </c>
      <c r="S374" s="39">
        <f>(154+69)/120</f>
        <v>1.8583333333333334</v>
      </c>
      <c r="U374">
        <v>2023</v>
      </c>
      <c r="V374" t="s">
        <v>1146</v>
      </c>
      <c r="W374" t="s">
        <v>338</v>
      </c>
    </row>
    <row r="375" spans="1:24" x14ac:dyDescent="0.2">
      <c r="A375" t="s">
        <v>7</v>
      </c>
      <c r="C375" s="64" t="s">
        <v>4692</v>
      </c>
      <c r="D375" s="363"/>
      <c r="E375" s="64" t="s">
        <v>917</v>
      </c>
      <c r="F375" s="64"/>
      <c r="G375" s="64"/>
      <c r="H375" s="64"/>
      <c r="I375" s="64"/>
      <c r="J375" s="64"/>
      <c r="L375" s="65">
        <v>346</v>
      </c>
      <c r="M375" s="65">
        <f>Table13[[#This Row],[Price]]/129</f>
        <v>2.6821705426356588</v>
      </c>
      <c r="N375" s="65"/>
      <c r="O375">
        <v>7.1</v>
      </c>
      <c r="P375" s="39">
        <f>(367+56+64)/129</f>
        <v>3.7751937984496124</v>
      </c>
      <c r="Q375" s="66">
        <f>Table13[[#This Row],[Labor ($/SF)]]+Table13[[#This Row],[Material $/SF]]</f>
        <v>6.4573643410852712</v>
      </c>
      <c r="R375">
        <v>1.2</v>
      </c>
      <c r="S375" s="39">
        <f>(64+60)/120</f>
        <v>1.0333333333333334</v>
      </c>
      <c r="U375">
        <v>2023</v>
      </c>
      <c r="V375" t="s">
        <v>1147</v>
      </c>
      <c r="W375" t="s">
        <v>338</v>
      </c>
    </row>
    <row r="376" spans="1:24" x14ac:dyDescent="0.2">
      <c r="A376" t="s">
        <v>7</v>
      </c>
      <c r="C376" s="64" t="s">
        <v>4693</v>
      </c>
      <c r="D376" s="363"/>
      <c r="E376" s="64" t="s">
        <v>991</v>
      </c>
      <c r="F376" s="64"/>
      <c r="G376" s="64"/>
      <c r="H376" s="64"/>
      <c r="I376" s="64" t="s">
        <v>1846</v>
      </c>
      <c r="J376" s="64"/>
      <c r="L376" s="65">
        <v>1163</v>
      </c>
      <c r="M376" s="65">
        <f>Table13[[#This Row],[Price]]/129</f>
        <v>9.0155038759689923</v>
      </c>
      <c r="N376" s="65"/>
      <c r="O376">
        <v>5.6</v>
      </c>
      <c r="P376" s="39">
        <f>(952+67+101)/129</f>
        <v>8.6821705426356584</v>
      </c>
      <c r="Q376" s="66">
        <f>Table13[[#This Row],[Labor ($/SF)]]+Table13[[#This Row],[Material $/SF]]</f>
        <v>17.697674418604649</v>
      </c>
      <c r="R376">
        <v>1.2</v>
      </c>
      <c r="S376" s="39">
        <f>(206+73)/129</f>
        <v>2.1627906976744184</v>
      </c>
      <c r="U376">
        <v>2023</v>
      </c>
      <c r="V376" t="s">
        <v>1128</v>
      </c>
      <c r="W376" t="s">
        <v>338</v>
      </c>
      <c r="X376" t="s">
        <v>4695</v>
      </c>
    </row>
    <row r="377" spans="1:24" x14ac:dyDescent="0.2">
      <c r="A377" t="s">
        <v>7</v>
      </c>
      <c r="C377" s="64" t="s">
        <v>4693</v>
      </c>
      <c r="D377" s="363"/>
      <c r="E377" s="64" t="s">
        <v>991</v>
      </c>
      <c r="F377" s="64"/>
      <c r="G377" s="64"/>
      <c r="H377" s="64"/>
      <c r="I377" s="64" t="s">
        <v>1846</v>
      </c>
      <c r="J377" s="64"/>
      <c r="L377" s="65">
        <v>838</v>
      </c>
      <c r="M377" s="65">
        <f>Table13[[#This Row],[Price]]/129</f>
        <v>6.4961240310077519</v>
      </c>
      <c r="N377" s="65"/>
      <c r="O377">
        <v>5.6</v>
      </c>
      <c r="P377" s="39">
        <f>(394+59+67)/129</f>
        <v>4.0310077519379846</v>
      </c>
      <c r="Q377" s="66">
        <f>Table13[[#This Row],[Labor ($/SF)]]+Table13[[#This Row],[Material $/SF]]</f>
        <v>10.527131782945737</v>
      </c>
      <c r="R377">
        <v>1.2</v>
      </c>
      <c r="S377" s="39">
        <f>(85+64)/120</f>
        <v>1.2416666666666667</v>
      </c>
      <c r="U377">
        <v>2023</v>
      </c>
      <c r="V377" t="s">
        <v>1129</v>
      </c>
      <c r="W377" t="s">
        <v>338</v>
      </c>
    </row>
    <row r="378" spans="1:24" x14ac:dyDescent="0.2">
      <c r="A378" t="s">
        <v>7</v>
      </c>
      <c r="C378" s="64" t="s">
        <v>4693</v>
      </c>
      <c r="D378" s="363"/>
      <c r="E378" s="64" t="s">
        <v>991</v>
      </c>
      <c r="F378" s="64"/>
      <c r="G378" s="64"/>
      <c r="H378" s="64"/>
      <c r="I378" s="64" t="s">
        <v>1846</v>
      </c>
      <c r="J378" s="64"/>
      <c r="L378" s="65">
        <v>1085</v>
      </c>
      <c r="M378" s="65">
        <f>Table13[[#This Row],[Price]]/129</f>
        <v>8.4108527131782953</v>
      </c>
      <c r="N378" s="65"/>
      <c r="O378">
        <v>5.6</v>
      </c>
      <c r="P378" s="39">
        <f>(645+62+94)/129</f>
        <v>6.2093023255813957</v>
      </c>
      <c r="Q378" s="66">
        <f>Table13[[#This Row],[Labor ($/SF)]]+Table13[[#This Row],[Material $/SF]]</f>
        <v>14.620155038759691</v>
      </c>
      <c r="R378">
        <v>1.2</v>
      </c>
      <c r="S378" s="39">
        <f>(140+68)/120</f>
        <v>1.7333333333333334</v>
      </c>
      <c r="U378">
        <v>2023</v>
      </c>
      <c r="V378" t="s">
        <v>1130</v>
      </c>
      <c r="W378" t="s">
        <v>338</v>
      </c>
    </row>
    <row r="379" spans="1:24" x14ac:dyDescent="0.2">
      <c r="A379" t="s">
        <v>7</v>
      </c>
      <c r="C379" s="64" t="s">
        <v>4693</v>
      </c>
      <c r="D379" s="363"/>
      <c r="E379" s="64" t="s">
        <v>991</v>
      </c>
      <c r="F379" s="64"/>
      <c r="G379" s="64"/>
      <c r="H379" s="64"/>
      <c r="I379" s="64" t="s">
        <v>1846</v>
      </c>
      <c r="J379" s="64"/>
      <c r="L379" s="65">
        <v>782</v>
      </c>
      <c r="M379" s="65">
        <f>Table13[[#This Row],[Price]]/129</f>
        <v>6.0620155038759691</v>
      </c>
      <c r="N379" s="65"/>
      <c r="O379">
        <v>5.6</v>
      </c>
      <c r="P379" s="39">
        <f>(267+55+63)/129</f>
        <v>2.9844961240310077</v>
      </c>
      <c r="Q379" s="66">
        <f>Table13[[#This Row],[Labor ($/SF)]]+Table13[[#This Row],[Material $/SF]]</f>
        <v>9.0465116279069768</v>
      </c>
      <c r="R379">
        <v>1.2</v>
      </c>
      <c r="S379" s="39">
        <f>(58+60)/120</f>
        <v>0.98333333333333328</v>
      </c>
      <c r="U379">
        <v>2023</v>
      </c>
      <c r="V379" t="s">
        <v>1131</v>
      </c>
      <c r="W379" t="s">
        <v>338</v>
      </c>
    </row>
    <row r="380" spans="1:24" x14ac:dyDescent="0.2">
      <c r="A380" t="s">
        <v>7</v>
      </c>
      <c r="C380" s="64" t="s">
        <v>4693</v>
      </c>
      <c r="D380" s="363"/>
      <c r="E380" s="64" t="s">
        <v>991</v>
      </c>
      <c r="F380" s="64"/>
      <c r="G380" s="64"/>
      <c r="H380" s="64"/>
      <c r="I380" s="64" t="s">
        <v>1846</v>
      </c>
      <c r="J380" s="64"/>
      <c r="L380" s="65">
        <v>1118</v>
      </c>
      <c r="M380" s="65">
        <f>Table13[[#This Row],[Price]]/129</f>
        <v>8.6666666666666661</v>
      </c>
      <c r="N380" s="65"/>
      <c r="O380">
        <v>5.6</v>
      </c>
      <c r="P380" s="39">
        <f>(774+64+97)/129</f>
        <v>7.2480620155038764</v>
      </c>
      <c r="Q380" s="66">
        <f>Table13[[#This Row],[Labor ($/SF)]]+Table13[[#This Row],[Material $/SF]]</f>
        <v>15.914728682170542</v>
      </c>
      <c r="R380">
        <v>1.2</v>
      </c>
      <c r="S380" s="39">
        <f>(168+70)/120</f>
        <v>1.9833333333333334</v>
      </c>
      <c r="U380">
        <v>2023</v>
      </c>
      <c r="V380" t="s">
        <v>1132</v>
      </c>
      <c r="W380" t="s">
        <v>338</v>
      </c>
    </row>
    <row r="381" spans="1:24" x14ac:dyDescent="0.2">
      <c r="A381" t="s">
        <v>7</v>
      </c>
      <c r="C381" s="64" t="s">
        <v>4693</v>
      </c>
      <c r="D381" s="363"/>
      <c r="E381" s="64" t="s">
        <v>991</v>
      </c>
      <c r="F381" s="64"/>
      <c r="G381" s="64"/>
      <c r="H381" s="64"/>
      <c r="I381" s="64" t="s">
        <v>1846</v>
      </c>
      <c r="J381" s="64"/>
      <c r="L381" s="65">
        <v>806</v>
      </c>
      <c r="M381" s="65">
        <f>Table13[[#This Row],[Price]]/129</f>
        <v>6.2480620155038764</v>
      </c>
      <c r="N381" s="65"/>
      <c r="O381">
        <v>5.6</v>
      </c>
      <c r="P381" s="39">
        <f>(320+57+65)/129</f>
        <v>3.4263565891472867</v>
      </c>
      <c r="Q381" s="66">
        <f>Table13[[#This Row],[Labor ($/SF)]]+Table13[[#This Row],[Material $/SF]]</f>
        <v>9.6744186046511622</v>
      </c>
      <c r="R381">
        <v>1.2</v>
      </c>
      <c r="S381" s="39">
        <f>(69+61)/120</f>
        <v>1.0833333333333333</v>
      </c>
      <c r="U381">
        <v>2023</v>
      </c>
      <c r="V381" t="s">
        <v>1133</v>
      </c>
      <c r="W381" t="s">
        <v>338</v>
      </c>
    </row>
    <row r="382" spans="1:24" x14ac:dyDescent="0.2">
      <c r="A382" t="s">
        <v>7</v>
      </c>
      <c r="C382" s="64" t="s">
        <v>4693</v>
      </c>
      <c r="D382" s="363"/>
      <c r="E382" s="64" t="s">
        <v>991</v>
      </c>
      <c r="F382" s="64"/>
      <c r="G382" s="64"/>
      <c r="H382" s="64"/>
      <c r="I382" s="64" t="s">
        <v>1846</v>
      </c>
      <c r="J382" s="64"/>
      <c r="L382" s="65">
        <v>1092</v>
      </c>
      <c r="M382" s="65">
        <f>Table13[[#This Row],[Price]]/129</f>
        <v>8.4651162790697683</v>
      </c>
      <c r="N382" s="65"/>
      <c r="O382">
        <v>5.6</v>
      </c>
      <c r="P382" s="39">
        <f>(674+63+95)/129</f>
        <v>6.4496124031007751</v>
      </c>
      <c r="Q382" s="66">
        <f>Table13[[#This Row],[Labor ($/SF)]]+Table13[[#This Row],[Material $/SF]]</f>
        <v>14.914728682170544</v>
      </c>
      <c r="R382">
        <v>1.2</v>
      </c>
      <c r="S382" s="39">
        <f>(146+68)/120</f>
        <v>1.7833333333333334</v>
      </c>
      <c r="U382">
        <v>2023</v>
      </c>
      <c r="V382" t="s">
        <v>1134</v>
      </c>
      <c r="W382" t="s">
        <v>338</v>
      </c>
    </row>
    <row r="383" spans="1:24" x14ac:dyDescent="0.2">
      <c r="A383" t="s">
        <v>7</v>
      </c>
      <c r="C383" s="64" t="s">
        <v>4693</v>
      </c>
      <c r="D383" s="363"/>
      <c r="E383" s="64" t="s">
        <v>991</v>
      </c>
      <c r="F383" s="64"/>
      <c r="G383" s="64"/>
      <c r="H383" s="64"/>
      <c r="I383" s="64" t="s">
        <v>1846</v>
      </c>
      <c r="J383" s="64"/>
      <c r="L383" s="65">
        <v>787</v>
      </c>
      <c r="M383" s="65">
        <f>Table13[[#This Row],[Price]]/129</f>
        <v>6.1007751937984498</v>
      </c>
      <c r="N383" s="65"/>
      <c r="O383">
        <v>5.6</v>
      </c>
      <c r="P383" s="39">
        <f>(279+55+63)/129</f>
        <v>3.0775193798449614</v>
      </c>
      <c r="Q383" s="66">
        <f>Table13[[#This Row],[Labor ($/SF)]]+Table13[[#This Row],[Material $/SF]]</f>
        <v>9.1782945736434112</v>
      </c>
      <c r="R383">
        <v>1.2</v>
      </c>
      <c r="S383" s="39">
        <f>(60+60)/120</f>
        <v>1</v>
      </c>
      <c r="U383">
        <v>2023</v>
      </c>
      <c r="V383" t="s">
        <v>1135</v>
      </c>
      <c r="W383" t="s">
        <v>338</v>
      </c>
    </row>
    <row r="384" spans="1:24" x14ac:dyDescent="0.2">
      <c r="A384" t="s">
        <v>7</v>
      </c>
      <c r="C384" s="64" t="s">
        <v>4693</v>
      </c>
      <c r="D384" s="363"/>
      <c r="E384" s="64" t="s">
        <v>991</v>
      </c>
      <c r="F384" s="64"/>
      <c r="G384" s="64"/>
      <c r="H384" s="64"/>
      <c r="I384" s="64" t="s">
        <v>1846</v>
      </c>
      <c r="J384" s="64"/>
      <c r="L384" s="65">
        <v>1072</v>
      </c>
      <c r="M384" s="65">
        <f>Table13[[#This Row],[Price]]/129</f>
        <v>8.3100775193798455</v>
      </c>
      <c r="N384" s="65"/>
      <c r="O384">
        <v>5.6</v>
      </c>
      <c r="P384" s="39">
        <f>(594+62+93)/129</f>
        <v>5.8062015503875966</v>
      </c>
      <c r="Q384" s="66">
        <f>Table13[[#This Row],[Labor ($/SF)]]+Table13[[#This Row],[Material $/SF]]</f>
        <v>14.116279069767442</v>
      </c>
      <c r="R384">
        <v>1.2</v>
      </c>
      <c r="S384" s="39">
        <f>(129+67)/120</f>
        <v>1.6333333333333333</v>
      </c>
      <c r="U384">
        <v>2023</v>
      </c>
      <c r="V384" t="s">
        <v>1136</v>
      </c>
      <c r="W384" t="s">
        <v>338</v>
      </c>
    </row>
    <row r="385" spans="1:24" x14ac:dyDescent="0.2">
      <c r="A385" t="s">
        <v>7</v>
      </c>
      <c r="C385" s="64" t="s">
        <v>4693</v>
      </c>
      <c r="D385" s="363"/>
      <c r="E385" s="64" t="s">
        <v>991</v>
      </c>
      <c r="F385" s="64"/>
      <c r="G385" s="64"/>
      <c r="H385" s="64"/>
      <c r="I385" s="64" t="s">
        <v>1846</v>
      </c>
      <c r="J385" s="64"/>
      <c r="L385" s="65">
        <v>773</v>
      </c>
      <c r="M385" s="65">
        <f>Table13[[#This Row],[Price]]/129</f>
        <v>5.9922480620155039</v>
      </c>
      <c r="N385" s="65"/>
      <c r="O385">
        <v>5.6</v>
      </c>
      <c r="P385" s="39">
        <f>(246+54+62)/129</f>
        <v>2.806201550387597</v>
      </c>
      <c r="Q385" s="66">
        <f>Table13[[#This Row],[Labor ($/SF)]]+Table13[[#This Row],[Material $/SF]]</f>
        <v>8.7984496124031004</v>
      </c>
      <c r="R385">
        <v>1.2</v>
      </c>
      <c r="S385" s="39">
        <f>(53+59)/120</f>
        <v>0.93333333333333335</v>
      </c>
      <c r="U385">
        <v>2023</v>
      </c>
      <c r="V385" t="s">
        <v>1137</v>
      </c>
      <c r="W385" t="s">
        <v>338</v>
      </c>
    </row>
    <row r="386" spans="1:24" x14ac:dyDescent="0.2">
      <c r="A386" t="s">
        <v>7</v>
      </c>
      <c r="C386" s="64" t="s">
        <v>4693</v>
      </c>
      <c r="D386" s="363"/>
      <c r="E386" s="64" t="s">
        <v>991</v>
      </c>
      <c r="F386" s="64"/>
      <c r="G386" s="64"/>
      <c r="H386" s="64"/>
      <c r="I386" s="64" t="s">
        <v>1846</v>
      </c>
      <c r="J386" s="64"/>
      <c r="L386" s="65">
        <v>1072</v>
      </c>
      <c r="M386" s="65">
        <f>Table13[[#This Row],[Price]]/129</f>
        <v>8.3100775193798455</v>
      </c>
      <c r="N386" s="65"/>
      <c r="O386">
        <v>5.6</v>
      </c>
      <c r="P386" s="39">
        <f>(593+62+93)/129</f>
        <v>5.7984496124031004</v>
      </c>
      <c r="Q386" s="66">
        <f>Table13[[#This Row],[Labor ($/SF)]]+Table13[[#This Row],[Material $/SF]]</f>
        <v>14.108527131782946</v>
      </c>
      <c r="R386">
        <v>1.2</v>
      </c>
      <c r="S386" s="39">
        <f>(129+67)/120</f>
        <v>1.6333333333333333</v>
      </c>
      <c r="U386">
        <v>2023</v>
      </c>
      <c r="V386" t="s">
        <v>1138</v>
      </c>
      <c r="W386" t="s">
        <v>338</v>
      </c>
    </row>
    <row r="387" spans="1:24" x14ac:dyDescent="0.2">
      <c r="A387" t="s">
        <v>7</v>
      </c>
      <c r="C387" s="64" t="s">
        <v>4693</v>
      </c>
      <c r="D387" s="363"/>
      <c r="E387" s="64" t="s">
        <v>991</v>
      </c>
      <c r="F387" s="64"/>
      <c r="G387" s="64"/>
      <c r="H387" s="64"/>
      <c r="I387" s="64" t="s">
        <v>1846</v>
      </c>
      <c r="J387" s="64"/>
      <c r="L387" s="65">
        <v>773</v>
      </c>
      <c r="M387" s="65">
        <f>Table13[[#This Row],[Price]]/129</f>
        <v>5.9922480620155039</v>
      </c>
      <c r="N387" s="65"/>
      <c r="O387">
        <v>5.6</v>
      </c>
      <c r="P387" s="39">
        <f>(245+54+62)/129</f>
        <v>2.7984496124031009</v>
      </c>
      <c r="Q387" s="66">
        <f>Table13[[#This Row],[Labor ($/SF)]]+Table13[[#This Row],[Material $/SF]]</f>
        <v>8.7906976744186043</v>
      </c>
      <c r="R387">
        <v>1.2</v>
      </c>
      <c r="S387" s="39">
        <f>(53+59)/120</f>
        <v>0.93333333333333335</v>
      </c>
      <c r="U387">
        <v>2023</v>
      </c>
      <c r="V387" t="s">
        <v>1139</v>
      </c>
      <c r="W387" t="s">
        <v>338</v>
      </c>
    </row>
    <row r="388" spans="1:24" x14ac:dyDescent="0.2">
      <c r="A388" t="s">
        <v>7</v>
      </c>
      <c r="C388" s="64" t="s">
        <v>4693</v>
      </c>
      <c r="D388" s="363"/>
      <c r="E388" s="64" t="s">
        <v>991</v>
      </c>
      <c r="F388" s="64"/>
      <c r="G388" s="64"/>
      <c r="H388" s="64"/>
      <c r="I388" s="64" t="s">
        <v>1846</v>
      </c>
      <c r="J388" s="64"/>
      <c r="L388" s="65">
        <v>1075</v>
      </c>
      <c r="M388" s="65">
        <f>Table13[[#This Row],[Price]]/129</f>
        <v>8.3333333333333339</v>
      </c>
      <c r="N388" s="65"/>
      <c r="O388">
        <v>5.6</v>
      </c>
      <c r="P388" s="39">
        <f>(605+62+93)/129</f>
        <v>5.8914728682170541</v>
      </c>
      <c r="Q388" s="66">
        <f>Table13[[#This Row],[Labor ($/SF)]]+Table13[[#This Row],[Material $/SF]]</f>
        <v>14.224806201550388</v>
      </c>
      <c r="R388">
        <v>1.2</v>
      </c>
      <c r="S388" s="39">
        <f>(131+67)/120</f>
        <v>1.65</v>
      </c>
      <c r="U388">
        <v>2023</v>
      </c>
      <c r="V388" t="s">
        <v>1140</v>
      </c>
      <c r="W388" t="s">
        <v>338</v>
      </c>
    </row>
    <row r="389" spans="1:24" x14ac:dyDescent="0.2">
      <c r="A389" t="s">
        <v>7</v>
      </c>
      <c r="C389" s="64" t="s">
        <v>4693</v>
      </c>
      <c r="D389" s="363"/>
      <c r="E389" s="64" t="s">
        <v>991</v>
      </c>
      <c r="F389" s="64"/>
      <c r="G389" s="64"/>
      <c r="H389" s="64"/>
      <c r="I389" s="64" t="s">
        <v>1846</v>
      </c>
      <c r="J389" s="64"/>
      <c r="L389" s="65">
        <v>775</v>
      </c>
      <c r="M389" s="65">
        <f>Table13[[#This Row],[Price]]/129</f>
        <v>6.0077519379844961</v>
      </c>
      <c r="N389" s="65"/>
      <c r="O389">
        <v>5.6</v>
      </c>
      <c r="P389" s="39">
        <f>(250+54+62)/129</f>
        <v>2.8372093023255816</v>
      </c>
      <c r="Q389" s="66">
        <f>Table13[[#This Row],[Labor ($/SF)]]+Table13[[#This Row],[Material $/SF]]</f>
        <v>8.8449612403100772</v>
      </c>
      <c r="R389">
        <v>1.2</v>
      </c>
      <c r="S389" s="39">
        <f>(54+59)/120</f>
        <v>0.94166666666666665</v>
      </c>
      <c r="U389">
        <v>2023</v>
      </c>
      <c r="V389" t="s">
        <v>1141</v>
      </c>
      <c r="W389" t="s">
        <v>338</v>
      </c>
    </row>
    <row r="390" spans="1:24" x14ac:dyDescent="0.2">
      <c r="A390" t="s">
        <v>7</v>
      </c>
      <c r="C390" s="64" t="s">
        <v>4693</v>
      </c>
      <c r="D390" s="363"/>
      <c r="E390" s="64" t="s">
        <v>991</v>
      </c>
      <c r="F390" s="64"/>
      <c r="G390" s="64"/>
      <c r="H390" s="64"/>
      <c r="I390" s="64" t="s">
        <v>1846</v>
      </c>
      <c r="J390" s="64"/>
      <c r="L390" s="65">
        <v>1062</v>
      </c>
      <c r="M390" s="65">
        <f>Table13[[#This Row],[Price]]/129</f>
        <v>8.2325581395348841</v>
      </c>
      <c r="N390" s="65"/>
      <c r="O390">
        <v>5.6</v>
      </c>
      <c r="P390" s="39">
        <f>(554+61+92)/129</f>
        <v>5.4806201550387597</v>
      </c>
      <c r="Q390" s="66">
        <f>Table13[[#This Row],[Labor ($/SF)]]+Table13[[#This Row],[Material $/SF]]</f>
        <v>13.713178294573645</v>
      </c>
      <c r="R390">
        <v>1.2</v>
      </c>
      <c r="S390" s="39">
        <f>(120+66)/120</f>
        <v>1.55</v>
      </c>
      <c r="U390">
        <v>2023</v>
      </c>
      <c r="V390" t="s">
        <v>1142</v>
      </c>
      <c r="W390" t="s">
        <v>338</v>
      </c>
    </row>
    <row r="391" spans="1:24" x14ac:dyDescent="0.2">
      <c r="A391" t="s">
        <v>7</v>
      </c>
      <c r="C391" s="64" t="s">
        <v>4693</v>
      </c>
      <c r="D391" s="363"/>
      <c r="E391" s="64" t="s">
        <v>991</v>
      </c>
      <c r="F391" s="64"/>
      <c r="G391" s="64"/>
      <c r="H391" s="64"/>
      <c r="I391" s="64" t="s">
        <v>1846</v>
      </c>
      <c r="J391" s="64"/>
      <c r="L391" s="65">
        <v>766</v>
      </c>
      <c r="M391" s="65">
        <f>Table13[[#This Row],[Price]]/129</f>
        <v>5.9379844961240309</v>
      </c>
      <c r="N391" s="65"/>
      <c r="O391">
        <v>5.6</v>
      </c>
      <c r="P391" s="39">
        <f>(229+54+61)/129</f>
        <v>2.6666666666666665</v>
      </c>
      <c r="Q391" s="66">
        <f>Table13[[#This Row],[Labor ($/SF)]]+Table13[[#This Row],[Material $/SF]]</f>
        <v>8.604651162790697</v>
      </c>
      <c r="R391">
        <v>1.2</v>
      </c>
      <c r="S391" s="39">
        <f>(50+58)/120</f>
        <v>0.9</v>
      </c>
      <c r="U391">
        <v>2023</v>
      </c>
      <c r="V391" t="s">
        <v>1143</v>
      </c>
      <c r="W391" t="s">
        <v>338</v>
      </c>
    </row>
    <row r="392" spans="1:24" x14ac:dyDescent="0.2">
      <c r="A392" t="s">
        <v>7</v>
      </c>
      <c r="C392" s="64" t="s">
        <v>4693</v>
      </c>
      <c r="D392" s="363"/>
      <c r="E392" s="64" t="s">
        <v>991</v>
      </c>
      <c r="F392" s="64"/>
      <c r="G392" s="64"/>
      <c r="H392" s="64"/>
      <c r="I392" s="64" t="s">
        <v>1846</v>
      </c>
      <c r="J392" s="64"/>
      <c r="L392" s="65">
        <v>1110</v>
      </c>
      <c r="M392" s="65">
        <f>Table13[[#This Row],[Price]]/129</f>
        <v>8.604651162790697</v>
      </c>
      <c r="N392" s="65"/>
      <c r="O392">
        <v>5.6</v>
      </c>
      <c r="P392" s="39">
        <f>(744+64+96)/129</f>
        <v>7.0077519379844961</v>
      </c>
      <c r="Q392" s="66">
        <f>Table13[[#This Row],[Labor ($/SF)]]+Table13[[#This Row],[Material $/SF]]</f>
        <v>15.612403100775193</v>
      </c>
      <c r="R392">
        <v>1.2</v>
      </c>
      <c r="S392" s="39">
        <f>(161+69)/120</f>
        <v>1.9166666666666667</v>
      </c>
      <c r="U392">
        <v>2023</v>
      </c>
      <c r="V392" t="s">
        <v>1144</v>
      </c>
      <c r="W392" t="s">
        <v>338</v>
      </c>
    </row>
    <row r="393" spans="1:24" x14ac:dyDescent="0.2">
      <c r="A393" t="s">
        <v>7</v>
      </c>
      <c r="C393" s="64" t="s">
        <v>4693</v>
      </c>
      <c r="D393" s="363"/>
      <c r="E393" s="64" t="s">
        <v>991</v>
      </c>
      <c r="F393" s="64"/>
      <c r="G393" s="64"/>
      <c r="H393" s="64"/>
      <c r="I393" s="64" t="s">
        <v>1846</v>
      </c>
      <c r="J393" s="64"/>
      <c r="L393" s="65">
        <v>800</v>
      </c>
      <c r="M393" s="65">
        <f>Table13[[#This Row],[Price]]/129</f>
        <v>6.2015503875968996</v>
      </c>
      <c r="N393" s="65"/>
      <c r="O393">
        <v>5.6</v>
      </c>
      <c r="P393" s="39">
        <f>(308+56+64)/129</f>
        <v>3.3178294573643412</v>
      </c>
      <c r="Q393" s="66">
        <f>Table13[[#This Row],[Labor ($/SF)]]+Table13[[#This Row],[Material $/SF]]</f>
        <v>9.5193798449612412</v>
      </c>
      <c r="R393">
        <v>1.2</v>
      </c>
      <c r="S393" s="39">
        <f>(67+61)/120</f>
        <v>1.0666666666666667</v>
      </c>
      <c r="U393">
        <v>2023</v>
      </c>
      <c r="V393" t="s">
        <v>1145</v>
      </c>
      <c r="W393" t="s">
        <v>338</v>
      </c>
    </row>
    <row r="394" spans="1:24" x14ac:dyDescent="0.2">
      <c r="A394" t="s">
        <v>7</v>
      </c>
      <c r="C394" s="64" t="s">
        <v>4693</v>
      </c>
      <c r="D394" s="363"/>
      <c r="E394" s="64" t="s">
        <v>991</v>
      </c>
      <c r="F394" s="64"/>
      <c r="G394" s="64"/>
      <c r="H394" s="64"/>
      <c r="I394" s="64" t="s">
        <v>1846</v>
      </c>
      <c r="J394" s="64"/>
      <c r="L394" s="65">
        <v>1101</v>
      </c>
      <c r="M394" s="65">
        <f>Table13[[#This Row],[Price]]/129</f>
        <v>8.5348837209302317</v>
      </c>
      <c r="N394" s="65"/>
      <c r="O394">
        <v>5.6</v>
      </c>
      <c r="P394" s="39">
        <f>(709+63+96)/129</f>
        <v>6.7286821705426361</v>
      </c>
      <c r="Q394" s="66">
        <f>Table13[[#This Row],[Labor ($/SF)]]+Table13[[#This Row],[Material $/SF]]</f>
        <v>15.263565891472869</v>
      </c>
      <c r="R394">
        <v>1.2</v>
      </c>
      <c r="S394" s="39">
        <f>(154+69)/120</f>
        <v>1.8583333333333334</v>
      </c>
      <c r="U394">
        <v>2023</v>
      </c>
      <c r="V394" t="s">
        <v>1146</v>
      </c>
      <c r="W394" t="s">
        <v>338</v>
      </c>
    </row>
    <row r="395" spans="1:24" x14ac:dyDescent="0.2">
      <c r="A395" t="s">
        <v>7</v>
      </c>
      <c r="C395" s="64" t="s">
        <v>4693</v>
      </c>
      <c r="D395" s="363"/>
      <c r="E395" s="64" t="s">
        <v>991</v>
      </c>
      <c r="F395" s="64"/>
      <c r="G395" s="64"/>
      <c r="H395" s="64"/>
      <c r="I395" s="64" t="s">
        <v>1846</v>
      </c>
      <c r="J395" s="64"/>
      <c r="L395" s="65">
        <v>794</v>
      </c>
      <c r="M395" s="65">
        <f>Table13[[#This Row],[Price]]/129</f>
        <v>6.1550387596899228</v>
      </c>
      <c r="N395" s="65"/>
      <c r="O395">
        <v>5.6</v>
      </c>
      <c r="P395" s="39">
        <f>(293+56+64)/129</f>
        <v>3.2015503875968991</v>
      </c>
      <c r="Q395" s="66">
        <f>Table13[[#This Row],[Labor ($/SF)]]+Table13[[#This Row],[Material $/SF]]</f>
        <v>9.3565891472868223</v>
      </c>
      <c r="R395">
        <v>1.2</v>
      </c>
      <c r="S395" s="39">
        <f>(64+60)/120</f>
        <v>1.0333333333333334</v>
      </c>
      <c r="U395">
        <v>2023</v>
      </c>
      <c r="V395" t="s">
        <v>1147</v>
      </c>
      <c r="W395" t="s">
        <v>338</v>
      </c>
    </row>
    <row r="396" spans="1:24" x14ac:dyDescent="0.2">
      <c r="A396" t="s">
        <v>7</v>
      </c>
      <c r="C396" s="64" t="s">
        <v>4763</v>
      </c>
      <c r="D396" s="363"/>
      <c r="E396" s="64" t="s">
        <v>4765</v>
      </c>
      <c r="F396" s="64"/>
      <c r="G396" s="64"/>
      <c r="H396" s="64"/>
      <c r="I396" s="64"/>
      <c r="J396" s="64"/>
      <c r="L396" s="65">
        <v>798</v>
      </c>
      <c r="M396" s="65">
        <f>Table13[[#This Row],[Price]]/129</f>
        <v>6.1860465116279073</v>
      </c>
      <c r="N396" s="65"/>
      <c r="O396">
        <v>6.9</v>
      </c>
      <c r="P396" s="39">
        <f>(1166+67+101)/129</f>
        <v>10.34108527131783</v>
      </c>
      <c r="Q396" s="66">
        <f>Table13[[#This Row],[Labor ($/SF)]]+Table13[[#This Row],[Material $/SF]]</f>
        <v>16.527131782945737</v>
      </c>
      <c r="R396">
        <v>1.2</v>
      </c>
      <c r="S396" s="39">
        <f>(206+73)/120</f>
        <v>2.3250000000000002</v>
      </c>
      <c r="U396">
        <v>2023</v>
      </c>
      <c r="V396" t="s">
        <v>1128</v>
      </c>
      <c r="W396" t="s">
        <v>338</v>
      </c>
      <c r="X396" t="s">
        <v>4769</v>
      </c>
    </row>
    <row r="397" spans="1:24" x14ac:dyDescent="0.2">
      <c r="A397" t="s">
        <v>7</v>
      </c>
      <c r="C397" s="64" t="s">
        <v>4763</v>
      </c>
      <c r="D397" s="363"/>
      <c r="E397" s="64" t="s">
        <v>4765</v>
      </c>
      <c r="F397" s="64"/>
      <c r="G397" s="64"/>
      <c r="H397" s="64"/>
      <c r="I397" s="64"/>
      <c r="J397" s="64"/>
      <c r="L397" s="65">
        <v>576</v>
      </c>
      <c r="M397" s="65">
        <f>Table13[[#This Row],[Price]]/129</f>
        <v>4.4651162790697674</v>
      </c>
      <c r="N397" s="65"/>
      <c r="O397">
        <v>6.9</v>
      </c>
      <c r="P397" s="39">
        <f>(482+59+67)/129</f>
        <v>4.7131782945736438</v>
      </c>
      <c r="Q397" s="66">
        <f>Table13[[#This Row],[Labor ($/SF)]]+Table13[[#This Row],[Material $/SF]]</f>
        <v>9.1782945736434112</v>
      </c>
      <c r="R397">
        <v>1.2</v>
      </c>
      <c r="S397" s="39">
        <f>(85+64)/120</f>
        <v>1.2416666666666667</v>
      </c>
      <c r="U397">
        <v>2023</v>
      </c>
      <c r="V397" t="s">
        <v>1129</v>
      </c>
      <c r="W397" t="s">
        <v>338</v>
      </c>
    </row>
    <row r="398" spans="1:24" x14ac:dyDescent="0.2">
      <c r="A398" t="s">
        <v>7</v>
      </c>
      <c r="C398" s="64" t="s">
        <v>4763</v>
      </c>
      <c r="D398" s="363"/>
      <c r="E398" s="64" t="s">
        <v>4765</v>
      </c>
      <c r="F398" s="64"/>
      <c r="G398" s="64"/>
      <c r="H398" s="64"/>
      <c r="I398" s="64"/>
      <c r="J398" s="64"/>
      <c r="L398" s="65">
        <v>745</v>
      </c>
      <c r="M398" s="65">
        <f>Table13[[#This Row],[Price]]/129</f>
        <v>5.775193798449612</v>
      </c>
      <c r="N398" s="65"/>
      <c r="O398">
        <v>6.9</v>
      </c>
      <c r="P398" s="39">
        <f>(790+62+94)/129</f>
        <v>7.333333333333333</v>
      </c>
      <c r="Q398" s="66">
        <f>Table13[[#This Row],[Labor ($/SF)]]+Table13[[#This Row],[Material $/SF]]</f>
        <v>13.108527131782946</v>
      </c>
      <c r="R398">
        <v>1.2</v>
      </c>
      <c r="S398" s="39">
        <f>(140+68)/120</f>
        <v>1.7333333333333334</v>
      </c>
      <c r="U398">
        <v>2023</v>
      </c>
      <c r="V398" t="s">
        <v>1130</v>
      </c>
      <c r="W398" t="s">
        <v>338</v>
      </c>
    </row>
    <row r="399" spans="1:24" x14ac:dyDescent="0.2">
      <c r="A399" t="s">
        <v>7</v>
      </c>
      <c r="C399" s="64" t="s">
        <v>4763</v>
      </c>
      <c r="D399" s="363"/>
      <c r="E399" s="64" t="s">
        <v>4765</v>
      </c>
      <c r="F399" s="64"/>
      <c r="G399" s="64"/>
      <c r="H399" s="64"/>
      <c r="I399" s="64"/>
      <c r="J399" s="64"/>
      <c r="L399" s="65">
        <v>537</v>
      </c>
      <c r="M399" s="65">
        <f>Table13[[#This Row],[Price]]/129</f>
        <v>4.1627906976744189</v>
      </c>
      <c r="N399" s="65"/>
      <c r="O399">
        <v>6.9</v>
      </c>
      <c r="P399" s="39">
        <f>(327+55+63)/129</f>
        <v>3.4496124031007751</v>
      </c>
      <c r="Q399" s="66">
        <f>Table13[[#This Row],[Labor ($/SF)]]+Table13[[#This Row],[Material $/SF]]</f>
        <v>7.612403100775194</v>
      </c>
      <c r="R399">
        <v>1.2</v>
      </c>
      <c r="S399" s="39">
        <f>(58+60)/120</f>
        <v>0.98333333333333328</v>
      </c>
      <c r="U399">
        <v>2023</v>
      </c>
      <c r="V399" t="s">
        <v>1131</v>
      </c>
      <c r="W399" t="s">
        <v>338</v>
      </c>
    </row>
    <row r="400" spans="1:24" x14ac:dyDescent="0.2">
      <c r="A400" t="s">
        <v>7</v>
      </c>
      <c r="C400" s="64" t="s">
        <v>4763</v>
      </c>
      <c r="D400" s="363"/>
      <c r="E400" s="64" t="s">
        <v>4765</v>
      </c>
      <c r="F400" s="64"/>
      <c r="G400" s="64"/>
      <c r="H400" s="64"/>
      <c r="I400" s="64"/>
      <c r="J400" s="64"/>
      <c r="L400" s="65">
        <v>768</v>
      </c>
      <c r="M400" s="65">
        <f>Table13[[#This Row],[Price]]/129</f>
        <v>5.9534883720930232</v>
      </c>
      <c r="N400" s="65"/>
      <c r="O400">
        <v>6.9</v>
      </c>
      <c r="P400" s="39">
        <f>(948+64+97)/129</f>
        <v>8.5968992248062008</v>
      </c>
      <c r="Q400" s="66">
        <f>Table13[[#This Row],[Labor ($/SF)]]+Table13[[#This Row],[Material $/SF]]</f>
        <v>14.550387596899224</v>
      </c>
      <c r="R400">
        <v>1.2</v>
      </c>
      <c r="S400" s="39">
        <f>(168+70)/120</f>
        <v>1.9833333333333334</v>
      </c>
      <c r="U400">
        <v>2023</v>
      </c>
      <c r="V400" t="s">
        <v>1132</v>
      </c>
      <c r="W400" t="s">
        <v>338</v>
      </c>
    </row>
    <row r="401" spans="1:24" x14ac:dyDescent="0.2">
      <c r="A401" t="s">
        <v>7</v>
      </c>
      <c r="C401" s="64" t="s">
        <v>4763</v>
      </c>
      <c r="D401" s="363"/>
      <c r="E401" s="64" t="s">
        <v>4765</v>
      </c>
      <c r="F401" s="64"/>
      <c r="G401" s="64"/>
      <c r="H401" s="64"/>
      <c r="I401" s="64"/>
      <c r="J401" s="64"/>
      <c r="L401" s="65">
        <v>553</v>
      </c>
      <c r="M401" s="65">
        <f>Table13[[#This Row],[Price]]/129</f>
        <v>4.2868217054263562</v>
      </c>
      <c r="N401" s="65"/>
      <c r="O401">
        <v>6.9</v>
      </c>
      <c r="P401" s="39">
        <f>(392+57+65)/129</f>
        <v>3.9844961240310077</v>
      </c>
      <c r="Q401" s="66">
        <f>Table13[[#This Row],[Labor ($/SF)]]+Table13[[#This Row],[Material $/SF]]</f>
        <v>8.271317829457363</v>
      </c>
      <c r="R401">
        <v>1.2</v>
      </c>
      <c r="S401" s="39">
        <f>(69+61)/120</f>
        <v>1.0833333333333333</v>
      </c>
      <c r="U401">
        <v>2023</v>
      </c>
      <c r="V401" t="s">
        <v>1133</v>
      </c>
      <c r="W401" t="s">
        <v>338</v>
      </c>
    </row>
    <row r="402" spans="1:24" x14ac:dyDescent="0.2">
      <c r="A402" t="s">
        <v>7</v>
      </c>
      <c r="C402" s="64" t="s">
        <v>4763</v>
      </c>
      <c r="D402" s="363"/>
      <c r="E402" s="64" t="s">
        <v>4765</v>
      </c>
      <c r="F402" s="64"/>
      <c r="G402" s="64"/>
      <c r="H402" s="64"/>
      <c r="I402" s="64"/>
      <c r="J402" s="64"/>
      <c r="L402" s="65">
        <v>750</v>
      </c>
      <c r="M402" s="65">
        <f>Table13[[#This Row],[Price]]/129</f>
        <v>5.8139534883720927</v>
      </c>
      <c r="N402" s="65"/>
      <c r="O402">
        <v>6.9</v>
      </c>
      <c r="P402" s="39">
        <f>(825+63+95)/129</f>
        <v>7.6201550387596901</v>
      </c>
      <c r="Q402" s="66">
        <f>Table13[[#This Row],[Labor ($/SF)]]+Table13[[#This Row],[Material $/SF]]</f>
        <v>13.434108527131784</v>
      </c>
      <c r="R402">
        <v>1.2</v>
      </c>
      <c r="S402" s="39">
        <f>(146+68)/120</f>
        <v>1.7833333333333334</v>
      </c>
      <c r="U402">
        <v>2023</v>
      </c>
      <c r="V402" t="s">
        <v>1134</v>
      </c>
      <c r="W402" t="s">
        <v>338</v>
      </c>
    </row>
    <row r="403" spans="1:24" x14ac:dyDescent="0.2">
      <c r="A403" t="s">
        <v>7</v>
      </c>
      <c r="C403" s="64" t="s">
        <v>4763</v>
      </c>
      <c r="D403" s="363"/>
      <c r="E403" s="64" t="s">
        <v>4765</v>
      </c>
      <c r="F403" s="64"/>
      <c r="G403" s="64"/>
      <c r="H403" s="64"/>
      <c r="I403" s="64"/>
      <c r="J403" s="64"/>
      <c r="L403" s="65">
        <v>541</v>
      </c>
      <c r="M403" s="65">
        <f>Table13[[#This Row],[Price]]/129</f>
        <v>4.1937984496124034</v>
      </c>
      <c r="N403" s="65"/>
      <c r="O403">
        <v>6.9</v>
      </c>
      <c r="P403" s="39">
        <f>(341+55+63)/129</f>
        <v>3.558139534883721</v>
      </c>
      <c r="Q403" s="66">
        <f>Table13[[#This Row],[Labor ($/SF)]]+Table13[[#This Row],[Material $/SF]]</f>
        <v>7.7519379844961245</v>
      </c>
      <c r="R403">
        <v>1.2</v>
      </c>
      <c r="S403" s="39">
        <f>(60+60)/120</f>
        <v>1</v>
      </c>
      <c r="U403">
        <v>2023</v>
      </c>
      <c r="V403" t="s">
        <v>1135</v>
      </c>
      <c r="W403" t="s">
        <v>338</v>
      </c>
    </row>
    <row r="404" spans="1:24" x14ac:dyDescent="0.2">
      <c r="A404" t="s">
        <v>7</v>
      </c>
      <c r="C404" s="64" t="s">
        <v>4763</v>
      </c>
      <c r="D404" s="363"/>
      <c r="E404" s="64" t="s">
        <v>4765</v>
      </c>
      <c r="F404" s="64"/>
      <c r="G404" s="64"/>
      <c r="H404" s="64"/>
      <c r="I404" s="64"/>
      <c r="J404" s="64"/>
      <c r="L404" s="65">
        <v>736</v>
      </c>
      <c r="M404" s="65">
        <f>Table13[[#This Row],[Price]]/129</f>
        <v>5.7054263565891477</v>
      </c>
      <c r="N404" s="65"/>
      <c r="O404">
        <v>6.9</v>
      </c>
      <c r="P404" s="39">
        <f>(728+62+93)/129</f>
        <v>6.8449612403100772</v>
      </c>
      <c r="Q404" s="66">
        <f>Table13[[#This Row],[Labor ($/SF)]]+Table13[[#This Row],[Material $/SF]]</f>
        <v>12.550387596899224</v>
      </c>
      <c r="R404">
        <v>1.2</v>
      </c>
      <c r="S404" s="39">
        <f>(129+67)/120</f>
        <v>1.6333333333333333</v>
      </c>
      <c r="U404">
        <v>2023</v>
      </c>
      <c r="V404" t="s">
        <v>1136</v>
      </c>
      <c r="W404" t="s">
        <v>338</v>
      </c>
    </row>
    <row r="405" spans="1:24" x14ac:dyDescent="0.2">
      <c r="A405" t="s">
        <v>7</v>
      </c>
      <c r="C405" s="64" t="s">
        <v>4763</v>
      </c>
      <c r="D405" s="363"/>
      <c r="E405" s="64" t="s">
        <v>4765</v>
      </c>
      <c r="F405" s="64"/>
      <c r="G405" s="64"/>
      <c r="H405" s="64"/>
      <c r="I405" s="64"/>
      <c r="J405" s="64"/>
      <c r="L405" s="65">
        <v>531</v>
      </c>
      <c r="M405" s="65">
        <f>Table13[[#This Row],[Price]]/129</f>
        <v>4.1162790697674421</v>
      </c>
      <c r="N405" s="65"/>
      <c r="O405">
        <v>6.9</v>
      </c>
      <c r="P405" s="39">
        <f>(301+54+62)/129</f>
        <v>3.2325581395348837</v>
      </c>
      <c r="Q405" s="66">
        <f>Table13[[#This Row],[Labor ($/SF)]]+Table13[[#This Row],[Material $/SF]]</f>
        <v>7.3488372093023262</v>
      </c>
      <c r="R405">
        <v>1.2</v>
      </c>
      <c r="S405" s="39">
        <f>(53+59)/120</f>
        <v>0.93333333333333335</v>
      </c>
      <c r="U405">
        <v>2023</v>
      </c>
      <c r="V405" t="s">
        <v>1137</v>
      </c>
      <c r="W405" t="s">
        <v>338</v>
      </c>
    </row>
    <row r="406" spans="1:24" x14ac:dyDescent="0.2">
      <c r="A406" t="s">
        <v>7</v>
      </c>
      <c r="C406" s="64" t="s">
        <v>4763</v>
      </c>
      <c r="D406" s="363"/>
      <c r="E406" s="64" t="s">
        <v>4765</v>
      </c>
      <c r="F406" s="64"/>
      <c r="G406" s="64"/>
      <c r="H406" s="64"/>
      <c r="I406" s="64"/>
      <c r="J406" s="64"/>
      <c r="L406" s="65">
        <v>736</v>
      </c>
      <c r="M406" s="65">
        <f>Table13[[#This Row],[Price]]/129</f>
        <v>5.7054263565891477</v>
      </c>
      <c r="N406" s="65"/>
      <c r="O406">
        <v>6.9</v>
      </c>
      <c r="P406" s="39">
        <f>(726+62+93)/129</f>
        <v>6.829457364341085</v>
      </c>
      <c r="Q406" s="66">
        <f>Table13[[#This Row],[Labor ($/SF)]]+Table13[[#This Row],[Material $/SF]]</f>
        <v>12.534883720930232</v>
      </c>
      <c r="R406">
        <v>1.2</v>
      </c>
      <c r="S406" s="39">
        <f>(129+67)/120</f>
        <v>1.6333333333333333</v>
      </c>
      <c r="U406">
        <v>2023</v>
      </c>
      <c r="V406" t="s">
        <v>1138</v>
      </c>
      <c r="W406" t="s">
        <v>338</v>
      </c>
    </row>
    <row r="407" spans="1:24" x14ac:dyDescent="0.2">
      <c r="A407" t="s">
        <v>7</v>
      </c>
      <c r="C407" s="64" t="s">
        <v>4763</v>
      </c>
      <c r="D407" s="363"/>
      <c r="E407" s="64" t="s">
        <v>4765</v>
      </c>
      <c r="F407" s="64"/>
      <c r="G407" s="64"/>
      <c r="H407" s="64"/>
      <c r="I407" s="64"/>
      <c r="J407" s="64"/>
      <c r="L407" s="65">
        <v>531</v>
      </c>
      <c r="M407" s="65">
        <f>Table13[[#This Row],[Price]]/129</f>
        <v>4.1162790697674421</v>
      </c>
      <c r="N407" s="65"/>
      <c r="O407">
        <v>6.9</v>
      </c>
      <c r="P407" s="39">
        <f>(300+54+62)/129</f>
        <v>3.2248062015503876</v>
      </c>
      <c r="Q407" s="66">
        <f>Table13[[#This Row],[Labor ($/SF)]]+Table13[[#This Row],[Material $/SF]]</f>
        <v>7.3410852713178301</v>
      </c>
      <c r="R407">
        <v>1.2</v>
      </c>
      <c r="S407" s="39">
        <f>(53+59)/120</f>
        <v>0.93333333333333335</v>
      </c>
      <c r="U407">
        <v>2023</v>
      </c>
      <c r="V407" t="s">
        <v>1139</v>
      </c>
      <c r="W407" t="s">
        <v>338</v>
      </c>
    </row>
    <row r="408" spans="1:24" x14ac:dyDescent="0.2">
      <c r="A408" t="s">
        <v>7</v>
      </c>
      <c r="C408" s="64" t="s">
        <v>4763</v>
      </c>
      <c r="D408" s="363"/>
      <c r="E408" s="64" t="s">
        <v>4765</v>
      </c>
      <c r="F408" s="64"/>
      <c r="G408" s="64"/>
      <c r="H408" s="64"/>
      <c r="I408" s="64"/>
      <c r="J408" s="64"/>
      <c r="L408" s="65">
        <v>738</v>
      </c>
      <c r="M408" s="65">
        <f>Table13[[#This Row],[Price]]/129</f>
        <v>5.7209302325581399</v>
      </c>
      <c r="N408" s="65"/>
      <c r="O408">
        <v>6.9</v>
      </c>
      <c r="P408" s="39">
        <f>(741+62+93)/129</f>
        <v>6.945736434108527</v>
      </c>
      <c r="Q408" s="66">
        <f>Table13[[#This Row],[Labor ($/SF)]]+Table13[[#This Row],[Material $/SF]]</f>
        <v>12.666666666666668</v>
      </c>
      <c r="R408">
        <v>1.2</v>
      </c>
      <c r="S408" s="39">
        <f>(131+67)/120</f>
        <v>1.65</v>
      </c>
      <c r="U408">
        <v>2023</v>
      </c>
      <c r="V408" t="s">
        <v>1140</v>
      </c>
      <c r="W408" t="s">
        <v>338</v>
      </c>
    </row>
    <row r="409" spans="1:24" x14ac:dyDescent="0.2">
      <c r="A409" t="s">
        <v>7</v>
      </c>
      <c r="C409" s="64" t="s">
        <v>4763</v>
      </c>
      <c r="D409" s="363"/>
      <c r="E409" s="64" t="s">
        <v>4765</v>
      </c>
      <c r="F409" s="64"/>
      <c r="G409" s="64"/>
      <c r="H409" s="64"/>
      <c r="I409" s="64"/>
      <c r="J409" s="64"/>
      <c r="L409" s="65">
        <v>532</v>
      </c>
      <c r="M409" s="65">
        <f>Table13[[#This Row],[Price]]/129</f>
        <v>4.1240310077519382</v>
      </c>
      <c r="N409" s="65"/>
      <c r="O409">
        <v>6.9</v>
      </c>
      <c r="P409" s="39">
        <f>(307+54+62)/129</f>
        <v>3.2790697674418605</v>
      </c>
      <c r="Q409" s="66">
        <f>Table13[[#This Row],[Labor ($/SF)]]+Table13[[#This Row],[Material $/SF]]</f>
        <v>7.4031007751937992</v>
      </c>
      <c r="R409">
        <v>1.2</v>
      </c>
      <c r="S409" s="39">
        <f>(54+59)/120</f>
        <v>0.94166666666666665</v>
      </c>
      <c r="U409">
        <v>2023</v>
      </c>
      <c r="V409" t="s">
        <v>1141</v>
      </c>
      <c r="W409" t="s">
        <v>338</v>
      </c>
    </row>
    <row r="410" spans="1:24" x14ac:dyDescent="0.2">
      <c r="A410" t="s">
        <v>7</v>
      </c>
      <c r="C410" s="64" t="s">
        <v>4763</v>
      </c>
      <c r="D410" s="363"/>
      <c r="E410" s="64" t="s">
        <v>4765</v>
      </c>
      <c r="F410" s="64"/>
      <c r="G410" s="64"/>
      <c r="H410" s="64"/>
      <c r="I410" s="64"/>
      <c r="J410" s="64"/>
      <c r="L410" s="65">
        <v>729</v>
      </c>
      <c r="M410" s="65">
        <f>Table13[[#This Row],[Price]]/129</f>
        <v>5.6511627906976747</v>
      </c>
      <c r="N410" s="65"/>
      <c r="O410">
        <v>6.9</v>
      </c>
      <c r="P410" s="39">
        <f>(679+61+92)/129</f>
        <v>6.4496124031007751</v>
      </c>
      <c r="Q410" s="66">
        <f>Table13[[#This Row],[Labor ($/SF)]]+Table13[[#This Row],[Material $/SF]]</f>
        <v>12.10077519379845</v>
      </c>
      <c r="R410">
        <v>1.2</v>
      </c>
      <c r="S410" s="39">
        <f>(120+66)/120</f>
        <v>1.55</v>
      </c>
      <c r="U410">
        <v>2023</v>
      </c>
      <c r="V410" t="s">
        <v>1142</v>
      </c>
      <c r="W410" t="s">
        <v>338</v>
      </c>
    </row>
    <row r="411" spans="1:24" x14ac:dyDescent="0.2">
      <c r="A411" t="s">
        <v>7</v>
      </c>
      <c r="C411" s="64" t="s">
        <v>4763</v>
      </c>
      <c r="D411" s="363"/>
      <c r="E411" s="64" t="s">
        <v>4765</v>
      </c>
      <c r="F411" s="64"/>
      <c r="G411" s="64"/>
      <c r="H411" s="64"/>
      <c r="I411" s="64"/>
      <c r="J411" s="64"/>
      <c r="L411" s="65">
        <v>526</v>
      </c>
      <c r="M411" s="65">
        <f>Table13[[#This Row],[Price]]/129</f>
        <v>4.0775193798449614</v>
      </c>
      <c r="N411" s="65"/>
      <c r="O411">
        <v>6.9</v>
      </c>
      <c r="P411" s="39">
        <f>(281+54+61)/129</f>
        <v>3.0697674418604652</v>
      </c>
      <c r="Q411" s="66">
        <f>Table13[[#This Row],[Labor ($/SF)]]+Table13[[#This Row],[Material $/SF]]</f>
        <v>7.1472868217054266</v>
      </c>
      <c r="R411">
        <v>1.2</v>
      </c>
      <c r="S411" s="39">
        <f>(50+58)/120</f>
        <v>0.9</v>
      </c>
      <c r="U411">
        <v>2023</v>
      </c>
      <c r="V411" t="s">
        <v>1143</v>
      </c>
      <c r="W411" t="s">
        <v>338</v>
      </c>
    </row>
    <row r="412" spans="1:24" x14ac:dyDescent="0.2">
      <c r="A412" t="s">
        <v>7</v>
      </c>
      <c r="C412" s="64" t="s">
        <v>4763</v>
      </c>
      <c r="D412" s="363"/>
      <c r="E412" s="64" t="s">
        <v>4765</v>
      </c>
      <c r="F412" s="64"/>
      <c r="G412" s="64"/>
      <c r="H412" s="64"/>
      <c r="I412" s="64"/>
      <c r="J412" s="64"/>
      <c r="L412" s="65">
        <v>762</v>
      </c>
      <c r="M412" s="65">
        <f>Table13[[#This Row],[Price]]/129</f>
        <v>5.9069767441860463</v>
      </c>
      <c r="N412" s="65"/>
      <c r="O412">
        <v>6.9</v>
      </c>
      <c r="P412" s="39">
        <f>(911+64+96)/129</f>
        <v>8.3023255813953494</v>
      </c>
      <c r="Q412" s="66">
        <f>Table13[[#This Row],[Labor ($/SF)]]+Table13[[#This Row],[Material $/SF]]</f>
        <v>14.209302325581396</v>
      </c>
      <c r="R412">
        <v>1.2</v>
      </c>
      <c r="S412" s="39">
        <f>(161+69)/120</f>
        <v>1.9166666666666667</v>
      </c>
      <c r="U412">
        <v>2023</v>
      </c>
      <c r="V412" t="s">
        <v>1144</v>
      </c>
      <c r="W412" t="s">
        <v>338</v>
      </c>
    </row>
    <row r="413" spans="1:24" x14ac:dyDescent="0.2">
      <c r="A413" t="s">
        <v>7</v>
      </c>
      <c r="C413" s="64" t="s">
        <v>4763</v>
      </c>
      <c r="D413" s="363"/>
      <c r="E413" s="64" t="s">
        <v>4765</v>
      </c>
      <c r="F413" s="64"/>
      <c r="G413" s="64"/>
      <c r="H413" s="64"/>
      <c r="I413" s="64"/>
      <c r="J413" s="64"/>
      <c r="L413" s="65">
        <v>550</v>
      </c>
      <c r="M413" s="65">
        <f>Table13[[#This Row],[Price]]/129</f>
        <v>4.2635658914728678</v>
      </c>
      <c r="N413" s="65"/>
      <c r="O413">
        <v>6.9</v>
      </c>
      <c r="P413" s="39">
        <f>(377+56+64)/129</f>
        <v>3.8527131782945738</v>
      </c>
      <c r="Q413" s="66">
        <f>Table13[[#This Row],[Labor ($/SF)]]+Table13[[#This Row],[Material $/SF]]</f>
        <v>8.1162790697674421</v>
      </c>
      <c r="R413">
        <v>1.2</v>
      </c>
      <c r="S413" s="39">
        <f>(67+61)/120</f>
        <v>1.0666666666666667</v>
      </c>
      <c r="U413">
        <v>2023</v>
      </c>
      <c r="V413" t="s">
        <v>1145</v>
      </c>
      <c r="W413" t="s">
        <v>338</v>
      </c>
    </row>
    <row r="414" spans="1:24" x14ac:dyDescent="0.2">
      <c r="A414" t="s">
        <v>7</v>
      </c>
      <c r="C414" s="64" t="s">
        <v>4763</v>
      </c>
      <c r="D414" s="363"/>
      <c r="E414" s="64" t="s">
        <v>4765</v>
      </c>
      <c r="F414" s="64"/>
      <c r="G414" s="64"/>
      <c r="H414" s="64"/>
      <c r="I414" s="64"/>
      <c r="J414" s="64"/>
      <c r="L414" s="65">
        <v>756</v>
      </c>
      <c r="M414" s="65">
        <f>Table13[[#This Row],[Price]]/129</f>
        <v>5.8604651162790695</v>
      </c>
      <c r="N414" s="65"/>
      <c r="O414">
        <v>6.9</v>
      </c>
      <c r="P414" s="39">
        <f>(869+63+96)/129</f>
        <v>7.9689922480620154</v>
      </c>
      <c r="Q414" s="66">
        <f>Table13[[#This Row],[Labor ($/SF)]]+Table13[[#This Row],[Material $/SF]]</f>
        <v>13.829457364341085</v>
      </c>
      <c r="R414">
        <v>1.2</v>
      </c>
      <c r="S414" s="39">
        <f>(154+69)/120</f>
        <v>1.8583333333333334</v>
      </c>
      <c r="U414">
        <v>2023</v>
      </c>
      <c r="V414" t="s">
        <v>1146</v>
      </c>
      <c r="W414" t="s">
        <v>338</v>
      </c>
    </row>
    <row r="415" spans="1:24" x14ac:dyDescent="0.2">
      <c r="A415" t="s">
        <v>7</v>
      </c>
      <c r="C415" s="64" t="s">
        <v>4763</v>
      </c>
      <c r="D415" s="363"/>
      <c r="E415" s="64" t="s">
        <v>4765</v>
      </c>
      <c r="F415" s="64"/>
      <c r="G415" s="64"/>
      <c r="H415" s="64"/>
      <c r="I415" s="64"/>
      <c r="J415" s="64"/>
      <c r="L415" s="65">
        <v>545</v>
      </c>
      <c r="M415" s="65">
        <f>Table13[[#This Row],[Price]]/129</f>
        <v>4.224806201550388</v>
      </c>
      <c r="N415" s="65"/>
      <c r="O415">
        <v>6.9</v>
      </c>
      <c r="P415" s="39">
        <f>(359+56+64)/129</f>
        <v>3.7131782945736433</v>
      </c>
      <c r="Q415" s="66">
        <f>Table13[[#This Row],[Labor ($/SF)]]+Table13[[#This Row],[Material $/SF]]</f>
        <v>7.9379844961240309</v>
      </c>
      <c r="R415">
        <v>1.2</v>
      </c>
      <c r="S415" s="39">
        <f>(64+60)/120</f>
        <v>1.0333333333333334</v>
      </c>
      <c r="U415">
        <v>2023</v>
      </c>
      <c r="V415" t="s">
        <v>1147</v>
      </c>
      <c r="W415" t="s">
        <v>338</v>
      </c>
    </row>
    <row r="416" spans="1:24" x14ac:dyDescent="0.2">
      <c r="A416" t="s">
        <v>7</v>
      </c>
      <c r="C416" s="64"/>
      <c r="D416" s="363"/>
      <c r="E416" s="64" t="s">
        <v>4805</v>
      </c>
      <c r="F416" s="64"/>
      <c r="G416" s="64"/>
      <c r="H416" s="64"/>
      <c r="I416" s="64"/>
      <c r="J416" s="64"/>
      <c r="L416" s="65">
        <v>1654</v>
      </c>
      <c r="M416" s="65">
        <f>Table13[[#This Row],[Price]]/129</f>
        <v>12.821705426356589</v>
      </c>
      <c r="N416" s="65"/>
      <c r="O416">
        <v>9.9</v>
      </c>
      <c r="P416" s="39">
        <f>(1666+67+81)/129</f>
        <v>14.062015503875969</v>
      </c>
      <c r="Q416" s="66">
        <f>Table13[[#This Row],[Labor ($/SF)]]+Table13[[#This Row],[Material $/SF]]</f>
        <v>26.883720930232556</v>
      </c>
      <c r="R416">
        <v>1.2</v>
      </c>
      <c r="S416" s="39">
        <f>(206+73)/120</f>
        <v>2.3250000000000002</v>
      </c>
      <c r="U416">
        <v>2023</v>
      </c>
      <c r="V416" t="s">
        <v>1128</v>
      </c>
      <c r="W416" t="s">
        <v>338</v>
      </c>
      <c r="X416" t="s">
        <v>4804</v>
      </c>
    </row>
    <row r="417" spans="1:23" x14ac:dyDescent="0.2">
      <c r="A417" t="s">
        <v>7</v>
      </c>
      <c r="C417" s="64"/>
      <c r="D417" s="363"/>
      <c r="E417" s="64" t="s">
        <v>4805</v>
      </c>
      <c r="F417" s="64"/>
      <c r="G417" s="64"/>
      <c r="H417" s="64"/>
      <c r="I417" s="64"/>
      <c r="J417" s="64"/>
      <c r="L417" s="65">
        <v>1193</v>
      </c>
      <c r="M417" s="65">
        <f>Table13[[#This Row],[Price]]/129</f>
        <v>9.2480620155038764</v>
      </c>
      <c r="N417" s="65"/>
      <c r="O417">
        <v>9.9</v>
      </c>
      <c r="P417" s="39">
        <f>(689+59+54)/129</f>
        <v>6.2170542635658919</v>
      </c>
      <c r="Q417" s="66">
        <f>Table13[[#This Row],[Labor ($/SF)]]+Table13[[#This Row],[Material $/SF]]</f>
        <v>15.465116279069768</v>
      </c>
      <c r="R417">
        <v>1.2</v>
      </c>
      <c r="S417" s="39">
        <f>(85+64)/120</f>
        <v>1.2416666666666667</v>
      </c>
      <c r="U417">
        <v>2023</v>
      </c>
      <c r="V417" t="s">
        <v>1129</v>
      </c>
      <c r="W417" t="s">
        <v>338</v>
      </c>
    </row>
    <row r="418" spans="1:23" x14ac:dyDescent="0.2">
      <c r="A418" t="s">
        <v>7</v>
      </c>
      <c r="C418" s="64"/>
      <c r="D418" s="363"/>
      <c r="E418" s="64" t="s">
        <v>4805</v>
      </c>
      <c r="F418" s="64"/>
      <c r="G418" s="64"/>
      <c r="H418" s="64"/>
      <c r="I418" s="64"/>
      <c r="J418" s="64"/>
      <c r="L418" s="65">
        <v>1544</v>
      </c>
      <c r="M418" s="65">
        <f>Table13[[#This Row],[Price]]/129</f>
        <v>11.968992248062015</v>
      </c>
      <c r="N418" s="65"/>
      <c r="O418">
        <v>9.9</v>
      </c>
      <c r="P418" s="39">
        <f>(1129+62+76)/129</f>
        <v>9.8217054263565888</v>
      </c>
      <c r="Q418" s="66">
        <f>Table13[[#This Row],[Labor ($/SF)]]+Table13[[#This Row],[Material $/SF]]</f>
        <v>21.790697674418603</v>
      </c>
      <c r="R418">
        <v>1.2</v>
      </c>
      <c r="S418" s="39">
        <f>(140+68)/120</f>
        <v>1.7333333333333334</v>
      </c>
      <c r="U418">
        <v>2023</v>
      </c>
      <c r="V418" t="s">
        <v>1130</v>
      </c>
      <c r="W418" t="s">
        <v>338</v>
      </c>
    </row>
    <row r="419" spans="1:23" x14ac:dyDescent="0.2">
      <c r="A419" t="s">
        <v>7</v>
      </c>
      <c r="C419" s="64"/>
      <c r="D419" s="363"/>
      <c r="E419" s="64" t="s">
        <v>4805</v>
      </c>
      <c r="F419" s="64"/>
      <c r="G419" s="64"/>
      <c r="H419" s="64"/>
      <c r="I419" s="64"/>
      <c r="J419" s="64"/>
      <c r="L419" s="65">
        <v>1113</v>
      </c>
      <c r="M419" s="65">
        <f>Table13[[#This Row],[Price]]/129</f>
        <v>8.6279069767441854</v>
      </c>
      <c r="N419" s="65"/>
      <c r="O419">
        <v>9.9</v>
      </c>
      <c r="P419" s="39">
        <f>(467+55+50)/129</f>
        <v>4.4341085271317828</v>
      </c>
      <c r="Q419" s="66">
        <f>Table13[[#This Row],[Labor ($/SF)]]+Table13[[#This Row],[Material $/SF]]</f>
        <v>13.062015503875969</v>
      </c>
      <c r="R419">
        <v>1.2</v>
      </c>
      <c r="S419" s="39">
        <f>(58+60)/120</f>
        <v>0.98333333333333328</v>
      </c>
      <c r="U419">
        <v>2023</v>
      </c>
      <c r="V419" t="s">
        <v>1131</v>
      </c>
      <c r="W419" t="s">
        <v>338</v>
      </c>
    </row>
    <row r="420" spans="1:23" x14ac:dyDescent="0.2">
      <c r="A420" t="s">
        <v>7</v>
      </c>
      <c r="C420" s="64"/>
      <c r="D420" s="363"/>
      <c r="E420" s="64" t="s">
        <v>4805</v>
      </c>
      <c r="F420" s="64"/>
      <c r="G420" s="64"/>
      <c r="H420" s="64"/>
      <c r="I420" s="64"/>
      <c r="J420" s="64"/>
      <c r="L420" s="65">
        <v>1590</v>
      </c>
      <c r="M420" s="65">
        <f>Table13[[#This Row],[Price]]/129</f>
        <v>12.325581395348838</v>
      </c>
      <c r="N420" s="65"/>
      <c r="O420">
        <v>9.9</v>
      </c>
      <c r="P420" s="39">
        <f>(1355+64+78)/129</f>
        <v>11.604651162790697</v>
      </c>
      <c r="Q420" s="66">
        <f>Table13[[#This Row],[Labor ($/SF)]]+Table13[[#This Row],[Material $/SF]]</f>
        <v>23.930232558139537</v>
      </c>
      <c r="R420">
        <v>1.2</v>
      </c>
      <c r="S420" s="39">
        <f>(168+70)/120</f>
        <v>1.9833333333333334</v>
      </c>
      <c r="U420">
        <v>2023</v>
      </c>
      <c r="V420" t="s">
        <v>1132</v>
      </c>
      <c r="W420" t="s">
        <v>338</v>
      </c>
    </row>
    <row r="421" spans="1:23" x14ac:dyDescent="0.2">
      <c r="A421" t="s">
        <v>7</v>
      </c>
      <c r="C421" s="64"/>
      <c r="D421" s="363"/>
      <c r="E421" s="64" t="s">
        <v>4805</v>
      </c>
      <c r="F421" s="64"/>
      <c r="G421" s="64"/>
      <c r="H421" s="64"/>
      <c r="I421" s="64"/>
      <c r="J421" s="64"/>
      <c r="L421" s="65">
        <v>1146</v>
      </c>
      <c r="M421" s="65">
        <f>Table13[[#This Row],[Price]]/129</f>
        <v>8.8837209302325579</v>
      </c>
      <c r="N421" s="65"/>
      <c r="O421">
        <v>9.9</v>
      </c>
      <c r="P421" s="39">
        <f>(560+57+52)/129</f>
        <v>5.1860465116279073</v>
      </c>
      <c r="Q421" s="66">
        <f>Table13[[#This Row],[Labor ($/SF)]]+Table13[[#This Row],[Material $/SF]]</f>
        <v>14.069767441860465</v>
      </c>
      <c r="R421">
        <v>1.2</v>
      </c>
      <c r="S421" s="39">
        <f>(69+61)/120</f>
        <v>1.0833333333333333</v>
      </c>
      <c r="U421">
        <v>2023</v>
      </c>
      <c r="V421" t="s">
        <v>1133</v>
      </c>
      <c r="W421" t="s">
        <v>338</v>
      </c>
    </row>
    <row r="422" spans="1:23" x14ac:dyDescent="0.2">
      <c r="A422" t="s">
        <v>7</v>
      </c>
      <c r="C422" s="64"/>
      <c r="D422" s="363"/>
      <c r="E422" s="64" t="s">
        <v>4805</v>
      </c>
      <c r="F422" s="64"/>
      <c r="G422" s="64"/>
      <c r="H422" s="64"/>
      <c r="I422" s="64"/>
      <c r="J422" s="64"/>
      <c r="L422" s="65">
        <v>1554</v>
      </c>
      <c r="M422" s="65">
        <f>Table13[[#This Row],[Price]]/129</f>
        <v>12.046511627906977</v>
      </c>
      <c r="N422" s="65"/>
      <c r="O422">
        <v>9.9</v>
      </c>
      <c r="P422" s="39">
        <f>(1179+63+76)/129</f>
        <v>10.217054263565892</v>
      </c>
      <c r="Q422" s="66">
        <f>Table13[[#This Row],[Labor ($/SF)]]+Table13[[#This Row],[Material $/SF]]</f>
        <v>22.263565891472869</v>
      </c>
      <c r="R422">
        <v>1.2</v>
      </c>
      <c r="S422" s="39">
        <f>(146+68)/120</f>
        <v>1.7833333333333334</v>
      </c>
      <c r="U422">
        <v>2023</v>
      </c>
      <c r="V422" t="s">
        <v>1134</v>
      </c>
      <c r="W422" t="s">
        <v>338</v>
      </c>
    </row>
    <row r="423" spans="1:23" x14ac:dyDescent="0.2">
      <c r="A423" t="s">
        <v>7</v>
      </c>
      <c r="C423" s="64"/>
      <c r="D423" s="363"/>
      <c r="E423" s="64" t="s">
        <v>4805</v>
      </c>
      <c r="F423" s="64"/>
      <c r="G423" s="64"/>
      <c r="H423" s="64"/>
      <c r="I423" s="64"/>
      <c r="J423" s="64"/>
      <c r="L423" s="65">
        <v>1120</v>
      </c>
      <c r="M423" s="65">
        <f>Table13[[#This Row],[Price]]/129</f>
        <v>8.6821705426356584</v>
      </c>
      <c r="N423" s="65"/>
      <c r="O423">
        <v>9.9</v>
      </c>
      <c r="P423" s="39">
        <f>(488+55+51)/129</f>
        <v>4.6046511627906979</v>
      </c>
      <c r="Q423" s="66">
        <f>Table13[[#This Row],[Labor ($/SF)]]+Table13[[#This Row],[Material $/SF]]</f>
        <v>13.286821705426355</v>
      </c>
      <c r="R423">
        <v>1.2</v>
      </c>
      <c r="S423" s="39">
        <f>(60+60)/120</f>
        <v>1</v>
      </c>
      <c r="U423">
        <v>2023</v>
      </c>
      <c r="V423" t="s">
        <v>1135</v>
      </c>
      <c r="W423" t="s">
        <v>338</v>
      </c>
    </row>
    <row r="424" spans="1:23" x14ac:dyDescent="0.2">
      <c r="A424" t="s">
        <v>7</v>
      </c>
      <c r="C424" s="64"/>
      <c r="D424" s="363"/>
      <c r="E424" s="64" t="s">
        <v>4805</v>
      </c>
      <c r="F424" s="64"/>
      <c r="G424" s="64"/>
      <c r="H424" s="64"/>
      <c r="I424" s="64"/>
      <c r="J424" s="64"/>
      <c r="L424" s="65">
        <v>1525</v>
      </c>
      <c r="M424" s="65">
        <f>Table13[[#This Row],[Price]]/129</f>
        <v>11.821705426356589</v>
      </c>
      <c r="N424" s="65"/>
      <c r="O424">
        <v>9.9</v>
      </c>
      <c r="P424" s="39">
        <f>(1040+62+75)/129</f>
        <v>9.1240310077519382</v>
      </c>
      <c r="Q424" s="66">
        <f>Table13[[#This Row],[Labor ($/SF)]]+Table13[[#This Row],[Material $/SF]]</f>
        <v>20.945736434108525</v>
      </c>
      <c r="R424">
        <v>1.2</v>
      </c>
      <c r="S424" s="39">
        <f>(129+67)/120</f>
        <v>1.6333333333333333</v>
      </c>
      <c r="U424">
        <v>2023</v>
      </c>
      <c r="V424" t="s">
        <v>1136</v>
      </c>
      <c r="W424" t="s">
        <v>338</v>
      </c>
    </row>
    <row r="425" spans="1:23" x14ac:dyDescent="0.2">
      <c r="A425" t="s">
        <v>7</v>
      </c>
      <c r="C425" s="64"/>
      <c r="D425" s="363"/>
      <c r="E425" s="64" t="s">
        <v>4805</v>
      </c>
      <c r="F425" s="64"/>
      <c r="G425" s="64"/>
      <c r="H425" s="64"/>
      <c r="I425" s="64"/>
      <c r="J425" s="64"/>
      <c r="L425" s="65">
        <v>1100</v>
      </c>
      <c r="M425" s="65">
        <f>Table13[[#This Row],[Price]]/129</f>
        <v>8.5271317829457356</v>
      </c>
      <c r="N425" s="65"/>
      <c r="O425">
        <v>9.9</v>
      </c>
      <c r="P425" s="39">
        <f>(430+54+50)/129</f>
        <v>4.1395348837209305</v>
      </c>
      <c r="Q425" s="66">
        <f>Table13[[#This Row],[Labor ($/SF)]]+Table13[[#This Row],[Material $/SF]]</f>
        <v>12.666666666666666</v>
      </c>
      <c r="R425">
        <v>1.2</v>
      </c>
      <c r="S425" s="39">
        <f>(53+59)/120</f>
        <v>0.93333333333333335</v>
      </c>
      <c r="U425">
        <v>2023</v>
      </c>
      <c r="V425" t="s">
        <v>1137</v>
      </c>
      <c r="W425" t="s">
        <v>338</v>
      </c>
    </row>
    <row r="426" spans="1:23" x14ac:dyDescent="0.2">
      <c r="A426" t="s">
        <v>7</v>
      </c>
      <c r="C426" s="64"/>
      <c r="D426" s="363"/>
      <c r="E426" s="64" t="s">
        <v>4805</v>
      </c>
      <c r="F426" s="64"/>
      <c r="G426" s="64"/>
      <c r="H426" s="64"/>
      <c r="I426" s="64"/>
      <c r="J426" s="64"/>
      <c r="L426" s="65">
        <v>1525</v>
      </c>
      <c r="M426" s="65">
        <f>Table13[[#This Row],[Price]]/129</f>
        <v>11.821705426356589</v>
      </c>
      <c r="N426" s="65"/>
      <c r="O426">
        <v>9.9</v>
      </c>
      <c r="P426" s="39">
        <f>(1038+62+75)/129</f>
        <v>9.1085271317829459</v>
      </c>
      <c r="Q426" s="66">
        <f>Table13[[#This Row],[Labor ($/SF)]]+Table13[[#This Row],[Material $/SF]]</f>
        <v>20.930232558139537</v>
      </c>
      <c r="R426">
        <v>1.2</v>
      </c>
      <c r="S426" s="39">
        <f>(129+67)/120</f>
        <v>1.6333333333333333</v>
      </c>
      <c r="U426">
        <v>2023</v>
      </c>
      <c r="V426" t="s">
        <v>1138</v>
      </c>
      <c r="W426" t="s">
        <v>338</v>
      </c>
    </row>
    <row r="427" spans="1:23" x14ac:dyDescent="0.2">
      <c r="A427" t="s">
        <v>7</v>
      </c>
      <c r="C427" s="64"/>
      <c r="D427" s="363"/>
      <c r="E427" s="64" t="s">
        <v>4805</v>
      </c>
      <c r="F427" s="64"/>
      <c r="G427" s="64"/>
      <c r="H427" s="64"/>
      <c r="I427" s="64"/>
      <c r="J427" s="64"/>
      <c r="L427" s="65">
        <v>1099</v>
      </c>
      <c r="M427" s="65">
        <f>Table13[[#This Row],[Price]]/129</f>
        <v>8.5193798449612395</v>
      </c>
      <c r="N427" s="65"/>
      <c r="O427">
        <v>9.9</v>
      </c>
      <c r="P427" s="39">
        <f>(429+54+50)/129</f>
        <v>4.1317829457364343</v>
      </c>
      <c r="Q427" s="66">
        <f>Table13[[#This Row],[Labor ($/SF)]]+Table13[[#This Row],[Material $/SF]]</f>
        <v>12.651162790697674</v>
      </c>
      <c r="R427">
        <v>1.2</v>
      </c>
      <c r="S427" s="39">
        <f>(53+59)/120</f>
        <v>0.93333333333333335</v>
      </c>
      <c r="U427">
        <v>2023</v>
      </c>
      <c r="V427" t="s">
        <v>1139</v>
      </c>
      <c r="W427" t="s">
        <v>338</v>
      </c>
    </row>
    <row r="428" spans="1:23" x14ac:dyDescent="0.2">
      <c r="A428" t="s">
        <v>7</v>
      </c>
      <c r="C428" s="64"/>
      <c r="D428" s="363"/>
      <c r="E428" s="64" t="s">
        <v>4805</v>
      </c>
      <c r="F428" s="64"/>
      <c r="G428" s="64"/>
      <c r="H428" s="64"/>
      <c r="I428" s="64"/>
      <c r="J428" s="64"/>
      <c r="L428" s="65">
        <v>1529</v>
      </c>
      <c r="M428" s="65">
        <f>Table13[[#This Row],[Price]]/129</f>
        <v>11.852713178294573</v>
      </c>
      <c r="N428" s="65"/>
      <c r="O428">
        <v>9.9</v>
      </c>
      <c r="P428" s="39">
        <f>(1059+62+75)/129</f>
        <v>9.2713178294573648</v>
      </c>
      <c r="Q428" s="66">
        <f>Table13[[#This Row],[Labor ($/SF)]]+Table13[[#This Row],[Material $/SF]]</f>
        <v>21.124031007751938</v>
      </c>
      <c r="R428">
        <v>1.2</v>
      </c>
      <c r="S428" s="39">
        <f>(131+67)/120</f>
        <v>1.65</v>
      </c>
      <c r="U428">
        <v>2023</v>
      </c>
      <c r="V428" t="s">
        <v>1140</v>
      </c>
      <c r="W428" t="s">
        <v>338</v>
      </c>
    </row>
    <row r="429" spans="1:23" x14ac:dyDescent="0.2">
      <c r="A429" t="s">
        <v>7</v>
      </c>
      <c r="C429" s="64"/>
      <c r="D429" s="363"/>
      <c r="E429" s="64" t="s">
        <v>4805</v>
      </c>
      <c r="F429" s="64"/>
      <c r="G429" s="64"/>
      <c r="H429" s="64"/>
      <c r="I429" s="64"/>
      <c r="J429" s="64"/>
      <c r="L429" s="65">
        <v>1103</v>
      </c>
      <c r="M429" s="65">
        <f>Table13[[#This Row],[Price]]/129</f>
        <v>8.550387596899224</v>
      </c>
      <c r="N429" s="65"/>
      <c r="O429">
        <v>9.9</v>
      </c>
      <c r="P429" s="39">
        <f>(438+54+50)/129</f>
        <v>4.2015503875968996</v>
      </c>
      <c r="Q429" s="66">
        <f>Table13[[#This Row],[Labor ($/SF)]]+Table13[[#This Row],[Material $/SF]]</f>
        <v>12.751937984496124</v>
      </c>
      <c r="R429">
        <v>1.2</v>
      </c>
      <c r="S429" s="39">
        <f>(54+59)/120</f>
        <v>0.94166666666666665</v>
      </c>
      <c r="U429">
        <v>2023</v>
      </c>
      <c r="V429" t="s">
        <v>1141</v>
      </c>
      <c r="W429" t="s">
        <v>338</v>
      </c>
    </row>
    <row r="430" spans="1:23" x14ac:dyDescent="0.2">
      <c r="A430" t="s">
        <v>7</v>
      </c>
      <c r="C430" s="64"/>
      <c r="D430" s="363"/>
      <c r="E430" s="64" t="s">
        <v>4805</v>
      </c>
      <c r="F430" s="64"/>
      <c r="G430" s="64"/>
      <c r="H430" s="64"/>
      <c r="I430" s="64"/>
      <c r="J430" s="64"/>
      <c r="L430" s="65">
        <v>1511</v>
      </c>
      <c r="M430" s="65">
        <f>Table13[[#This Row],[Price]]/129</f>
        <v>11.713178294573643</v>
      </c>
      <c r="N430" s="65"/>
      <c r="O430">
        <v>9.9</v>
      </c>
      <c r="P430" s="39">
        <f>(970+61+74)/129</f>
        <v>8.5658914728682163</v>
      </c>
      <c r="Q430" s="66">
        <f>Table13[[#This Row],[Labor ($/SF)]]+Table13[[#This Row],[Material $/SF]]</f>
        <v>20.279069767441861</v>
      </c>
      <c r="R430">
        <v>1.2</v>
      </c>
      <c r="S430" s="39">
        <f>(120+66)/120</f>
        <v>1.55</v>
      </c>
      <c r="U430">
        <v>2023</v>
      </c>
      <c r="V430" t="s">
        <v>1142</v>
      </c>
      <c r="W430" t="s">
        <v>338</v>
      </c>
    </row>
    <row r="431" spans="1:23" x14ac:dyDescent="0.2">
      <c r="A431" t="s">
        <v>7</v>
      </c>
      <c r="C431" s="64"/>
      <c r="D431" s="363"/>
      <c r="E431" s="64" t="s">
        <v>4805</v>
      </c>
      <c r="F431" s="64"/>
      <c r="G431" s="64"/>
      <c r="H431" s="64"/>
      <c r="I431" s="64"/>
      <c r="J431" s="64"/>
      <c r="L431" s="65">
        <v>1089</v>
      </c>
      <c r="M431" s="65">
        <f>Table13[[#This Row],[Price]]/129</f>
        <v>8.4418604651162799</v>
      </c>
      <c r="N431" s="65"/>
      <c r="O431">
        <v>9.9</v>
      </c>
      <c r="P431" s="39">
        <f>(401+54+49)/129</f>
        <v>3.9069767441860463</v>
      </c>
      <c r="Q431" s="66">
        <f>Table13[[#This Row],[Labor ($/SF)]]+Table13[[#This Row],[Material $/SF]]</f>
        <v>12.348837209302326</v>
      </c>
      <c r="R431">
        <v>1.2</v>
      </c>
      <c r="S431" s="39">
        <f>(50+58)/120</f>
        <v>0.9</v>
      </c>
      <c r="U431">
        <v>2023</v>
      </c>
      <c r="V431" t="s">
        <v>1143</v>
      </c>
      <c r="W431" t="s">
        <v>338</v>
      </c>
    </row>
    <row r="432" spans="1:23" x14ac:dyDescent="0.2">
      <c r="A432" t="s">
        <v>7</v>
      </c>
      <c r="C432" s="64"/>
      <c r="D432" s="363"/>
      <c r="E432" s="64" t="s">
        <v>4805</v>
      </c>
      <c r="F432" s="64"/>
      <c r="G432" s="64"/>
      <c r="H432" s="64"/>
      <c r="I432" s="64"/>
      <c r="J432" s="64"/>
      <c r="L432" s="65">
        <v>1579</v>
      </c>
      <c r="M432" s="65">
        <f>Table13[[#This Row],[Price]]/129</f>
        <v>12.24031007751938</v>
      </c>
      <c r="N432" s="65"/>
      <c r="O432">
        <v>9.9</v>
      </c>
      <c r="P432" s="39">
        <f>(1302+64+77)/129</f>
        <v>11.186046511627907</v>
      </c>
      <c r="Q432" s="66">
        <f>Table13[[#This Row],[Labor ($/SF)]]+Table13[[#This Row],[Material $/SF]]</f>
        <v>23.426356589147289</v>
      </c>
      <c r="R432">
        <v>1.2</v>
      </c>
      <c r="S432" s="39">
        <f>(161+69)/120</f>
        <v>1.9166666666666667</v>
      </c>
      <c r="U432">
        <v>2023</v>
      </c>
      <c r="V432" t="s">
        <v>1144</v>
      </c>
      <c r="W432" t="s">
        <v>338</v>
      </c>
    </row>
    <row r="433" spans="1:24" x14ac:dyDescent="0.2">
      <c r="A433" t="s">
        <v>7</v>
      </c>
      <c r="C433" s="64"/>
      <c r="D433" s="363"/>
      <c r="E433" s="64" t="s">
        <v>4805</v>
      </c>
      <c r="F433" s="64"/>
      <c r="G433" s="64"/>
      <c r="H433" s="64"/>
      <c r="I433" s="64"/>
      <c r="J433" s="64"/>
      <c r="L433" s="65">
        <v>1139</v>
      </c>
      <c r="M433" s="65">
        <f>Table13[[#This Row],[Price]]/129</f>
        <v>8.829457364341085</v>
      </c>
      <c r="N433" s="65"/>
      <c r="O433">
        <v>9.9</v>
      </c>
      <c r="P433" s="39">
        <f>(538+56+52)/129</f>
        <v>5.0077519379844961</v>
      </c>
      <c r="Q433" s="66">
        <f>Table13[[#This Row],[Labor ($/SF)]]+Table13[[#This Row],[Material $/SF]]</f>
        <v>13.837209302325581</v>
      </c>
      <c r="R433">
        <v>1.2</v>
      </c>
      <c r="S433" s="39">
        <f>(67+61)/120</f>
        <v>1.0666666666666667</v>
      </c>
      <c r="U433">
        <v>2023</v>
      </c>
      <c r="V433" t="s">
        <v>1145</v>
      </c>
      <c r="W433" t="s">
        <v>338</v>
      </c>
    </row>
    <row r="434" spans="1:24" x14ac:dyDescent="0.2">
      <c r="A434" t="s">
        <v>7</v>
      </c>
      <c r="C434" s="64"/>
      <c r="D434" s="363"/>
      <c r="E434" s="64" t="s">
        <v>4805</v>
      </c>
      <c r="F434" s="64"/>
      <c r="G434" s="64"/>
      <c r="H434" s="64"/>
      <c r="I434" s="64"/>
      <c r="J434" s="64"/>
      <c r="L434" s="65">
        <v>1567</v>
      </c>
      <c r="M434" s="65">
        <f>Table13[[#This Row],[Price]]/129</f>
        <v>12.147286821705427</v>
      </c>
      <c r="N434" s="65"/>
      <c r="O434">
        <v>9.9</v>
      </c>
      <c r="P434" s="39">
        <f>(1241+63+77)/129</f>
        <v>10.705426356589147</v>
      </c>
      <c r="Q434" s="66">
        <f>Table13[[#This Row],[Labor ($/SF)]]+Table13[[#This Row],[Material $/SF]]</f>
        <v>22.852713178294572</v>
      </c>
      <c r="R434">
        <v>1.2</v>
      </c>
      <c r="S434" s="39">
        <f>(154+69)/120</f>
        <v>1.8583333333333334</v>
      </c>
      <c r="U434">
        <v>2023</v>
      </c>
      <c r="V434" t="s">
        <v>1146</v>
      </c>
      <c r="W434" t="s">
        <v>338</v>
      </c>
    </row>
    <row r="435" spans="1:24" x14ac:dyDescent="0.2">
      <c r="A435" t="s">
        <v>7</v>
      </c>
      <c r="C435" s="64"/>
      <c r="D435" s="363"/>
      <c r="E435" s="64" t="s">
        <v>4805</v>
      </c>
      <c r="F435" s="64"/>
      <c r="G435" s="64"/>
      <c r="H435" s="64"/>
      <c r="I435" s="64"/>
      <c r="J435" s="64"/>
      <c r="L435" s="65">
        <v>1130</v>
      </c>
      <c r="M435" s="65">
        <f>Table13[[#This Row],[Price]]/129</f>
        <v>8.7596899224806197</v>
      </c>
      <c r="N435" s="65"/>
      <c r="O435">
        <v>9.9</v>
      </c>
      <c r="P435" s="39">
        <f>(513+56+51)/129</f>
        <v>4.8062015503875966</v>
      </c>
      <c r="Q435" s="66">
        <f>Table13[[#This Row],[Labor ($/SF)]]+Table13[[#This Row],[Material $/SF]]</f>
        <v>13.565891472868216</v>
      </c>
      <c r="R435">
        <v>1.2</v>
      </c>
      <c r="S435" s="39">
        <f>(64+60)/120</f>
        <v>1.0333333333333334</v>
      </c>
      <c r="U435">
        <v>2023</v>
      </c>
      <c r="V435" t="s">
        <v>1147</v>
      </c>
      <c r="W435" t="s">
        <v>338</v>
      </c>
    </row>
    <row r="436" spans="1:24" x14ac:dyDescent="0.2">
      <c r="A436" t="s">
        <v>7</v>
      </c>
      <c r="C436" s="64"/>
      <c r="D436" s="363"/>
      <c r="E436" s="64" t="s">
        <v>401</v>
      </c>
      <c r="F436" s="64"/>
      <c r="G436" s="64"/>
      <c r="H436" s="64"/>
      <c r="I436" s="64" t="s">
        <v>5113</v>
      </c>
      <c r="J436" s="64"/>
      <c r="L436" s="65">
        <v>750</v>
      </c>
      <c r="M436" s="65">
        <f>Table13[[#This Row],[Price]]/129</f>
        <v>5.8139534883720927</v>
      </c>
      <c r="N436" s="65"/>
      <c r="O436">
        <v>7.4</v>
      </c>
      <c r="P436" s="39">
        <f>(1251+67+101)/129</f>
        <v>11</v>
      </c>
      <c r="Q436" s="66">
        <f>Table13[[#This Row],[Labor ($/SF)]]+Table13[[#This Row],[Material $/SF]]</f>
        <v>16.813953488372093</v>
      </c>
      <c r="R436">
        <v>1.2</v>
      </c>
      <c r="S436" s="39">
        <f>(206+73)/120</f>
        <v>2.3250000000000002</v>
      </c>
      <c r="U436">
        <v>2023</v>
      </c>
      <c r="V436" t="s">
        <v>1128</v>
      </c>
      <c r="W436" t="s">
        <v>338</v>
      </c>
      <c r="X436" t="s">
        <v>5114</v>
      </c>
    </row>
    <row r="437" spans="1:24" x14ac:dyDescent="0.2">
      <c r="A437" t="s">
        <v>7</v>
      </c>
      <c r="C437" s="64"/>
      <c r="D437" s="363"/>
      <c r="E437" s="64" t="s">
        <v>401</v>
      </c>
      <c r="F437" s="64"/>
      <c r="G437" s="64"/>
      <c r="H437" s="64"/>
      <c r="I437" s="64"/>
      <c r="J437" s="64"/>
      <c r="L437" s="65">
        <v>541</v>
      </c>
      <c r="M437" s="65">
        <f>Table13[[#This Row],[Price]]/129</f>
        <v>4.1937984496124034</v>
      </c>
      <c r="N437" s="65"/>
      <c r="O437">
        <v>7.4</v>
      </c>
      <c r="P437" s="39">
        <f>(518+59+67)/129</f>
        <v>4.9922480620155039</v>
      </c>
      <c r="Q437" s="66">
        <f>Table13[[#This Row],[Labor ($/SF)]]+Table13[[#This Row],[Material $/SF]]</f>
        <v>9.1860465116279073</v>
      </c>
      <c r="R437">
        <v>1.2</v>
      </c>
      <c r="S437" s="39">
        <f>(85+64)/120</f>
        <v>1.2416666666666667</v>
      </c>
      <c r="U437">
        <v>2023</v>
      </c>
      <c r="V437" t="s">
        <v>1129</v>
      </c>
      <c r="W437" t="s">
        <v>338</v>
      </c>
    </row>
    <row r="438" spans="1:24" x14ac:dyDescent="0.2">
      <c r="A438" t="s">
        <v>7</v>
      </c>
      <c r="C438" s="64"/>
      <c r="D438" s="363"/>
      <c r="E438" s="64" t="s">
        <v>401</v>
      </c>
      <c r="F438" s="64"/>
      <c r="G438" s="64"/>
      <c r="H438" s="64"/>
      <c r="I438" s="64"/>
      <c r="J438" s="64"/>
      <c r="L438" s="65">
        <v>700</v>
      </c>
      <c r="M438" s="65">
        <f>Table13[[#This Row],[Price]]/129</f>
        <v>5.4263565891472867</v>
      </c>
      <c r="N438" s="65"/>
      <c r="O438">
        <v>7.4</v>
      </c>
      <c r="P438" s="39">
        <f>(848+62+94)/129</f>
        <v>7.7829457364341081</v>
      </c>
      <c r="Q438" s="66">
        <f>Table13[[#This Row],[Labor ($/SF)]]+Table13[[#This Row],[Material $/SF]]</f>
        <v>13.209302325581394</v>
      </c>
      <c r="R438">
        <v>1.2</v>
      </c>
      <c r="S438" s="39">
        <f>(140+68)/120</f>
        <v>1.7333333333333334</v>
      </c>
      <c r="U438">
        <v>2023</v>
      </c>
      <c r="V438" t="s">
        <v>1130</v>
      </c>
      <c r="W438" t="s">
        <v>338</v>
      </c>
    </row>
    <row r="439" spans="1:24" x14ac:dyDescent="0.2">
      <c r="A439" t="s">
        <v>7</v>
      </c>
      <c r="C439" s="64"/>
      <c r="D439" s="363"/>
      <c r="E439" s="64" t="s">
        <v>401</v>
      </c>
      <c r="F439" s="64"/>
      <c r="G439" s="64"/>
      <c r="H439" s="64"/>
      <c r="I439" s="64"/>
      <c r="J439" s="64"/>
      <c r="L439" s="65">
        <v>504</v>
      </c>
      <c r="M439" s="65">
        <f>Table13[[#This Row],[Price]]/129</f>
        <v>3.9069767441860463</v>
      </c>
      <c r="N439" s="65"/>
      <c r="O439">
        <v>7.4</v>
      </c>
      <c r="P439" s="39">
        <f>(351+55+63)/129</f>
        <v>3.635658914728682</v>
      </c>
      <c r="Q439" s="66">
        <f>Table13[[#This Row],[Labor ($/SF)]]+Table13[[#This Row],[Material $/SF]]</f>
        <v>7.5426356589147279</v>
      </c>
      <c r="R439">
        <v>1.2</v>
      </c>
      <c r="S439" s="39">
        <f>(58+60)/120</f>
        <v>0.98333333333333328</v>
      </c>
      <c r="U439">
        <v>2023</v>
      </c>
      <c r="V439" t="s">
        <v>1131</v>
      </c>
      <c r="W439" t="s">
        <v>338</v>
      </c>
    </row>
    <row r="440" spans="1:24" x14ac:dyDescent="0.2">
      <c r="A440" t="s">
        <v>7</v>
      </c>
      <c r="C440" s="64"/>
      <c r="D440" s="363"/>
      <c r="E440" s="64" t="s">
        <v>401</v>
      </c>
      <c r="F440" s="64"/>
      <c r="G440" s="64"/>
      <c r="H440" s="64"/>
      <c r="I440" s="64"/>
      <c r="J440" s="64"/>
      <c r="L440" s="65">
        <v>721</v>
      </c>
      <c r="M440" s="65">
        <f>Table13[[#This Row],[Price]]/129</f>
        <v>5.5891472868217056</v>
      </c>
      <c r="N440" s="65"/>
      <c r="O440">
        <v>7.4</v>
      </c>
      <c r="P440" s="39">
        <f>(1017+64+97)/129</f>
        <v>9.1317829457364343</v>
      </c>
      <c r="Q440" s="66">
        <f>Table13[[#This Row],[Labor ($/SF)]]+Table13[[#This Row],[Material $/SF]]</f>
        <v>14.720930232558139</v>
      </c>
      <c r="R440">
        <v>1.2</v>
      </c>
      <c r="S440" s="39">
        <f>(168+70)/120</f>
        <v>1.9833333333333334</v>
      </c>
      <c r="U440">
        <v>2023</v>
      </c>
      <c r="V440" t="s">
        <v>1132</v>
      </c>
      <c r="W440" t="s">
        <v>338</v>
      </c>
    </row>
    <row r="441" spans="1:24" x14ac:dyDescent="0.2">
      <c r="A441" t="s">
        <v>7</v>
      </c>
      <c r="C441" s="64"/>
      <c r="D441" s="363"/>
      <c r="E441" s="64" t="s">
        <v>401</v>
      </c>
      <c r="F441" s="64"/>
      <c r="G441" s="64"/>
      <c r="H441" s="64"/>
      <c r="I441" s="64"/>
      <c r="J441" s="64"/>
      <c r="L441" s="65">
        <v>520</v>
      </c>
      <c r="M441" s="65">
        <f>Table13[[#This Row],[Price]]/129</f>
        <v>4.0310077519379846</v>
      </c>
      <c r="N441" s="65"/>
      <c r="O441">
        <v>7.4</v>
      </c>
      <c r="P441" s="39">
        <f>(421+57+65)/129</f>
        <v>4.2093023255813957</v>
      </c>
      <c r="Q441" s="66">
        <f>Table13[[#This Row],[Labor ($/SF)]]+Table13[[#This Row],[Material $/SF]]</f>
        <v>8.2403100775193803</v>
      </c>
      <c r="R441">
        <v>1.2</v>
      </c>
      <c r="S441" s="39">
        <f>(69+61)/120</f>
        <v>1.0833333333333333</v>
      </c>
      <c r="U441">
        <v>2023</v>
      </c>
      <c r="V441" t="s">
        <v>1133</v>
      </c>
      <c r="W441" t="s">
        <v>338</v>
      </c>
    </row>
    <row r="442" spans="1:24" x14ac:dyDescent="0.2">
      <c r="A442" t="s">
        <v>7</v>
      </c>
      <c r="C442" s="64"/>
      <c r="D442" s="363"/>
      <c r="E442" s="64" t="s">
        <v>401</v>
      </c>
      <c r="F442" s="64"/>
      <c r="G442" s="64"/>
      <c r="H442" s="64"/>
      <c r="I442" s="64"/>
      <c r="J442" s="64"/>
      <c r="L442" s="65">
        <v>704</v>
      </c>
      <c r="M442" s="65">
        <f>Table13[[#This Row],[Price]]/129</f>
        <v>5.4573643410852712</v>
      </c>
      <c r="N442" s="65"/>
      <c r="O442">
        <v>7.4</v>
      </c>
      <c r="P442" s="39">
        <f>(886+63+95)/129</f>
        <v>8.0930232558139537</v>
      </c>
      <c r="Q442" s="66">
        <f>Table13[[#This Row],[Labor ($/SF)]]+Table13[[#This Row],[Material $/SF]]</f>
        <v>13.550387596899224</v>
      </c>
      <c r="R442">
        <v>1.2</v>
      </c>
      <c r="S442" s="39">
        <f>(146+68)/120</f>
        <v>1.7833333333333334</v>
      </c>
      <c r="U442">
        <v>2023</v>
      </c>
      <c r="V442" t="s">
        <v>1134</v>
      </c>
      <c r="W442" t="s">
        <v>338</v>
      </c>
    </row>
    <row r="443" spans="1:24" x14ac:dyDescent="0.2">
      <c r="A443" t="s">
        <v>7</v>
      </c>
      <c r="C443" s="64"/>
      <c r="D443" s="363"/>
      <c r="E443" s="64" t="s">
        <v>401</v>
      </c>
      <c r="F443" s="64"/>
      <c r="G443" s="64"/>
      <c r="H443" s="64"/>
      <c r="I443" s="64"/>
      <c r="J443" s="64"/>
      <c r="L443" s="65">
        <v>508</v>
      </c>
      <c r="M443" s="65">
        <f>Table13[[#This Row],[Price]]/129</f>
        <v>3.9379844961240309</v>
      </c>
      <c r="N443" s="65"/>
      <c r="O443">
        <v>7.4</v>
      </c>
      <c r="P443" s="39">
        <f>(366+55+63)/129</f>
        <v>3.751937984496124</v>
      </c>
      <c r="Q443" s="66">
        <f>Table13[[#This Row],[Labor ($/SF)]]+Table13[[#This Row],[Material $/SF]]</f>
        <v>7.6899224806201545</v>
      </c>
      <c r="R443">
        <v>1.2</v>
      </c>
      <c r="S443" s="39">
        <f>(60+60)/120</f>
        <v>1</v>
      </c>
      <c r="U443">
        <v>2023</v>
      </c>
      <c r="V443" t="s">
        <v>1135</v>
      </c>
      <c r="W443" t="s">
        <v>338</v>
      </c>
    </row>
    <row r="444" spans="1:24" x14ac:dyDescent="0.2">
      <c r="A444" t="s">
        <v>7</v>
      </c>
      <c r="C444" s="64"/>
      <c r="D444" s="363"/>
      <c r="E444" s="64" t="s">
        <v>401</v>
      </c>
      <c r="F444" s="64"/>
      <c r="G444" s="64"/>
      <c r="H444" s="64"/>
      <c r="I444" s="64"/>
      <c r="J444" s="64"/>
      <c r="L444" s="65">
        <v>691</v>
      </c>
      <c r="M444" s="65">
        <f>Table13[[#This Row],[Price]]/129</f>
        <v>5.3565891472868215</v>
      </c>
      <c r="N444" s="65"/>
      <c r="O444">
        <v>7.4</v>
      </c>
      <c r="P444" s="39">
        <f>(781+62+93)/129</f>
        <v>7.2558139534883717</v>
      </c>
      <c r="Q444" s="66">
        <f>Table13[[#This Row],[Labor ($/SF)]]+Table13[[#This Row],[Material $/SF]]</f>
        <v>12.612403100775193</v>
      </c>
      <c r="R444">
        <v>1.2</v>
      </c>
      <c r="S444" s="39">
        <f>(129+67)/120</f>
        <v>1.6333333333333333</v>
      </c>
      <c r="U444">
        <v>2023</v>
      </c>
      <c r="V444" t="s">
        <v>1136</v>
      </c>
      <c r="W444" t="s">
        <v>338</v>
      </c>
    </row>
    <row r="445" spans="1:24" x14ac:dyDescent="0.2">
      <c r="A445" t="s">
        <v>7</v>
      </c>
      <c r="C445" s="64"/>
      <c r="D445" s="363"/>
      <c r="E445" s="64" t="s">
        <v>401</v>
      </c>
      <c r="F445" s="64"/>
      <c r="G445" s="64"/>
      <c r="H445" s="64"/>
      <c r="I445" s="64"/>
      <c r="J445" s="64"/>
      <c r="L445" s="65">
        <v>498</v>
      </c>
      <c r="M445" s="65">
        <f>Table13[[#This Row],[Price]]/129</f>
        <v>3.86046511627907</v>
      </c>
      <c r="N445" s="65"/>
      <c r="O445">
        <v>7.4</v>
      </c>
      <c r="P445" s="39">
        <f>(323+54+62)/129</f>
        <v>3.4031007751937983</v>
      </c>
      <c r="Q445" s="66">
        <f>Table13[[#This Row],[Labor ($/SF)]]+Table13[[#This Row],[Material $/SF]]</f>
        <v>7.2635658914728687</v>
      </c>
      <c r="R445">
        <v>1.2</v>
      </c>
      <c r="S445" s="39">
        <f>(53+59)/120</f>
        <v>0.93333333333333335</v>
      </c>
      <c r="U445">
        <v>2023</v>
      </c>
      <c r="V445" t="s">
        <v>1137</v>
      </c>
      <c r="W445" t="s">
        <v>338</v>
      </c>
    </row>
    <row r="446" spans="1:24" x14ac:dyDescent="0.2">
      <c r="A446" t="s">
        <v>7</v>
      </c>
      <c r="C446" s="64"/>
      <c r="D446" s="363"/>
      <c r="E446" s="64" t="s">
        <v>401</v>
      </c>
      <c r="F446" s="64"/>
      <c r="G446" s="64"/>
      <c r="H446" s="64"/>
      <c r="I446" s="64"/>
      <c r="J446" s="64"/>
      <c r="L446" s="65">
        <v>691</v>
      </c>
      <c r="M446" s="65">
        <f>Table13[[#This Row],[Price]]/129</f>
        <v>5.3565891472868215</v>
      </c>
      <c r="N446" s="65"/>
      <c r="O446">
        <v>7.4</v>
      </c>
      <c r="P446" s="39">
        <f>(779+62+93)/129</f>
        <v>7.2403100775193803</v>
      </c>
      <c r="Q446" s="66">
        <f>Table13[[#This Row],[Labor ($/SF)]]+Table13[[#This Row],[Material $/SF]]</f>
        <v>12.596899224806201</v>
      </c>
      <c r="R446">
        <v>1.2</v>
      </c>
      <c r="S446" s="39">
        <f>(129+67)/120</f>
        <v>1.6333333333333333</v>
      </c>
      <c r="U446">
        <v>2023</v>
      </c>
      <c r="V446" t="s">
        <v>1138</v>
      </c>
      <c r="W446" t="s">
        <v>338</v>
      </c>
    </row>
    <row r="447" spans="1:24" x14ac:dyDescent="0.2">
      <c r="A447" t="s">
        <v>7</v>
      </c>
      <c r="C447" s="64"/>
      <c r="D447" s="363"/>
      <c r="E447" s="64" t="s">
        <v>401</v>
      </c>
      <c r="F447" s="64"/>
      <c r="G447" s="64"/>
      <c r="H447" s="64"/>
      <c r="I447" s="64"/>
      <c r="J447" s="64"/>
      <c r="L447" s="65">
        <v>498</v>
      </c>
      <c r="M447" s="65">
        <f>Table13[[#This Row],[Price]]/129</f>
        <v>3.86046511627907</v>
      </c>
      <c r="N447" s="65"/>
      <c r="O447">
        <v>7.4</v>
      </c>
      <c r="P447" s="39">
        <f>(322+54+62)/129</f>
        <v>3.3953488372093021</v>
      </c>
      <c r="Q447" s="66">
        <f>Table13[[#This Row],[Labor ($/SF)]]+Table13[[#This Row],[Material $/SF]]</f>
        <v>7.2558139534883725</v>
      </c>
      <c r="R447">
        <v>1.2</v>
      </c>
      <c r="S447" s="39">
        <f>(53+59)/120</f>
        <v>0.93333333333333335</v>
      </c>
      <c r="U447">
        <v>2023</v>
      </c>
      <c r="V447" t="s">
        <v>1139</v>
      </c>
      <c r="W447" t="s">
        <v>338</v>
      </c>
    </row>
    <row r="448" spans="1:24" x14ac:dyDescent="0.2">
      <c r="A448" t="s">
        <v>7</v>
      </c>
      <c r="C448" s="64"/>
      <c r="D448" s="363"/>
      <c r="E448" s="64" t="s">
        <v>401</v>
      </c>
      <c r="F448" s="64"/>
      <c r="G448" s="64"/>
      <c r="H448" s="64"/>
      <c r="I448" s="64"/>
      <c r="J448" s="64"/>
      <c r="L448" s="65">
        <v>693</v>
      </c>
      <c r="M448" s="65">
        <f>Table13[[#This Row],[Price]]/129</f>
        <v>5.3720930232558137</v>
      </c>
      <c r="N448" s="65"/>
      <c r="O448">
        <v>7.4</v>
      </c>
      <c r="P448" s="39">
        <f>(795+62+93)/129</f>
        <v>7.3643410852713176</v>
      </c>
      <c r="Q448" s="66">
        <f>Table13[[#This Row],[Labor ($/SF)]]+Table13[[#This Row],[Material $/SF]]</f>
        <v>12.736434108527131</v>
      </c>
      <c r="R448">
        <v>1.2</v>
      </c>
      <c r="S448" s="39">
        <f>(131+67)/120</f>
        <v>1.65</v>
      </c>
      <c r="U448">
        <v>2023</v>
      </c>
      <c r="V448" t="s">
        <v>1140</v>
      </c>
      <c r="W448" t="s">
        <v>338</v>
      </c>
    </row>
    <row r="449" spans="1:24" x14ac:dyDescent="0.2">
      <c r="A449" t="s">
        <v>7</v>
      </c>
      <c r="C449" s="64"/>
      <c r="D449" s="363"/>
      <c r="E449" s="64" t="s">
        <v>401</v>
      </c>
      <c r="F449" s="64"/>
      <c r="G449" s="64"/>
      <c r="H449" s="64"/>
      <c r="I449" s="64"/>
      <c r="J449" s="64"/>
      <c r="L449" s="65">
        <v>500</v>
      </c>
      <c r="M449" s="65">
        <f>Table13[[#This Row],[Price]]/129</f>
        <v>3.8759689922480618</v>
      </c>
      <c r="N449" s="65"/>
      <c r="O449">
        <v>7.4</v>
      </c>
      <c r="P449" s="39">
        <f>(329+54+62)/129</f>
        <v>3.4496124031007751</v>
      </c>
      <c r="Q449" s="66">
        <f>Table13[[#This Row],[Labor ($/SF)]]+Table13[[#This Row],[Material $/SF]]</f>
        <v>7.3255813953488369</v>
      </c>
      <c r="R449">
        <v>1.2</v>
      </c>
      <c r="S449" s="39">
        <f>(54+59)/120</f>
        <v>0.94166666666666665</v>
      </c>
      <c r="U449">
        <v>2023</v>
      </c>
      <c r="V449" t="s">
        <v>1141</v>
      </c>
      <c r="W449" t="s">
        <v>338</v>
      </c>
    </row>
    <row r="450" spans="1:24" x14ac:dyDescent="0.2">
      <c r="A450" t="s">
        <v>7</v>
      </c>
      <c r="C450" s="64"/>
      <c r="D450" s="363"/>
      <c r="E450" s="64" t="s">
        <v>401</v>
      </c>
      <c r="F450" s="64"/>
      <c r="G450" s="64"/>
      <c r="H450" s="64"/>
      <c r="I450" s="64"/>
      <c r="J450" s="64"/>
      <c r="L450" s="65">
        <v>685</v>
      </c>
      <c r="M450" s="65">
        <f>Table13[[#This Row],[Price]]/129</f>
        <v>5.3100775193798446</v>
      </c>
      <c r="N450" s="65"/>
      <c r="O450">
        <v>7.4</v>
      </c>
      <c r="P450" s="39">
        <f>(729+61+92)/129</f>
        <v>6.8372093023255811</v>
      </c>
      <c r="Q450" s="66">
        <f>Table13[[#This Row],[Labor ($/SF)]]+Table13[[#This Row],[Material $/SF]]</f>
        <v>12.147286821705425</v>
      </c>
      <c r="R450">
        <v>1.2</v>
      </c>
      <c r="S450" s="39">
        <f>(120+66)/120</f>
        <v>1.55</v>
      </c>
      <c r="U450">
        <v>2023</v>
      </c>
      <c r="V450" t="s">
        <v>1142</v>
      </c>
      <c r="W450" t="s">
        <v>338</v>
      </c>
    </row>
    <row r="451" spans="1:24" x14ac:dyDescent="0.2">
      <c r="A451" t="s">
        <v>7</v>
      </c>
      <c r="C451" s="64"/>
      <c r="D451" s="363"/>
      <c r="E451" s="64" t="s">
        <v>401</v>
      </c>
      <c r="F451" s="64"/>
      <c r="G451" s="64"/>
      <c r="H451" s="64"/>
      <c r="I451" s="64"/>
      <c r="J451" s="64"/>
      <c r="L451" s="65">
        <v>494</v>
      </c>
      <c r="M451" s="65">
        <f>Table13[[#This Row],[Price]]/129</f>
        <v>3.8294573643410854</v>
      </c>
      <c r="N451" s="65"/>
      <c r="O451">
        <v>7.4</v>
      </c>
      <c r="P451" s="39">
        <f>(301+54+61)/129</f>
        <v>3.2248062015503876</v>
      </c>
      <c r="Q451" s="66">
        <f>Table13[[#This Row],[Labor ($/SF)]]+Table13[[#This Row],[Material $/SF]]</f>
        <v>7.054263565891473</v>
      </c>
      <c r="R451">
        <v>1.2</v>
      </c>
      <c r="S451" s="39">
        <f>(50+58)/120</f>
        <v>0.9</v>
      </c>
      <c r="U451">
        <v>2023</v>
      </c>
      <c r="V451" t="s">
        <v>1143</v>
      </c>
      <c r="W451" t="s">
        <v>338</v>
      </c>
    </row>
    <row r="452" spans="1:24" x14ac:dyDescent="0.2">
      <c r="A452" t="s">
        <v>7</v>
      </c>
      <c r="C452" s="64"/>
      <c r="D452" s="363"/>
      <c r="E452" s="64" t="s">
        <v>401</v>
      </c>
      <c r="F452" s="64"/>
      <c r="G452" s="64"/>
      <c r="H452" s="64"/>
      <c r="I452" s="64"/>
      <c r="J452" s="64"/>
      <c r="L452" s="65">
        <v>685</v>
      </c>
      <c r="M452" s="65">
        <f>Table13[[#This Row],[Price]]/129</f>
        <v>5.3100775193798446</v>
      </c>
      <c r="N452" s="65"/>
      <c r="O452">
        <v>7.4</v>
      </c>
      <c r="P452" s="39">
        <f>(729+61+92)/129</f>
        <v>6.8372093023255811</v>
      </c>
      <c r="Q452" s="66">
        <f>Table13[[#This Row],[Labor ($/SF)]]+Table13[[#This Row],[Material $/SF]]</f>
        <v>12.147286821705425</v>
      </c>
      <c r="R452">
        <v>1.2</v>
      </c>
      <c r="S452" s="39">
        <f>(120+66)/120</f>
        <v>1.55</v>
      </c>
      <c r="U452">
        <v>2023</v>
      </c>
      <c r="V452" t="s">
        <v>1144</v>
      </c>
      <c r="W452" t="s">
        <v>338</v>
      </c>
    </row>
    <row r="453" spans="1:24" x14ac:dyDescent="0.2">
      <c r="A453" t="s">
        <v>7</v>
      </c>
      <c r="C453" s="64"/>
      <c r="D453" s="363"/>
      <c r="E453" s="64" t="s">
        <v>401</v>
      </c>
      <c r="F453" s="64"/>
      <c r="G453" s="64"/>
      <c r="H453" s="64"/>
      <c r="I453" s="64"/>
      <c r="J453" s="64"/>
      <c r="L453" s="65">
        <v>494</v>
      </c>
      <c r="M453" s="65">
        <f>Table13[[#This Row],[Price]]/129</f>
        <v>3.8294573643410854</v>
      </c>
      <c r="N453" s="65"/>
      <c r="O453">
        <v>7.4</v>
      </c>
      <c r="P453" s="39">
        <f>(301+54+61)/129</f>
        <v>3.2248062015503876</v>
      </c>
      <c r="Q453" s="66">
        <f>Table13[[#This Row],[Labor ($/SF)]]+Table13[[#This Row],[Material $/SF]]</f>
        <v>7.054263565891473</v>
      </c>
      <c r="R453">
        <v>1.2</v>
      </c>
      <c r="S453" s="39">
        <f>(50+58)/120</f>
        <v>0.9</v>
      </c>
      <c r="U453">
        <v>2023</v>
      </c>
      <c r="V453" t="s">
        <v>1145</v>
      </c>
      <c r="W453" t="s">
        <v>338</v>
      </c>
    </row>
    <row r="454" spans="1:24" x14ac:dyDescent="0.2">
      <c r="A454" t="s">
        <v>7</v>
      </c>
      <c r="C454" s="64"/>
      <c r="D454" s="363"/>
      <c r="E454" s="64" t="s">
        <v>401</v>
      </c>
      <c r="F454" s="64"/>
      <c r="G454" s="64"/>
      <c r="H454" s="64"/>
      <c r="I454" s="64"/>
      <c r="J454" s="64"/>
      <c r="L454" s="65">
        <v>710</v>
      </c>
      <c r="M454" s="65">
        <f>Table13[[#This Row],[Price]]/129</f>
        <v>5.5038759689922481</v>
      </c>
      <c r="N454" s="65"/>
      <c r="O454">
        <v>7.4</v>
      </c>
      <c r="P454" s="39">
        <f>(932+63+96)/129</f>
        <v>8.4573643410852721</v>
      </c>
      <c r="Q454" s="66">
        <f>Table13[[#This Row],[Labor ($/SF)]]+Table13[[#This Row],[Material $/SF]]</f>
        <v>13.961240310077521</v>
      </c>
      <c r="R454">
        <v>1.2</v>
      </c>
      <c r="S454" s="39">
        <f>(154+69)/120</f>
        <v>1.8583333333333334</v>
      </c>
      <c r="U454">
        <v>2023</v>
      </c>
      <c r="V454" t="s">
        <v>1146</v>
      </c>
      <c r="W454" t="s">
        <v>338</v>
      </c>
    </row>
    <row r="455" spans="1:24" x14ac:dyDescent="0.2">
      <c r="A455" t="s">
        <v>7</v>
      </c>
      <c r="C455" s="64"/>
      <c r="D455" s="363"/>
      <c r="E455" s="64" t="s">
        <v>401</v>
      </c>
      <c r="F455" s="64"/>
      <c r="G455" s="64"/>
      <c r="H455" s="64"/>
      <c r="I455" s="64"/>
      <c r="J455" s="64"/>
      <c r="L455" s="65">
        <v>512</v>
      </c>
      <c r="M455" s="65">
        <f>Table13[[#This Row],[Price]]/129</f>
        <v>3.9689922480620154</v>
      </c>
      <c r="N455" s="65"/>
      <c r="O455">
        <v>7.4</v>
      </c>
      <c r="P455" s="39">
        <f>(386+56+64)/129</f>
        <v>3.9224806201550386</v>
      </c>
      <c r="Q455" s="66">
        <f>Table13[[#This Row],[Labor ($/SF)]]+Table13[[#This Row],[Material $/SF]]</f>
        <v>7.8914728682170541</v>
      </c>
      <c r="R455">
        <v>1.2</v>
      </c>
      <c r="S455" s="39">
        <f>(64+60)/120</f>
        <v>1.0333333333333334</v>
      </c>
      <c r="U455">
        <v>2023</v>
      </c>
      <c r="V455" t="s">
        <v>1147</v>
      </c>
      <c r="W455" t="s">
        <v>338</v>
      </c>
    </row>
    <row r="456" spans="1:24" x14ac:dyDescent="0.2">
      <c r="A456" t="s">
        <v>7</v>
      </c>
      <c r="C456" s="64" t="s">
        <v>5249</v>
      </c>
      <c r="D456" s="363"/>
      <c r="E456" s="64" t="s">
        <v>5112</v>
      </c>
      <c r="F456" s="64"/>
      <c r="G456" s="64"/>
      <c r="H456" s="64"/>
      <c r="I456" s="64"/>
      <c r="J456" s="64"/>
      <c r="L456" s="65">
        <v>1168</v>
      </c>
      <c r="M456" s="65">
        <f>Table13[[#This Row],[Price]]/129</f>
        <v>9.054263565891473</v>
      </c>
      <c r="N456" s="65"/>
      <c r="O456">
        <v>7.7</v>
      </c>
      <c r="P456" s="39">
        <f>(1298+64)/129</f>
        <v>10.55813953488372</v>
      </c>
      <c r="Q456" s="66">
        <f>Table13[[#This Row],[Labor ($/SF)]]+Table13[[#This Row],[Material $/SF]]</f>
        <v>19.612403100775193</v>
      </c>
      <c r="R456">
        <v>1.2</v>
      </c>
      <c r="S456" s="39">
        <f>(206+73)/120</f>
        <v>2.3250000000000002</v>
      </c>
      <c r="U456">
        <v>2023</v>
      </c>
      <c r="V456" t="s">
        <v>1128</v>
      </c>
      <c r="W456" t="s">
        <v>338</v>
      </c>
      <c r="X456" t="s">
        <v>5248</v>
      </c>
    </row>
    <row r="457" spans="1:24" x14ac:dyDescent="0.2">
      <c r="A457" t="s">
        <v>7</v>
      </c>
      <c r="C457" s="64"/>
      <c r="D457" s="363"/>
      <c r="E457" s="64" t="s">
        <v>5112</v>
      </c>
      <c r="F457" s="64"/>
      <c r="G457" s="64"/>
      <c r="H457" s="64"/>
      <c r="I457" s="64"/>
      <c r="J457" s="64"/>
      <c r="L457" s="65">
        <v>842</v>
      </c>
      <c r="M457" s="65">
        <f>Table13[[#This Row],[Price]]/129</f>
        <v>6.5271317829457365</v>
      </c>
      <c r="N457" s="65"/>
      <c r="O457">
        <v>7.7</v>
      </c>
      <c r="P457" s="39">
        <f>(537+56)/129</f>
        <v>4.5968992248062017</v>
      </c>
      <c r="Q457" s="66">
        <f>Table13[[#This Row],[Labor ($/SF)]]+Table13[[#This Row],[Material $/SF]]</f>
        <v>11.124031007751938</v>
      </c>
      <c r="R457">
        <v>1.2</v>
      </c>
      <c r="S457" s="39">
        <f>(85+64)/120</f>
        <v>1.2416666666666667</v>
      </c>
      <c r="U457">
        <v>2023</v>
      </c>
      <c r="V457" t="s">
        <v>1129</v>
      </c>
      <c r="W457" t="s">
        <v>338</v>
      </c>
    </row>
    <row r="458" spans="1:24" x14ac:dyDescent="0.2">
      <c r="A458" t="s">
        <v>7</v>
      </c>
      <c r="C458" s="64"/>
      <c r="D458" s="363"/>
      <c r="E458" s="64" t="s">
        <v>5112</v>
      </c>
      <c r="F458" s="64"/>
      <c r="G458" s="64"/>
      <c r="H458" s="64"/>
      <c r="I458" s="64"/>
      <c r="J458" s="64"/>
      <c r="L458" s="65">
        <v>1090</v>
      </c>
      <c r="M458" s="65">
        <f>Table13[[#This Row],[Price]]/129</f>
        <v>8.449612403100776</v>
      </c>
      <c r="N458" s="65"/>
      <c r="O458">
        <v>7.7</v>
      </c>
      <c r="P458" s="39">
        <f>(879+60)/129</f>
        <v>7.2790697674418601</v>
      </c>
      <c r="Q458" s="66">
        <f>Table13[[#This Row],[Labor ($/SF)]]+Table13[[#This Row],[Material $/SF]]</f>
        <v>15.728682170542637</v>
      </c>
      <c r="R458">
        <v>1.2</v>
      </c>
      <c r="S458" s="39">
        <f>(140+68)/120</f>
        <v>1.7333333333333334</v>
      </c>
      <c r="U458">
        <v>2023</v>
      </c>
      <c r="V458" t="s">
        <v>1130</v>
      </c>
      <c r="W458" t="s">
        <v>338</v>
      </c>
    </row>
    <row r="459" spans="1:24" x14ac:dyDescent="0.2">
      <c r="A459" t="s">
        <v>7</v>
      </c>
      <c r="C459" s="64"/>
      <c r="D459" s="363"/>
      <c r="E459" s="64" t="s">
        <v>5112</v>
      </c>
      <c r="F459" s="64"/>
      <c r="G459" s="64"/>
      <c r="H459" s="64"/>
      <c r="I459" s="64"/>
      <c r="J459" s="64"/>
      <c r="L459" s="65">
        <v>786</v>
      </c>
      <c r="M459" s="65">
        <f>Table13[[#This Row],[Price]]/129</f>
        <v>6.0930232558139537</v>
      </c>
      <c r="N459" s="65"/>
      <c r="O459">
        <v>7.7</v>
      </c>
      <c r="P459" s="39">
        <f>(364+52)/129</f>
        <v>3.2248062015503876</v>
      </c>
      <c r="Q459" s="66">
        <f>Table13[[#This Row],[Labor ($/SF)]]+Table13[[#This Row],[Material $/SF]]</f>
        <v>9.3178294573643416</v>
      </c>
      <c r="R459">
        <v>1.2</v>
      </c>
      <c r="S459" s="39">
        <f>(58+60)/120</f>
        <v>0.98333333333333328</v>
      </c>
      <c r="U459">
        <v>2023</v>
      </c>
      <c r="V459" t="s">
        <v>1131</v>
      </c>
      <c r="W459" t="s">
        <v>338</v>
      </c>
    </row>
    <row r="460" spans="1:24" x14ac:dyDescent="0.2">
      <c r="A460" t="s">
        <v>7</v>
      </c>
      <c r="C460" s="64"/>
      <c r="D460" s="363"/>
      <c r="E460" s="64" t="s">
        <v>5112</v>
      </c>
      <c r="F460" s="64"/>
      <c r="G460" s="64"/>
      <c r="H460" s="64"/>
      <c r="I460" s="64"/>
      <c r="J460" s="64"/>
      <c r="L460" s="65">
        <v>1122</v>
      </c>
      <c r="M460" s="65">
        <f>Table13[[#This Row],[Price]]/129</f>
        <v>8.6976744186046506</v>
      </c>
      <c r="N460" s="65"/>
      <c r="O460">
        <v>7.7</v>
      </c>
      <c r="P460" s="39">
        <f>(1055+61)/129</f>
        <v>8.6511627906976738</v>
      </c>
      <c r="Q460" s="66">
        <f>Table13[[#This Row],[Labor ($/SF)]]+Table13[[#This Row],[Material $/SF]]</f>
        <v>17.348837209302324</v>
      </c>
      <c r="R460">
        <v>1.2</v>
      </c>
      <c r="S460" s="39">
        <f>(168+70)/120</f>
        <v>1.9833333333333334</v>
      </c>
      <c r="U460">
        <v>2023</v>
      </c>
      <c r="V460" t="s">
        <v>1132</v>
      </c>
      <c r="W460" t="s">
        <v>338</v>
      </c>
    </row>
    <row r="461" spans="1:24" x14ac:dyDescent="0.2">
      <c r="A461" t="s">
        <v>7</v>
      </c>
      <c r="C461" s="64"/>
      <c r="D461" s="363"/>
      <c r="E461" s="64" t="s">
        <v>5112</v>
      </c>
      <c r="F461" s="64"/>
      <c r="G461" s="64"/>
      <c r="H461" s="64"/>
      <c r="I461" s="64"/>
      <c r="J461" s="64"/>
      <c r="L461" s="65">
        <v>809</v>
      </c>
      <c r="M461" s="65">
        <f>Table13[[#This Row],[Price]]/129</f>
        <v>6.2713178294573639</v>
      </c>
      <c r="N461" s="65"/>
      <c r="O461">
        <v>7.7</v>
      </c>
      <c r="P461" s="39">
        <f>(436+54)/129</f>
        <v>3.7984496124031009</v>
      </c>
      <c r="Q461" s="66">
        <f>Table13[[#This Row],[Labor ($/SF)]]+Table13[[#This Row],[Material $/SF]]</f>
        <v>10.069767441860465</v>
      </c>
      <c r="R461">
        <v>1.2</v>
      </c>
      <c r="S461" s="39">
        <f>(69+61)/120</f>
        <v>1.0833333333333333</v>
      </c>
      <c r="U461">
        <v>2023</v>
      </c>
      <c r="V461" t="s">
        <v>1133</v>
      </c>
      <c r="W461" t="s">
        <v>338</v>
      </c>
    </row>
    <row r="462" spans="1:24" x14ac:dyDescent="0.2">
      <c r="A462" t="s">
        <v>7</v>
      </c>
      <c r="C462" s="64"/>
      <c r="D462" s="363"/>
      <c r="E462" s="64" t="s">
        <v>5112</v>
      </c>
      <c r="F462" s="64"/>
      <c r="G462" s="64"/>
      <c r="H462" s="64"/>
      <c r="I462" s="64"/>
      <c r="J462" s="64"/>
      <c r="L462" s="65">
        <v>1097</v>
      </c>
      <c r="M462" s="65">
        <f>Table13[[#This Row],[Price]]/129</f>
        <v>8.5038759689922472</v>
      </c>
      <c r="N462" s="65"/>
      <c r="O462">
        <v>7.7</v>
      </c>
      <c r="P462" s="39">
        <f>(919+60)/129</f>
        <v>7.5891472868217056</v>
      </c>
      <c r="Q462" s="66">
        <f>Table13[[#This Row],[Labor ($/SF)]]+Table13[[#This Row],[Material $/SF]]</f>
        <v>16.093023255813954</v>
      </c>
      <c r="R462">
        <v>1.2</v>
      </c>
      <c r="S462" s="39">
        <f>(146+68)/120</f>
        <v>1.7833333333333334</v>
      </c>
      <c r="U462">
        <v>2023</v>
      </c>
      <c r="V462" t="s">
        <v>1134</v>
      </c>
      <c r="W462" t="s">
        <v>338</v>
      </c>
    </row>
    <row r="463" spans="1:24" x14ac:dyDescent="0.2">
      <c r="A463" t="s">
        <v>7</v>
      </c>
      <c r="C463" s="64"/>
      <c r="D463" s="363"/>
      <c r="E463" s="64" t="s">
        <v>5112</v>
      </c>
      <c r="F463" s="64"/>
      <c r="G463" s="64"/>
      <c r="H463" s="64"/>
      <c r="I463" s="64"/>
      <c r="J463" s="64"/>
      <c r="L463" s="65">
        <v>791</v>
      </c>
      <c r="M463" s="65">
        <f>Table13[[#This Row],[Price]]/129</f>
        <v>6.1317829457364343</v>
      </c>
      <c r="N463" s="65"/>
      <c r="O463">
        <v>7.7</v>
      </c>
      <c r="P463" s="39">
        <f>(380+53)/129</f>
        <v>3.3565891472868219</v>
      </c>
      <c r="Q463" s="66">
        <f>Table13[[#This Row],[Labor ($/SF)]]+Table13[[#This Row],[Material $/SF]]</f>
        <v>9.4883720930232567</v>
      </c>
      <c r="R463">
        <v>1.2</v>
      </c>
      <c r="S463" s="39">
        <f>(60+60)/120</f>
        <v>1</v>
      </c>
      <c r="U463">
        <v>2023</v>
      </c>
      <c r="V463" t="s">
        <v>1135</v>
      </c>
      <c r="W463" t="s">
        <v>338</v>
      </c>
    </row>
    <row r="464" spans="1:24" x14ac:dyDescent="0.2">
      <c r="A464" t="s">
        <v>7</v>
      </c>
      <c r="C464" s="64"/>
      <c r="D464" s="363"/>
      <c r="E464" s="64" t="s">
        <v>5112</v>
      </c>
      <c r="F464" s="64"/>
      <c r="G464" s="64"/>
      <c r="H464" s="64"/>
      <c r="I464" s="64"/>
      <c r="J464" s="64"/>
      <c r="L464" s="65">
        <v>1077</v>
      </c>
      <c r="M464" s="65">
        <f>Table13[[#This Row],[Price]]/129</f>
        <v>8.3488372093023262</v>
      </c>
      <c r="N464" s="65"/>
      <c r="O464">
        <v>7.7</v>
      </c>
      <c r="P464" s="39">
        <f>(810+59)/129</f>
        <v>6.7364341085271322</v>
      </c>
      <c r="Q464" s="66">
        <f>Table13[[#This Row],[Labor ($/SF)]]+Table13[[#This Row],[Material $/SF]]</f>
        <v>15.085271317829459</v>
      </c>
      <c r="R464">
        <v>1.2</v>
      </c>
      <c r="S464" s="39">
        <f>(129+67)/120</f>
        <v>1.6333333333333333</v>
      </c>
      <c r="U464">
        <v>2023</v>
      </c>
      <c r="V464" t="s">
        <v>1136</v>
      </c>
      <c r="W464" t="s">
        <v>338</v>
      </c>
    </row>
    <row r="465" spans="1:24" x14ac:dyDescent="0.2">
      <c r="A465" t="s">
        <v>7</v>
      </c>
      <c r="C465" s="64"/>
      <c r="D465" s="363"/>
      <c r="E465" s="64" t="s">
        <v>5112</v>
      </c>
      <c r="F465" s="64"/>
      <c r="G465" s="64"/>
      <c r="H465" s="64"/>
      <c r="I465" s="64"/>
      <c r="J465" s="64"/>
      <c r="L465" s="65">
        <v>776</v>
      </c>
      <c r="M465" s="65">
        <f>Table13[[#This Row],[Price]]/129</f>
        <v>6.0155038759689923</v>
      </c>
      <c r="N465" s="65"/>
      <c r="O465">
        <v>7.7</v>
      </c>
      <c r="P465" s="39">
        <f>(335+52)/129</f>
        <v>3</v>
      </c>
      <c r="Q465" s="66">
        <f>Table13[[#This Row],[Labor ($/SF)]]+Table13[[#This Row],[Material $/SF]]</f>
        <v>9.0155038759689923</v>
      </c>
      <c r="R465">
        <v>1.2</v>
      </c>
      <c r="S465" s="39">
        <f>(53+59)/120</f>
        <v>0.93333333333333335</v>
      </c>
      <c r="U465">
        <v>2023</v>
      </c>
      <c r="V465" t="s">
        <v>1137</v>
      </c>
      <c r="W465" t="s">
        <v>338</v>
      </c>
    </row>
    <row r="466" spans="1:24" x14ac:dyDescent="0.2">
      <c r="A466" t="s">
        <v>7</v>
      </c>
      <c r="C466" s="64"/>
      <c r="D466" s="363"/>
      <c r="E466" s="64" t="s">
        <v>5112</v>
      </c>
      <c r="F466" s="64"/>
      <c r="G466" s="64"/>
      <c r="H466" s="64"/>
      <c r="I466" s="64"/>
      <c r="J466" s="64"/>
      <c r="L466" s="65">
        <v>1076</v>
      </c>
      <c r="M466" s="65">
        <f>Table13[[#This Row],[Price]]/129</f>
        <v>8.3410852713178301</v>
      </c>
      <c r="N466" s="65"/>
      <c r="O466">
        <v>7.7</v>
      </c>
      <c r="P466" s="39">
        <f>(808+59)/129</f>
        <v>6.7209302325581399</v>
      </c>
      <c r="Q466" s="66">
        <f>Table13[[#This Row],[Labor ($/SF)]]+Table13[[#This Row],[Material $/SF]]</f>
        <v>15.062015503875969</v>
      </c>
      <c r="R466">
        <v>1.2</v>
      </c>
      <c r="S466" s="39">
        <f>(129+67)/120</f>
        <v>1.6333333333333333</v>
      </c>
      <c r="U466">
        <v>2023</v>
      </c>
      <c r="V466" t="s">
        <v>1138</v>
      </c>
      <c r="W466" t="s">
        <v>338</v>
      </c>
    </row>
    <row r="467" spans="1:24" x14ac:dyDescent="0.2">
      <c r="A467" t="s">
        <v>7</v>
      </c>
      <c r="C467" s="64"/>
      <c r="D467" s="363"/>
      <c r="E467" s="64" t="s">
        <v>5112</v>
      </c>
      <c r="F467" s="64"/>
      <c r="G467" s="64"/>
      <c r="H467" s="64"/>
      <c r="I467" s="64"/>
      <c r="J467" s="64"/>
      <c r="L467" s="65">
        <v>776</v>
      </c>
      <c r="M467" s="65">
        <f>Table13[[#This Row],[Price]]/129</f>
        <v>6.0155038759689923</v>
      </c>
      <c r="N467" s="65"/>
      <c r="O467">
        <v>7.7</v>
      </c>
      <c r="P467" s="39">
        <f>(334+52)/129</f>
        <v>2.9922480620155039</v>
      </c>
      <c r="Q467" s="66">
        <f>Table13[[#This Row],[Labor ($/SF)]]+Table13[[#This Row],[Material $/SF]]</f>
        <v>9.0077519379844961</v>
      </c>
      <c r="R467">
        <v>1.2</v>
      </c>
      <c r="S467" s="39">
        <f>(53+59)/120</f>
        <v>0.93333333333333335</v>
      </c>
      <c r="U467">
        <v>2023</v>
      </c>
      <c r="V467" t="s">
        <v>1139</v>
      </c>
      <c r="W467" t="s">
        <v>338</v>
      </c>
    </row>
    <row r="468" spans="1:24" x14ac:dyDescent="0.2">
      <c r="A468" t="s">
        <v>7</v>
      </c>
      <c r="C468" s="64"/>
      <c r="D468" s="363"/>
      <c r="E468" s="64" t="s">
        <v>5112</v>
      </c>
      <c r="F468" s="64"/>
      <c r="G468" s="64"/>
      <c r="H468" s="64"/>
      <c r="I468" s="64"/>
      <c r="J468" s="64"/>
      <c r="L468" s="65">
        <v>1079</v>
      </c>
      <c r="M468" s="65">
        <f>Table13[[#This Row],[Price]]/129</f>
        <v>8.3643410852713185</v>
      </c>
      <c r="N468" s="65"/>
      <c r="O468">
        <v>7.7</v>
      </c>
      <c r="P468" s="39">
        <f>(825+59)/129</f>
        <v>6.8527131782945734</v>
      </c>
      <c r="Q468" s="66">
        <f>Table13[[#This Row],[Labor ($/SF)]]+Table13[[#This Row],[Material $/SF]]</f>
        <v>15.217054263565892</v>
      </c>
      <c r="R468">
        <v>1.2</v>
      </c>
      <c r="S468" s="39">
        <f>(131+67)/120</f>
        <v>1.65</v>
      </c>
      <c r="U468">
        <v>2023</v>
      </c>
      <c r="V468" t="s">
        <v>1140</v>
      </c>
      <c r="W468" t="s">
        <v>338</v>
      </c>
    </row>
    <row r="469" spans="1:24" x14ac:dyDescent="0.2">
      <c r="A469" t="s">
        <v>7</v>
      </c>
      <c r="C469" s="64"/>
      <c r="D469" s="363"/>
      <c r="E469" s="64" t="s">
        <v>5112</v>
      </c>
      <c r="F469" s="64"/>
      <c r="G469" s="64"/>
      <c r="H469" s="64"/>
      <c r="I469" s="64"/>
      <c r="J469" s="64"/>
      <c r="L469" s="65">
        <v>778</v>
      </c>
      <c r="M469" s="65">
        <f>Table13[[#This Row],[Price]]/129</f>
        <v>6.0310077519379846</v>
      </c>
      <c r="N469" s="65"/>
      <c r="O469">
        <v>7.7</v>
      </c>
      <c r="P469" s="39">
        <f>(341+52)/129</f>
        <v>3.0465116279069768</v>
      </c>
      <c r="Q469" s="66">
        <f>Table13[[#This Row],[Labor ($/SF)]]+Table13[[#This Row],[Material $/SF]]</f>
        <v>9.0775193798449614</v>
      </c>
      <c r="R469">
        <v>1.2</v>
      </c>
      <c r="S469" s="39">
        <f>(54+59)/120</f>
        <v>0.94166666666666665</v>
      </c>
      <c r="U469">
        <v>2023</v>
      </c>
      <c r="V469" t="s">
        <v>1141</v>
      </c>
      <c r="W469" t="s">
        <v>338</v>
      </c>
    </row>
    <row r="470" spans="1:24" x14ac:dyDescent="0.2">
      <c r="A470" t="s">
        <v>7</v>
      </c>
      <c r="C470" s="64"/>
      <c r="D470" s="363"/>
      <c r="E470" s="64" t="s">
        <v>5112</v>
      </c>
      <c r="F470" s="64"/>
      <c r="G470" s="64"/>
      <c r="H470" s="64"/>
      <c r="I470" s="64"/>
      <c r="J470" s="64"/>
      <c r="L470" s="65">
        <v>1067</v>
      </c>
      <c r="M470" s="65">
        <f>Table13[[#This Row],[Price]]/129</f>
        <v>8.2713178294573648</v>
      </c>
      <c r="N470" s="65"/>
      <c r="O470">
        <v>7.7</v>
      </c>
      <c r="P470" s="39">
        <f>(756+58)/129</f>
        <v>6.3100775193798446</v>
      </c>
      <c r="Q470" s="66">
        <f>Table13[[#This Row],[Labor ($/SF)]]+Table13[[#This Row],[Material $/SF]]</f>
        <v>14.581395348837209</v>
      </c>
      <c r="R470">
        <v>1.2</v>
      </c>
      <c r="S470" s="39">
        <f>(120+66)/120</f>
        <v>1.55</v>
      </c>
      <c r="U470">
        <v>2023</v>
      </c>
      <c r="V470" t="s">
        <v>1142</v>
      </c>
      <c r="W470" t="s">
        <v>338</v>
      </c>
    </row>
    <row r="471" spans="1:24" x14ac:dyDescent="0.2">
      <c r="A471" t="s">
        <v>7</v>
      </c>
      <c r="C471" s="64"/>
      <c r="D471" s="363"/>
      <c r="E471" s="64" t="s">
        <v>5112</v>
      </c>
      <c r="F471" s="64"/>
      <c r="G471" s="64"/>
      <c r="H471" s="64"/>
      <c r="I471" s="64"/>
      <c r="J471" s="64"/>
      <c r="L471" s="65">
        <v>769</v>
      </c>
      <c r="M471" s="65">
        <f>Table13[[#This Row],[Price]]/129</f>
        <v>5.9612403100775193</v>
      </c>
      <c r="N471" s="65"/>
      <c r="O471">
        <v>7.7</v>
      </c>
      <c r="P471" s="39">
        <f>(313+51)/129</f>
        <v>2.8217054263565893</v>
      </c>
      <c r="Q471" s="66">
        <f>Table13[[#This Row],[Labor ($/SF)]]+Table13[[#This Row],[Material $/SF]]</f>
        <v>8.7829457364341081</v>
      </c>
      <c r="R471">
        <v>1.2</v>
      </c>
      <c r="S471" s="39">
        <f>(50+58)/120</f>
        <v>0.9</v>
      </c>
      <c r="U471">
        <v>2023</v>
      </c>
      <c r="V471" t="s">
        <v>1143</v>
      </c>
      <c r="W471" t="s">
        <v>338</v>
      </c>
    </row>
    <row r="472" spans="1:24" x14ac:dyDescent="0.2">
      <c r="A472" t="s">
        <v>7</v>
      </c>
      <c r="C472" s="64"/>
      <c r="D472" s="363"/>
      <c r="E472" s="64" t="s">
        <v>5112</v>
      </c>
      <c r="F472" s="64"/>
      <c r="G472" s="64"/>
      <c r="H472" s="64"/>
      <c r="I472" s="64"/>
      <c r="J472" s="64"/>
      <c r="L472" s="65">
        <v>1115</v>
      </c>
      <c r="M472" s="65">
        <f>Table13[[#This Row],[Price]]/129</f>
        <v>8.6434108527131777</v>
      </c>
      <c r="N472" s="65"/>
      <c r="O472">
        <v>7.7</v>
      </c>
      <c r="P472" s="39">
        <f>(1014+61)/129</f>
        <v>8.3333333333333339</v>
      </c>
      <c r="Q472" s="66">
        <f>Table13[[#This Row],[Labor ($/SF)]]+Table13[[#This Row],[Material $/SF]]</f>
        <v>16.97674418604651</v>
      </c>
      <c r="R472">
        <v>1.2</v>
      </c>
      <c r="S472" s="39">
        <f>(161+69)/120</f>
        <v>1.9166666666666667</v>
      </c>
      <c r="U472">
        <v>2023</v>
      </c>
      <c r="V472" t="s">
        <v>1144</v>
      </c>
      <c r="W472" t="s">
        <v>338</v>
      </c>
    </row>
    <row r="473" spans="1:24" x14ac:dyDescent="0.2">
      <c r="A473" t="s">
        <v>7</v>
      </c>
      <c r="C473" s="64"/>
      <c r="D473" s="363"/>
      <c r="E473" s="64" t="s">
        <v>5112</v>
      </c>
      <c r="F473" s="64"/>
      <c r="G473" s="64"/>
      <c r="H473" s="64"/>
      <c r="I473" s="64"/>
      <c r="J473" s="64"/>
      <c r="L473" s="65">
        <v>804</v>
      </c>
      <c r="M473" s="65">
        <f>Table13[[#This Row],[Price]]/129</f>
        <v>6.2325581395348841</v>
      </c>
      <c r="N473" s="65"/>
      <c r="O473">
        <v>7.7</v>
      </c>
      <c r="P473" s="39">
        <f>(419+54)/129</f>
        <v>3.6666666666666665</v>
      </c>
      <c r="Q473" s="66">
        <f>Table13[[#This Row],[Labor ($/SF)]]+Table13[[#This Row],[Material $/SF]]</f>
        <v>9.8992248062015502</v>
      </c>
      <c r="R473">
        <v>1.2</v>
      </c>
      <c r="S473" s="39">
        <f>(67+61)/120</f>
        <v>1.0666666666666667</v>
      </c>
      <c r="U473">
        <v>2023</v>
      </c>
      <c r="V473" t="s">
        <v>1145</v>
      </c>
      <c r="W473" t="s">
        <v>338</v>
      </c>
    </row>
    <row r="474" spans="1:24" x14ac:dyDescent="0.2">
      <c r="A474" t="s">
        <v>7</v>
      </c>
      <c r="C474" s="64"/>
      <c r="D474" s="363"/>
      <c r="E474" s="64" t="s">
        <v>5112</v>
      </c>
      <c r="F474" s="64"/>
      <c r="G474" s="64"/>
      <c r="H474" s="64"/>
      <c r="I474" s="64"/>
      <c r="J474" s="64"/>
      <c r="L474" s="65">
        <v>1106</v>
      </c>
      <c r="M474" s="65">
        <f>Table13[[#This Row],[Price]]/129</f>
        <v>8.5736434108527124</v>
      </c>
      <c r="N474" s="65"/>
      <c r="O474">
        <v>7.7</v>
      </c>
      <c r="P474" s="39">
        <f>(967+61)/129</f>
        <v>7.9689922480620154</v>
      </c>
      <c r="Q474" s="66">
        <f>Table13[[#This Row],[Labor ($/SF)]]+Table13[[#This Row],[Material $/SF]]</f>
        <v>16.542635658914726</v>
      </c>
      <c r="R474">
        <v>1.2</v>
      </c>
      <c r="S474" s="39">
        <f>(154+69)/120</f>
        <v>1.8583333333333334</v>
      </c>
      <c r="U474">
        <v>2023</v>
      </c>
      <c r="V474" t="s">
        <v>1146</v>
      </c>
      <c r="W474" t="s">
        <v>338</v>
      </c>
    </row>
    <row r="475" spans="1:24" x14ac:dyDescent="0.2">
      <c r="A475" t="s">
        <v>7</v>
      </c>
      <c r="C475" s="64"/>
      <c r="D475" s="363"/>
      <c r="E475" s="64" t="s">
        <v>5112</v>
      </c>
      <c r="F475" s="64"/>
      <c r="G475" s="64"/>
      <c r="H475" s="64"/>
      <c r="I475" s="64"/>
      <c r="J475" s="64"/>
      <c r="L475" s="65">
        <v>797</v>
      </c>
      <c r="M475" s="65">
        <f>Table13[[#This Row],[Price]]/129</f>
        <v>6.1782945736434112</v>
      </c>
      <c r="N475" s="65"/>
      <c r="O475">
        <v>7.7</v>
      </c>
      <c r="P475" s="39">
        <f>(400+53)/129</f>
        <v>3.5116279069767442</v>
      </c>
      <c r="Q475" s="66">
        <f>Table13[[#This Row],[Labor ($/SF)]]+Table13[[#This Row],[Material $/SF]]</f>
        <v>9.6899224806201545</v>
      </c>
      <c r="R475">
        <v>1.2</v>
      </c>
      <c r="S475" s="39">
        <f>(64+60)/120</f>
        <v>1.0333333333333334</v>
      </c>
      <c r="U475">
        <v>2023</v>
      </c>
      <c r="V475" t="s">
        <v>1147</v>
      </c>
      <c r="W475" t="s">
        <v>338</v>
      </c>
    </row>
    <row r="476" spans="1:24" x14ac:dyDescent="0.2">
      <c r="A476" t="s">
        <v>7</v>
      </c>
      <c r="C476" s="64"/>
      <c r="D476" s="363"/>
      <c r="E476" s="64" t="s">
        <v>4805</v>
      </c>
      <c r="F476" s="64">
        <v>10.76</v>
      </c>
      <c r="G476" s="64" t="s">
        <v>5145</v>
      </c>
      <c r="H476" s="64"/>
      <c r="I476" s="64"/>
      <c r="J476" s="64"/>
      <c r="L476" s="65">
        <v>54.78</v>
      </c>
      <c r="M476" s="65">
        <f>Table13[[#This Row],[Price]]/Table13[[#This Row],[Area (ft2)]]</f>
        <v>5.0910780669144984</v>
      </c>
      <c r="N476" s="65"/>
      <c r="P476" s="39"/>
      <c r="Q476" s="66"/>
      <c r="S476" s="39"/>
      <c r="W476" t="s">
        <v>4561</v>
      </c>
      <c r="X476" s="4" t="s">
        <v>5142</v>
      </c>
    </row>
    <row r="477" spans="1:24" x14ac:dyDescent="0.2">
      <c r="A477" t="s">
        <v>7</v>
      </c>
      <c r="C477" s="64"/>
      <c r="D477" s="363"/>
      <c r="E477" s="64" t="s">
        <v>4805</v>
      </c>
      <c r="F477" s="64">
        <v>10.76</v>
      </c>
      <c r="G477" s="64" t="s">
        <v>5146</v>
      </c>
      <c r="H477" s="64"/>
      <c r="I477" s="64"/>
      <c r="J477" s="64"/>
      <c r="L477" s="65">
        <v>47.76</v>
      </c>
      <c r="M477" s="65">
        <f>Table13[[#This Row],[Price]]/Table13[[#This Row],[Area (ft2)]]</f>
        <v>4.4386617100371746</v>
      </c>
      <c r="N477" s="65"/>
      <c r="P477" s="39"/>
      <c r="S477" s="39"/>
      <c r="W477" t="s">
        <v>4561</v>
      </c>
      <c r="X477" s="4" t="s">
        <v>5143</v>
      </c>
    </row>
    <row r="478" spans="1:24" x14ac:dyDescent="0.2">
      <c r="A478" t="s">
        <v>7</v>
      </c>
      <c r="C478" s="64"/>
      <c r="D478" s="363"/>
      <c r="E478" s="64" t="s">
        <v>4805</v>
      </c>
      <c r="F478" s="64">
        <v>10.76</v>
      </c>
      <c r="G478" s="64" t="s">
        <v>5148</v>
      </c>
      <c r="H478" s="64" t="s">
        <v>1168</v>
      </c>
      <c r="I478" s="64"/>
      <c r="J478" s="64"/>
      <c r="L478" s="65">
        <v>42.4</v>
      </c>
      <c r="M478" s="65">
        <f>Table13[[#This Row],[Price]]/Table13[[#This Row],[Area (ft2)]]</f>
        <v>3.9405204460966541</v>
      </c>
      <c r="N478" s="65"/>
      <c r="P478" s="39"/>
      <c r="S478" s="39"/>
      <c r="W478" t="s">
        <v>4561</v>
      </c>
      <c r="X478" s="4" t="s">
        <v>5144</v>
      </c>
    </row>
    <row r="479" spans="1:24" x14ac:dyDescent="0.2">
      <c r="A479" t="s">
        <v>7</v>
      </c>
      <c r="C479" s="64"/>
      <c r="D479" s="363"/>
      <c r="E479" s="64" t="s">
        <v>4805</v>
      </c>
      <c r="F479" s="64">
        <v>10.76</v>
      </c>
      <c r="G479" s="64" t="s">
        <v>1926</v>
      </c>
      <c r="H479" s="64"/>
      <c r="I479" s="64"/>
      <c r="J479" s="64"/>
      <c r="L479" s="65">
        <v>47.38</v>
      </c>
      <c r="M479" s="65">
        <f>Table13[[#This Row],[Price]]/Table13[[#This Row],[Area (ft2)]]</f>
        <v>4.4033457249070631</v>
      </c>
      <c r="N479" s="65"/>
      <c r="P479" s="39"/>
      <c r="S479" s="39"/>
      <c r="W479" t="s">
        <v>4561</v>
      </c>
      <c r="X479" t="s">
        <v>1927</v>
      </c>
    </row>
    <row r="480" spans="1:24" x14ac:dyDescent="0.2">
      <c r="A480" t="s">
        <v>7</v>
      </c>
      <c r="C480" s="64"/>
      <c r="D480" s="363"/>
      <c r="E480" s="64" t="s">
        <v>4805</v>
      </c>
      <c r="F480" s="64">
        <v>10.76</v>
      </c>
      <c r="G480" s="64" t="s">
        <v>5147</v>
      </c>
      <c r="H480" s="64"/>
      <c r="I480" s="64"/>
      <c r="J480" s="64"/>
      <c r="L480" s="65">
        <v>55.24</v>
      </c>
      <c r="M480" s="65">
        <f>Table13[[#This Row],[Price]]/Table13[[#This Row],[Area (ft2)]]</f>
        <v>5.1338289962825279</v>
      </c>
      <c r="N480" s="65"/>
      <c r="P480" s="39"/>
      <c r="S480" s="39"/>
      <c r="W480" t="s">
        <v>4561</v>
      </c>
      <c r="X480" t="s">
        <v>1912</v>
      </c>
    </row>
    <row r="481" spans="1:24" x14ac:dyDescent="0.2">
      <c r="A481" t="s">
        <v>7</v>
      </c>
      <c r="C481" s="64"/>
      <c r="D481" s="363"/>
      <c r="E481" s="64" t="s">
        <v>4805</v>
      </c>
      <c r="F481" s="64">
        <v>10.76</v>
      </c>
      <c r="G481" s="64" t="s">
        <v>1869</v>
      </c>
      <c r="H481" s="64"/>
      <c r="I481" s="64"/>
      <c r="J481" s="64"/>
      <c r="L481" s="65">
        <v>50.54</v>
      </c>
      <c r="M481" s="65">
        <f>Table13[[#This Row],[Price]]/Table13[[#This Row],[Area (ft2)]]</f>
        <v>4.6970260223048328</v>
      </c>
      <c r="N481" s="65"/>
      <c r="P481" s="39"/>
      <c r="S481" s="39"/>
      <c r="W481" t="s">
        <v>4561</v>
      </c>
      <c r="X481" t="s">
        <v>1905</v>
      </c>
    </row>
    <row r="482" spans="1:24" x14ac:dyDescent="0.2">
      <c r="A482" t="s">
        <v>7</v>
      </c>
      <c r="C482" s="64"/>
      <c r="D482" s="363"/>
      <c r="E482" s="64" t="s">
        <v>4805</v>
      </c>
      <c r="F482" s="64">
        <v>30</v>
      </c>
      <c r="G482" s="64"/>
      <c r="H482" s="64"/>
      <c r="I482" s="64"/>
      <c r="J482" s="64"/>
      <c r="L482" s="65">
        <v>449.27</v>
      </c>
      <c r="M482" s="65">
        <f>Table13[[#This Row],[Price]]/Table13[[#This Row],[Area (ft2)]]</f>
        <v>14.975666666666665</v>
      </c>
      <c r="N482" s="65"/>
      <c r="P482" s="39"/>
      <c r="S482" s="39"/>
      <c r="W482" t="s">
        <v>4561</v>
      </c>
      <c r="X482" s="4" t="s">
        <v>5149</v>
      </c>
    </row>
    <row r="483" spans="1:24" x14ac:dyDescent="0.2">
      <c r="A483" t="s">
        <v>7</v>
      </c>
      <c r="C483" s="64"/>
      <c r="D483" s="363"/>
      <c r="E483" s="64" t="s">
        <v>4805</v>
      </c>
      <c r="F483" s="64">
        <v>10.76</v>
      </c>
      <c r="G483" s="64"/>
      <c r="H483" s="64"/>
      <c r="I483" s="64"/>
      <c r="J483" s="64"/>
      <c r="L483" s="65">
        <v>49.92</v>
      </c>
      <c r="M483" s="65">
        <f>Table13[[#This Row],[Price]]/Table13[[#This Row],[Area (ft2)]]</f>
        <v>4.6394052044609664</v>
      </c>
      <c r="N483" s="65"/>
      <c r="P483" s="39"/>
      <c r="S483" s="39"/>
      <c r="W483" t="s">
        <v>4561</v>
      </c>
      <c r="X483" t="s">
        <v>1929</v>
      </c>
    </row>
    <row r="484" spans="1:24" x14ac:dyDescent="0.2">
      <c r="A484" t="s">
        <v>7</v>
      </c>
      <c r="C484" s="64"/>
      <c r="D484" s="363"/>
      <c r="E484" s="64" t="s">
        <v>4805</v>
      </c>
      <c r="F484" s="64">
        <v>3.61</v>
      </c>
      <c r="G484" s="64" t="s">
        <v>1840</v>
      </c>
      <c r="H484" s="64"/>
      <c r="I484" s="64"/>
      <c r="J484" s="64"/>
      <c r="L484" s="65">
        <v>56.09</v>
      </c>
      <c r="M484" s="65">
        <f>Table13[[#This Row],[Price]]/Table13[[#This Row],[Area (ft2)]]</f>
        <v>15.537396121883658</v>
      </c>
      <c r="N484" s="65"/>
      <c r="P484" s="39"/>
      <c r="S484" s="39"/>
      <c r="W484" t="s">
        <v>4561</v>
      </c>
      <c r="X484" s="4" t="s">
        <v>5180</v>
      </c>
    </row>
    <row r="485" spans="1:24" x14ac:dyDescent="0.2">
      <c r="A485" t="s">
        <v>7</v>
      </c>
      <c r="C485" s="64"/>
      <c r="D485" s="363"/>
      <c r="E485" s="64" t="s">
        <v>4805</v>
      </c>
      <c r="F485" s="64">
        <v>3.61</v>
      </c>
      <c r="G485" s="64" t="s">
        <v>2034</v>
      </c>
      <c r="H485" s="64"/>
      <c r="I485" s="64"/>
      <c r="J485" s="64"/>
      <c r="L485" s="65">
        <v>59.05</v>
      </c>
      <c r="M485" s="65">
        <f>Table13[[#This Row],[Price]]/Table13[[#This Row],[Area (ft2)]]</f>
        <v>16.357340720221607</v>
      </c>
      <c r="N485" s="65"/>
      <c r="P485" s="39"/>
      <c r="S485" s="39"/>
      <c r="W485" t="s">
        <v>4561</v>
      </c>
      <c r="X485" s="4" t="s">
        <v>5181</v>
      </c>
    </row>
    <row r="486" spans="1:24" x14ac:dyDescent="0.2">
      <c r="A486" t="s">
        <v>7</v>
      </c>
      <c r="C486" s="64"/>
      <c r="D486" s="363"/>
      <c r="E486" s="64" t="s">
        <v>4805</v>
      </c>
      <c r="F486" s="64">
        <v>1.98</v>
      </c>
      <c r="G486" s="64" t="s">
        <v>2034</v>
      </c>
      <c r="H486" s="64"/>
      <c r="I486" s="64"/>
      <c r="J486" s="64"/>
      <c r="L486" s="65">
        <v>32.72</v>
      </c>
      <c r="M486" s="65">
        <f>Table13[[#This Row],[Price]]/Table13[[#This Row],[Area (ft2)]]</f>
        <v>16.525252525252526</v>
      </c>
      <c r="N486" s="65"/>
      <c r="P486" s="39"/>
      <c r="S486" s="39"/>
      <c r="V486" t="s">
        <v>5182</v>
      </c>
      <c r="W486" t="s">
        <v>4561</v>
      </c>
      <c r="X486" s="4" t="s">
        <v>5183</v>
      </c>
    </row>
    <row r="487" spans="1:24" x14ac:dyDescent="0.2">
      <c r="A487" t="s">
        <v>7</v>
      </c>
      <c r="C487" s="64"/>
      <c r="D487" s="363"/>
      <c r="E487" s="64" t="s">
        <v>4805</v>
      </c>
      <c r="F487" s="64">
        <v>8.6999999999999993</v>
      </c>
      <c r="G487" s="64" t="s">
        <v>1837</v>
      </c>
      <c r="H487" s="64"/>
      <c r="I487" s="64"/>
      <c r="J487" s="64"/>
      <c r="L487" s="65">
        <v>102.88</v>
      </c>
      <c r="M487" s="65">
        <f>Table13[[#This Row],[Price]]/Table13[[#This Row],[Area (ft2)]]</f>
        <v>11.825287356321839</v>
      </c>
      <c r="N487" s="65"/>
      <c r="P487" s="39"/>
      <c r="S487" s="39"/>
      <c r="W487" t="s">
        <v>1240</v>
      </c>
      <c r="X487" t="s">
        <v>5156</v>
      </c>
    </row>
    <row r="488" spans="1:24" x14ac:dyDescent="0.2">
      <c r="A488" t="s">
        <v>7</v>
      </c>
      <c r="C488" s="64"/>
      <c r="D488" s="363"/>
      <c r="E488" s="64" t="s">
        <v>4805</v>
      </c>
      <c r="F488" s="64">
        <v>7.3</v>
      </c>
      <c r="G488" s="64" t="s">
        <v>1840</v>
      </c>
      <c r="H488" s="64"/>
      <c r="I488" s="64"/>
      <c r="J488" s="64"/>
      <c r="L488" s="65">
        <v>84.75</v>
      </c>
      <c r="M488" s="65">
        <f>Table13[[#This Row],[Price]]/Table13[[#This Row],[Area (ft2)]]</f>
        <v>11.609589041095891</v>
      </c>
      <c r="N488" s="65"/>
      <c r="P488" s="39"/>
      <c r="S488" s="39"/>
      <c r="W488" t="s">
        <v>1240</v>
      </c>
      <c r="X488" s="4" t="s">
        <v>5157</v>
      </c>
    </row>
    <row r="489" spans="1:24" x14ac:dyDescent="0.2">
      <c r="A489" t="s">
        <v>7</v>
      </c>
      <c r="C489" s="64"/>
      <c r="D489" s="363"/>
      <c r="E489" s="64" t="s">
        <v>4805</v>
      </c>
      <c r="F489" s="64">
        <v>7.3</v>
      </c>
      <c r="G489" s="64" t="s">
        <v>1837</v>
      </c>
      <c r="H489" s="64"/>
      <c r="I489" s="64"/>
      <c r="J489" s="64"/>
      <c r="L489" s="65">
        <v>91</v>
      </c>
      <c r="M489" s="65">
        <f>Table13[[#This Row],[Price]]/Table13[[#This Row],[Area (ft2)]]</f>
        <v>12.465753424657535</v>
      </c>
      <c r="N489" s="65"/>
      <c r="P489" s="39"/>
      <c r="S489" s="39"/>
      <c r="W489" t="s">
        <v>1240</v>
      </c>
      <c r="X489" s="4" t="s">
        <v>5158</v>
      </c>
    </row>
    <row r="490" spans="1:24" x14ac:dyDescent="0.2">
      <c r="A490" t="s">
        <v>7</v>
      </c>
      <c r="C490" s="64"/>
      <c r="D490" s="363"/>
      <c r="E490" s="64" t="s">
        <v>4805</v>
      </c>
      <c r="F490" s="64">
        <v>8.6999999999999993</v>
      </c>
      <c r="G490" s="64" t="s">
        <v>1840</v>
      </c>
      <c r="H490" s="64"/>
      <c r="I490" s="64"/>
      <c r="J490" s="64"/>
      <c r="L490" s="65">
        <v>108.98</v>
      </c>
      <c r="M490" s="65">
        <f>Table13[[#This Row],[Price]]/Table13[[#This Row],[Area (ft2)]]</f>
        <v>12.526436781609197</v>
      </c>
      <c r="N490" s="65"/>
      <c r="P490" s="39"/>
      <c r="S490" s="39"/>
      <c r="W490" t="s">
        <v>1240</v>
      </c>
      <c r="X490" s="4" t="s">
        <v>5159</v>
      </c>
    </row>
    <row r="491" spans="1:24" x14ac:dyDescent="0.2">
      <c r="A491" t="s">
        <v>7</v>
      </c>
      <c r="C491" s="64"/>
      <c r="D491" s="363"/>
      <c r="E491" s="64" t="s">
        <v>4805</v>
      </c>
      <c r="F491" s="64">
        <v>8.6999999999999993</v>
      </c>
      <c r="G491" s="64" t="s">
        <v>1841</v>
      </c>
      <c r="H491" s="64"/>
      <c r="I491" s="64"/>
      <c r="J491" s="64"/>
      <c r="L491" s="65">
        <v>108.98</v>
      </c>
      <c r="M491" s="65">
        <f>Table13[[#This Row],[Price]]/Table13[[#This Row],[Area (ft2)]]</f>
        <v>12.526436781609197</v>
      </c>
      <c r="N491" s="65"/>
      <c r="P491" s="39"/>
      <c r="S491" s="39"/>
      <c r="W491" t="s">
        <v>1240</v>
      </c>
      <c r="X491" s="4" t="s">
        <v>5160</v>
      </c>
    </row>
    <row r="492" spans="1:24" x14ac:dyDescent="0.2">
      <c r="A492" t="s">
        <v>7</v>
      </c>
      <c r="C492" s="64"/>
      <c r="D492" s="363"/>
      <c r="E492" s="64" t="s">
        <v>4805</v>
      </c>
      <c r="F492" s="64">
        <v>7.3</v>
      </c>
      <c r="G492" s="64" t="s">
        <v>1841</v>
      </c>
      <c r="H492" s="64"/>
      <c r="I492" s="64"/>
      <c r="J492" s="64"/>
      <c r="L492" s="65">
        <v>83.26</v>
      </c>
      <c r="M492" s="65">
        <f>Table13[[#This Row],[Price]]/Table13[[#This Row],[Area (ft2)]]</f>
        <v>11.405479452054795</v>
      </c>
      <c r="N492" s="65"/>
      <c r="P492" s="39"/>
      <c r="S492" s="39"/>
      <c r="W492" t="s">
        <v>1240</v>
      </c>
      <c r="X492" s="4" t="s">
        <v>5161</v>
      </c>
    </row>
    <row r="493" spans="1:24" x14ac:dyDescent="0.2">
      <c r="A493" t="s">
        <v>7</v>
      </c>
      <c r="C493" s="64"/>
      <c r="D493" s="363"/>
      <c r="E493" s="64" t="s">
        <v>4805</v>
      </c>
      <c r="F493" s="64">
        <v>8.6999999999999993</v>
      </c>
      <c r="G493" s="64" t="s">
        <v>1840</v>
      </c>
      <c r="H493" s="64"/>
      <c r="I493" s="64"/>
      <c r="J493" s="64"/>
      <c r="L493" s="65">
        <v>107</v>
      </c>
      <c r="M493" s="65">
        <f>Table13[[#This Row],[Price]]/Table13[[#This Row],[Area (ft2)]]</f>
        <v>12.298850574712645</v>
      </c>
      <c r="N493" s="65"/>
      <c r="P493" s="39"/>
      <c r="S493" s="39"/>
      <c r="W493" t="s">
        <v>1240</v>
      </c>
      <c r="X493" s="4" t="s">
        <v>5162</v>
      </c>
    </row>
    <row r="494" spans="1:24" x14ac:dyDescent="0.2">
      <c r="A494" t="s">
        <v>7</v>
      </c>
      <c r="C494" s="64"/>
      <c r="D494" s="363"/>
      <c r="E494" s="64" t="s">
        <v>4805</v>
      </c>
      <c r="F494" s="64">
        <v>3.3</v>
      </c>
      <c r="G494" s="64" t="s">
        <v>1841</v>
      </c>
      <c r="H494" s="64"/>
      <c r="I494" s="64"/>
      <c r="J494" s="64"/>
      <c r="L494" s="65">
        <v>33.979999999999997</v>
      </c>
      <c r="M494" s="65">
        <f>Table13[[#This Row],[Price]]/Table13[[#This Row],[Area (ft2)]]</f>
        <v>10.296969696969697</v>
      </c>
      <c r="N494" s="65"/>
      <c r="P494" s="39"/>
      <c r="S494" s="39"/>
      <c r="W494" t="s">
        <v>1240</v>
      </c>
      <c r="X494" s="4" t="s">
        <v>5163</v>
      </c>
    </row>
    <row r="495" spans="1:24" x14ac:dyDescent="0.2">
      <c r="A495" t="s">
        <v>7</v>
      </c>
      <c r="C495" s="64"/>
      <c r="D495" s="363"/>
      <c r="E495" s="64" t="s">
        <v>4805</v>
      </c>
      <c r="F495" s="64">
        <v>3.5</v>
      </c>
      <c r="G495" s="64" t="s">
        <v>5169</v>
      </c>
      <c r="H495" s="64"/>
      <c r="I495" s="64"/>
      <c r="J495" s="64"/>
      <c r="L495" s="65">
        <v>34.979999999999997</v>
      </c>
      <c r="M495" s="65">
        <f>Table13[[#This Row],[Price]]/Table13[[#This Row],[Area (ft2)]]</f>
        <v>9.9942857142857129</v>
      </c>
      <c r="N495" s="65"/>
      <c r="P495" s="39"/>
      <c r="S495" s="39"/>
      <c r="W495" t="s">
        <v>1240</v>
      </c>
      <c r="X495" s="4" t="s">
        <v>5164</v>
      </c>
    </row>
    <row r="496" spans="1:24" x14ac:dyDescent="0.2">
      <c r="A496" t="s">
        <v>7</v>
      </c>
      <c r="C496" s="64"/>
      <c r="D496" s="363"/>
      <c r="E496" s="64" t="s">
        <v>4805</v>
      </c>
      <c r="F496" s="64">
        <v>3.5</v>
      </c>
      <c r="G496" s="64" t="s">
        <v>1837</v>
      </c>
      <c r="H496" s="64"/>
      <c r="I496" s="64"/>
      <c r="J496" s="64"/>
      <c r="L496" s="65">
        <v>30.05</v>
      </c>
      <c r="M496" s="65">
        <f>Table13[[#This Row],[Price]]/Table13[[#This Row],[Area (ft2)]]</f>
        <v>8.5857142857142854</v>
      </c>
      <c r="N496" s="65"/>
      <c r="P496" s="39"/>
      <c r="S496" s="39"/>
      <c r="W496" t="s">
        <v>1240</v>
      </c>
      <c r="X496" s="4" t="s">
        <v>5166</v>
      </c>
    </row>
    <row r="497" spans="1:24" x14ac:dyDescent="0.2">
      <c r="A497" t="s">
        <v>7</v>
      </c>
      <c r="C497" s="64"/>
      <c r="D497" s="363"/>
      <c r="E497" s="64" t="s">
        <v>4805</v>
      </c>
      <c r="F497" s="64">
        <v>3.5</v>
      </c>
      <c r="G497" s="64" t="s">
        <v>1839</v>
      </c>
      <c r="H497" s="64"/>
      <c r="I497" s="64"/>
      <c r="J497" s="64"/>
      <c r="L497" s="65">
        <v>36.479999999999997</v>
      </c>
      <c r="M497" s="65">
        <f>Table13[[#This Row],[Price]]/Table13[[#This Row],[Area (ft2)]]</f>
        <v>10.422857142857142</v>
      </c>
      <c r="N497" s="65"/>
      <c r="P497" s="39"/>
      <c r="S497" s="39"/>
      <c r="W497" t="s">
        <v>1240</v>
      </c>
      <c r="X497" s="4" t="s">
        <v>5164</v>
      </c>
    </row>
    <row r="498" spans="1:24" x14ac:dyDescent="0.2">
      <c r="A498" t="s">
        <v>7</v>
      </c>
      <c r="C498" s="64"/>
      <c r="D498" s="363"/>
      <c r="E498" s="64" t="s">
        <v>4805</v>
      </c>
      <c r="F498" s="64">
        <v>3.5</v>
      </c>
      <c r="G498" s="64" t="s">
        <v>5230</v>
      </c>
      <c r="H498" s="64"/>
      <c r="I498" s="64"/>
      <c r="J498" s="64"/>
      <c r="L498" s="65">
        <v>24.38</v>
      </c>
      <c r="M498" s="65">
        <f>Table13[[#This Row],[Price]]/Table13[[#This Row],[Area (ft2)]]</f>
        <v>6.9657142857142853</v>
      </c>
      <c r="N498" s="65"/>
      <c r="P498" s="39"/>
      <c r="S498" s="39"/>
      <c r="W498" t="s">
        <v>5231</v>
      </c>
      <c r="X498" s="4" t="s">
        <v>5232</v>
      </c>
    </row>
    <row r="499" spans="1:24" x14ac:dyDescent="0.2">
      <c r="A499" t="s">
        <v>7</v>
      </c>
      <c r="C499" s="64"/>
      <c r="D499" s="363"/>
      <c r="E499" s="64" t="s">
        <v>4805</v>
      </c>
      <c r="F499" s="64">
        <v>11</v>
      </c>
      <c r="G499" s="64" t="s">
        <v>5234</v>
      </c>
      <c r="H499" s="64"/>
      <c r="I499" s="64"/>
      <c r="J499" s="64"/>
      <c r="L499" s="65">
        <v>49.39</v>
      </c>
      <c r="M499" s="65">
        <f>Table13[[#This Row],[Price]]/Table13[[#This Row],[Area (ft2)]]</f>
        <v>4.49</v>
      </c>
      <c r="N499" s="65"/>
      <c r="P499" s="39"/>
      <c r="S499" s="39"/>
      <c r="W499" t="s">
        <v>5231</v>
      </c>
      <c r="X499" s="4" t="s">
        <v>5233</v>
      </c>
    </row>
    <row r="500" spans="1:24" x14ac:dyDescent="0.2">
      <c r="A500" t="s">
        <v>7</v>
      </c>
      <c r="C500" s="64"/>
      <c r="D500" s="363"/>
      <c r="E500" s="64" t="s">
        <v>4805</v>
      </c>
      <c r="F500" s="64">
        <v>9</v>
      </c>
      <c r="G500" s="64" t="s">
        <v>5236</v>
      </c>
      <c r="H500" s="64"/>
      <c r="I500" s="64"/>
      <c r="J500" s="64"/>
      <c r="L500" s="65">
        <v>71.19</v>
      </c>
      <c r="M500" s="65">
        <f>Table13[[#This Row],[Price]]/Table13[[#This Row],[Area (ft2)]]</f>
        <v>7.91</v>
      </c>
      <c r="N500" s="65"/>
      <c r="P500" s="39"/>
      <c r="S500" s="39"/>
      <c r="W500" t="s">
        <v>5231</v>
      </c>
      <c r="X500" s="4" t="s">
        <v>5235</v>
      </c>
    </row>
    <row r="501" spans="1:24" x14ac:dyDescent="0.2">
      <c r="A501" t="s">
        <v>7</v>
      </c>
      <c r="C501" s="64"/>
      <c r="D501" s="363"/>
      <c r="E501" s="64" t="s">
        <v>4805</v>
      </c>
      <c r="F501" s="64">
        <v>3.5</v>
      </c>
      <c r="G501" s="64" t="s">
        <v>1840</v>
      </c>
      <c r="H501" s="64"/>
      <c r="I501" s="64"/>
      <c r="J501" s="64"/>
      <c r="L501" s="65">
        <v>26.98</v>
      </c>
      <c r="M501" s="65">
        <f>Table13[[#This Row],[Price]]/Table13[[#This Row],[Area (ft2)]]</f>
        <v>7.7085714285714291</v>
      </c>
      <c r="N501" s="65"/>
      <c r="P501" s="39"/>
      <c r="S501" s="39"/>
      <c r="W501" t="s">
        <v>5231</v>
      </c>
      <c r="X501" s="4" t="s">
        <v>5232</v>
      </c>
    </row>
    <row r="502" spans="1:24" x14ac:dyDescent="0.2">
      <c r="A502" t="s">
        <v>7</v>
      </c>
      <c r="C502" s="64"/>
      <c r="D502" s="363"/>
      <c r="E502" s="64" t="s">
        <v>4805</v>
      </c>
      <c r="F502" s="64">
        <v>3.75</v>
      </c>
      <c r="G502" s="64" t="s">
        <v>5237</v>
      </c>
      <c r="H502" s="64"/>
      <c r="I502" s="64"/>
      <c r="J502" s="64"/>
      <c r="L502" s="65">
        <v>59.99</v>
      </c>
      <c r="M502" s="65">
        <f>Table13[[#This Row],[Price]]/Table13[[#This Row],[Area (ft2)]]</f>
        <v>15.997333333333334</v>
      </c>
      <c r="N502" s="65"/>
      <c r="P502" s="39"/>
      <c r="S502" s="39"/>
      <c r="W502" t="s">
        <v>2022</v>
      </c>
      <c r="X502" t="s">
        <v>5238</v>
      </c>
    </row>
    <row r="503" spans="1:24" x14ac:dyDescent="0.2">
      <c r="A503" t="s">
        <v>7</v>
      </c>
      <c r="C503" s="64"/>
      <c r="D503" s="363"/>
      <c r="E503" s="64" t="s">
        <v>4805</v>
      </c>
      <c r="F503" s="64">
        <v>3.75</v>
      </c>
      <c r="G503" s="64" t="s">
        <v>5239</v>
      </c>
      <c r="H503" s="64"/>
      <c r="I503" s="64"/>
      <c r="J503" s="64"/>
      <c r="L503" s="65">
        <v>59.99</v>
      </c>
      <c r="M503" s="65">
        <f>Table13[[#This Row],[Price]]/Table13[[#This Row],[Area (ft2)]]</f>
        <v>15.997333333333334</v>
      </c>
      <c r="N503" s="65"/>
      <c r="P503" s="39"/>
      <c r="S503" s="39"/>
      <c r="W503" t="s">
        <v>2022</v>
      </c>
      <c r="X503" t="s">
        <v>5240</v>
      </c>
    </row>
    <row r="504" spans="1:24" x14ac:dyDescent="0.2">
      <c r="A504" t="s">
        <v>7</v>
      </c>
      <c r="C504" s="64"/>
      <c r="D504" s="363"/>
      <c r="E504" s="64" t="s">
        <v>4805</v>
      </c>
      <c r="F504" s="64">
        <v>3.75</v>
      </c>
      <c r="G504" s="64" t="s">
        <v>2241</v>
      </c>
      <c r="H504" s="64"/>
      <c r="I504" s="64"/>
      <c r="J504" s="64"/>
      <c r="L504" s="65">
        <v>59.99</v>
      </c>
      <c r="M504" s="65">
        <f>Table13[[#This Row],[Price]]/Table13[[#This Row],[Area (ft2)]]</f>
        <v>15.997333333333334</v>
      </c>
      <c r="N504" s="65"/>
      <c r="P504" s="39"/>
      <c r="S504" s="39"/>
      <c r="W504" t="s">
        <v>2022</v>
      </c>
      <c r="X504" t="s">
        <v>5241</v>
      </c>
    </row>
    <row r="505" spans="1:24" x14ac:dyDescent="0.2">
      <c r="A505" t="s">
        <v>7</v>
      </c>
      <c r="C505" s="64"/>
      <c r="D505" s="363"/>
      <c r="E505" s="64" t="s">
        <v>4805</v>
      </c>
      <c r="F505" s="64">
        <v>3.75</v>
      </c>
      <c r="G505" s="64" t="s">
        <v>2214</v>
      </c>
      <c r="H505" s="64"/>
      <c r="I505" s="64"/>
      <c r="J505" s="64"/>
      <c r="L505" s="65">
        <v>59.99</v>
      </c>
      <c r="M505" s="65">
        <f>Table13[[#This Row],[Price]]/Table13[[#This Row],[Area (ft2)]]</f>
        <v>15.997333333333334</v>
      </c>
      <c r="N505" s="65"/>
      <c r="P505" s="39"/>
      <c r="S505" s="39"/>
      <c r="W505" t="s">
        <v>2022</v>
      </c>
      <c r="X505" t="s">
        <v>5242</v>
      </c>
    </row>
    <row r="506" spans="1:24" x14ac:dyDescent="0.2">
      <c r="A506" t="s">
        <v>7</v>
      </c>
      <c r="C506" s="64"/>
      <c r="D506" s="363"/>
      <c r="E506" s="64" t="s">
        <v>4805</v>
      </c>
      <c r="F506" s="64">
        <v>3.75</v>
      </c>
      <c r="G506" s="64" t="s">
        <v>1835</v>
      </c>
      <c r="H506" s="64"/>
      <c r="I506" s="64"/>
      <c r="J506" s="64"/>
      <c r="L506" s="65">
        <v>59.99</v>
      </c>
      <c r="M506" s="65">
        <f>Table13[[#This Row],[Price]]/Table13[[#This Row],[Area (ft2)]]</f>
        <v>15.997333333333334</v>
      </c>
      <c r="N506" s="65"/>
      <c r="P506" s="39"/>
      <c r="S506" s="39"/>
      <c r="W506" t="s">
        <v>2022</v>
      </c>
      <c r="X506" t="s">
        <v>5243</v>
      </c>
    </row>
    <row r="507" spans="1:24" x14ac:dyDescent="0.2">
      <c r="A507" t="s">
        <v>7</v>
      </c>
      <c r="C507" s="64"/>
      <c r="D507" s="363"/>
      <c r="E507" s="64" t="s">
        <v>5112</v>
      </c>
      <c r="F507" s="64">
        <v>4</v>
      </c>
      <c r="G507" s="64"/>
      <c r="H507" s="64"/>
      <c r="I507" s="64"/>
      <c r="J507" s="64">
        <v>25</v>
      </c>
      <c r="L507" s="65">
        <v>20.3</v>
      </c>
      <c r="M507" s="65">
        <f>Table13[[#This Row],[Price]]/Table13[[#This Row],[Area (ft2)]]</f>
        <v>5.0750000000000002</v>
      </c>
      <c r="N507" s="65">
        <f>Table13[[#This Row],[Price]]/Table13[[#This Row],[Weight]]</f>
        <v>0.81200000000000006</v>
      </c>
      <c r="P507" s="39"/>
      <c r="S507" s="39"/>
      <c r="W507" t="s">
        <v>99</v>
      </c>
      <c r="X507" s="4" t="s">
        <v>5244</v>
      </c>
    </row>
    <row r="508" spans="1:24" x14ac:dyDescent="0.2">
      <c r="A508" t="s">
        <v>7</v>
      </c>
      <c r="C508" s="64"/>
      <c r="D508" s="363"/>
      <c r="E508" s="64" t="s">
        <v>5112</v>
      </c>
      <c r="F508" s="64">
        <v>400</v>
      </c>
      <c r="G508" s="64"/>
      <c r="H508" s="64"/>
      <c r="I508" s="64"/>
      <c r="J508" s="64">
        <v>12</v>
      </c>
      <c r="L508" s="65">
        <v>38.85</v>
      </c>
      <c r="M508" s="65">
        <f>Table13[[#This Row],[Price]]/Table13[[#This Row],[Area (ft2)]]</f>
        <v>9.7125000000000003E-2</v>
      </c>
      <c r="N508" s="65">
        <f>Table13[[#This Row],[Price]]/Table13[[#This Row],[Weight]]</f>
        <v>3.2375000000000003</v>
      </c>
      <c r="P508" s="39"/>
      <c r="S508" s="39"/>
      <c r="W508" t="s">
        <v>99</v>
      </c>
      <c r="X508" s="4" t="s">
        <v>5245</v>
      </c>
    </row>
    <row r="509" spans="1:24" x14ac:dyDescent="0.2">
      <c r="A509" t="s">
        <v>7</v>
      </c>
      <c r="C509" s="64"/>
      <c r="D509" s="363"/>
      <c r="E509" s="64" t="s">
        <v>5112</v>
      </c>
      <c r="F509" s="64">
        <v>200</v>
      </c>
      <c r="G509" s="64"/>
      <c r="H509" s="64"/>
      <c r="I509" s="64"/>
      <c r="J509" s="64">
        <v>65</v>
      </c>
      <c r="L509" s="65">
        <v>62.87</v>
      </c>
      <c r="M509" s="65">
        <f>Table13[[#This Row],[Price]]/Table13[[#This Row],[Area (ft2)]]</f>
        <v>0.31434999999999996</v>
      </c>
      <c r="N509" s="65">
        <f>Table13[[#This Row],[Price]]/Table13[[#This Row],[Weight]]</f>
        <v>0.96723076923076923</v>
      </c>
      <c r="P509" s="39"/>
      <c r="S509" s="39"/>
      <c r="V509" t="s">
        <v>5247</v>
      </c>
      <c r="W509" t="s">
        <v>99</v>
      </c>
      <c r="X509" s="4" t="s">
        <v>5246</v>
      </c>
    </row>
    <row r="510" spans="1:24" x14ac:dyDescent="0.2">
      <c r="A510" t="s">
        <v>7</v>
      </c>
      <c r="C510" s="64"/>
      <c r="D510" s="363"/>
      <c r="E510" s="64" t="s">
        <v>5112</v>
      </c>
      <c r="F510" s="64">
        <v>11.5</v>
      </c>
      <c r="G510" s="64" t="s">
        <v>1835</v>
      </c>
      <c r="H510" s="64"/>
      <c r="I510" s="64"/>
      <c r="J510" s="64">
        <v>9</v>
      </c>
      <c r="L510" s="65">
        <v>25.51</v>
      </c>
      <c r="M510" s="65">
        <f>Table13[[#This Row],[Price]]/Table13[[#This Row],[Area (ft2)]]</f>
        <v>2.2182608695652175</v>
      </c>
      <c r="N510" s="65">
        <f>Table13[[#This Row],[Price]]/Table13[[#This Row],[Weight]]</f>
        <v>2.8344444444444448</v>
      </c>
      <c r="P510" s="39"/>
      <c r="S510" s="39"/>
      <c r="V510" t="s">
        <v>5250</v>
      </c>
      <c r="W510" t="s">
        <v>99</v>
      </c>
      <c r="X510" s="4" t="s">
        <v>5251</v>
      </c>
    </row>
    <row r="511" spans="1:24" x14ac:dyDescent="0.2">
      <c r="A511" t="s">
        <v>7</v>
      </c>
      <c r="C511" s="64"/>
      <c r="D511" s="363"/>
      <c r="E511" s="64" t="s">
        <v>5112</v>
      </c>
      <c r="F511" s="64">
        <v>11.5</v>
      </c>
      <c r="G511" s="64" t="s">
        <v>5254</v>
      </c>
      <c r="H511" s="64"/>
      <c r="I511" s="64"/>
      <c r="J511" s="64">
        <v>9</v>
      </c>
      <c r="L511" s="65">
        <v>24.57</v>
      </c>
      <c r="M511" s="65">
        <f>Table13[[#This Row],[Price]]/Table13[[#This Row],[Area (ft2)]]</f>
        <v>2.1365217391304347</v>
      </c>
      <c r="N511" s="65">
        <f>Table13[[#This Row],[Price]]/Table13[[#This Row],[Weight]]</f>
        <v>2.73</v>
      </c>
      <c r="P511" s="39"/>
      <c r="S511" s="39"/>
      <c r="V511" t="s">
        <v>5250</v>
      </c>
      <c r="W511" t="s">
        <v>99</v>
      </c>
      <c r="X511" s="4" t="s">
        <v>5252</v>
      </c>
    </row>
    <row r="512" spans="1:24" x14ac:dyDescent="0.2">
      <c r="A512" t="s">
        <v>7</v>
      </c>
      <c r="C512" s="64"/>
      <c r="D512" s="363"/>
      <c r="E512" s="64" t="s">
        <v>5112</v>
      </c>
      <c r="F512" s="64">
        <v>11.5</v>
      </c>
      <c r="G512" s="64" t="s">
        <v>5253</v>
      </c>
      <c r="H512" s="64"/>
      <c r="I512" s="64"/>
      <c r="J512" s="64">
        <v>9</v>
      </c>
      <c r="L512" s="65">
        <v>23.62</v>
      </c>
      <c r="M512" s="65">
        <f>Table13[[#This Row],[Price]]/Table13[[#This Row],[Area (ft2)]]</f>
        <v>2.0539130434782611</v>
      </c>
      <c r="N512" s="65">
        <f>Table13[[#This Row],[Price]]/Table13[[#This Row],[Weight]]</f>
        <v>2.6244444444444444</v>
      </c>
      <c r="P512" s="39"/>
      <c r="S512" s="39"/>
      <c r="V512" t="s">
        <v>5250</v>
      </c>
      <c r="W512" t="s">
        <v>99</v>
      </c>
      <c r="X512" s="4" t="s">
        <v>5252</v>
      </c>
    </row>
    <row r="513" spans="1:24" x14ac:dyDescent="0.2">
      <c r="A513" t="s">
        <v>7</v>
      </c>
      <c r="C513" s="64"/>
      <c r="D513" s="363"/>
      <c r="E513" s="64" t="s">
        <v>5112</v>
      </c>
      <c r="F513" s="64">
        <v>11.5</v>
      </c>
      <c r="G513" s="64" t="s">
        <v>5255</v>
      </c>
      <c r="H513" s="64"/>
      <c r="I513" s="64"/>
      <c r="J513" s="64">
        <v>9</v>
      </c>
      <c r="L513" s="65">
        <v>28.71</v>
      </c>
      <c r="M513" s="65">
        <f>Table13[[#This Row],[Price]]/Table13[[#This Row],[Area (ft2)]]</f>
        <v>2.4965217391304351</v>
      </c>
      <c r="N513" s="65">
        <f>Table13[[#This Row],[Price]]/Table13[[#This Row],[Weight]]</f>
        <v>3.19</v>
      </c>
      <c r="P513" s="39"/>
      <c r="S513" s="39"/>
      <c r="V513" t="s">
        <v>5250</v>
      </c>
      <c r="W513" t="s">
        <v>99</v>
      </c>
      <c r="X513" s="4" t="s">
        <v>5256</v>
      </c>
    </row>
    <row r="514" spans="1:24" x14ac:dyDescent="0.2">
      <c r="A514" t="s">
        <v>7</v>
      </c>
      <c r="C514" s="64"/>
      <c r="D514" s="363"/>
      <c r="E514" s="64" t="s">
        <v>5112</v>
      </c>
      <c r="F514" s="64">
        <v>11.5</v>
      </c>
      <c r="G514" s="64" t="s">
        <v>5257</v>
      </c>
      <c r="H514" s="64"/>
      <c r="I514" s="64"/>
      <c r="J514" s="64">
        <v>9</v>
      </c>
      <c r="L514" s="65">
        <v>24.77</v>
      </c>
      <c r="M514" s="65">
        <f>Table13[[#This Row],[Price]]/Table13[[#This Row],[Area (ft2)]]</f>
        <v>2.1539130434782607</v>
      </c>
      <c r="N514" s="65">
        <f>Table13[[#This Row],[Price]]/Table13[[#This Row],[Weight]]</f>
        <v>2.7522222222222221</v>
      </c>
      <c r="P514" s="39"/>
      <c r="S514" s="39"/>
      <c r="V514" t="s">
        <v>5250</v>
      </c>
      <c r="W514" t="s">
        <v>99</v>
      </c>
      <c r="X514" s="4" t="s">
        <v>5258</v>
      </c>
    </row>
    <row r="515" spans="1:24" x14ac:dyDescent="0.2">
      <c r="A515" t="s">
        <v>7</v>
      </c>
      <c r="C515" s="64"/>
      <c r="D515" s="363"/>
      <c r="E515" s="64" t="s">
        <v>5112</v>
      </c>
      <c r="F515" s="64">
        <v>11.5</v>
      </c>
      <c r="G515" s="64" t="s">
        <v>5260</v>
      </c>
      <c r="H515" s="64"/>
      <c r="I515" s="64"/>
      <c r="J515" s="64">
        <v>9</v>
      </c>
      <c r="L515" s="65">
        <v>27.14</v>
      </c>
      <c r="M515" s="65">
        <f>Table13[[#This Row],[Price]]/Table13[[#This Row],[Area (ft2)]]</f>
        <v>2.36</v>
      </c>
      <c r="N515" s="65">
        <f>Table13[[#This Row],[Price]]/Table13[[#This Row],[Weight]]</f>
        <v>3.0155555555555558</v>
      </c>
      <c r="P515" s="39"/>
      <c r="S515" s="39"/>
      <c r="V515" t="s">
        <v>5250</v>
      </c>
      <c r="W515" t="s">
        <v>99</v>
      </c>
      <c r="X515" t="s">
        <v>5259</v>
      </c>
    </row>
    <row r="516" spans="1:24" x14ac:dyDescent="0.2">
      <c r="A516" t="s">
        <v>7</v>
      </c>
      <c r="C516" s="64"/>
      <c r="D516" s="363"/>
      <c r="E516" s="64" t="s">
        <v>5112</v>
      </c>
      <c r="F516" s="64">
        <v>11.5</v>
      </c>
      <c r="G516" s="64" t="s">
        <v>5261</v>
      </c>
      <c r="H516" s="64"/>
      <c r="I516" s="64"/>
      <c r="J516" s="64">
        <v>9</v>
      </c>
      <c r="L516" s="65">
        <v>27.95</v>
      </c>
      <c r="M516" s="65">
        <f>Table13[[#This Row],[Price]]/Table13[[#This Row],[Area (ft2)]]</f>
        <v>2.4304347826086956</v>
      </c>
      <c r="N516" s="65">
        <f>Table13[[#This Row],[Price]]/Table13[[#This Row],[Weight]]</f>
        <v>3.1055555555555556</v>
      </c>
      <c r="P516" s="39"/>
      <c r="S516" s="39"/>
      <c r="V516" t="s">
        <v>5250</v>
      </c>
      <c r="W516" t="s">
        <v>99</v>
      </c>
      <c r="X516" t="s">
        <v>5263</v>
      </c>
    </row>
    <row r="517" spans="1:24" x14ac:dyDescent="0.2">
      <c r="A517" t="s">
        <v>7</v>
      </c>
      <c r="C517" s="64"/>
      <c r="D517" s="363"/>
      <c r="E517" s="64" t="s">
        <v>5112</v>
      </c>
      <c r="F517" s="64">
        <v>11.5</v>
      </c>
      <c r="G517" s="64" t="s">
        <v>5262</v>
      </c>
      <c r="H517" s="64"/>
      <c r="I517" s="64"/>
      <c r="J517" s="64">
        <v>9</v>
      </c>
      <c r="L517" s="65">
        <v>27.14</v>
      </c>
      <c r="M517" s="65">
        <f>Table13[[#This Row],[Price]]/Table13[[#This Row],[Area (ft2)]]</f>
        <v>2.36</v>
      </c>
      <c r="N517" s="65">
        <f>Table13[[#This Row],[Price]]/Table13[[#This Row],[Weight]]</f>
        <v>3.0155555555555558</v>
      </c>
      <c r="P517" s="39"/>
      <c r="S517" s="39"/>
      <c r="V517" t="s">
        <v>5250</v>
      </c>
      <c r="W517" t="s">
        <v>99</v>
      </c>
      <c r="X517" t="s">
        <v>5264</v>
      </c>
    </row>
    <row r="518" spans="1:24" x14ac:dyDescent="0.2">
      <c r="A518" t="s">
        <v>7</v>
      </c>
      <c r="C518" s="64"/>
      <c r="D518" s="363"/>
      <c r="E518" s="64" t="s">
        <v>5112</v>
      </c>
      <c r="F518" s="64">
        <v>11.5</v>
      </c>
      <c r="G518" s="64" t="s">
        <v>5265</v>
      </c>
      <c r="H518" s="64"/>
      <c r="I518" s="64"/>
      <c r="J518" s="64">
        <v>9</v>
      </c>
      <c r="L518" s="65">
        <v>24.83</v>
      </c>
      <c r="M518" s="65">
        <f>Table13[[#This Row],[Price]]/Table13[[#This Row],[Area (ft2)]]</f>
        <v>2.1591304347826084</v>
      </c>
      <c r="N518" s="65">
        <f>Table13[[#This Row],[Price]]/Table13[[#This Row],[Weight]]</f>
        <v>2.7588888888888885</v>
      </c>
      <c r="P518" s="39"/>
      <c r="S518" s="39"/>
      <c r="V518" t="s">
        <v>5250</v>
      </c>
      <c r="W518" t="s">
        <v>99</v>
      </c>
      <c r="X518" t="s">
        <v>5266</v>
      </c>
    </row>
    <row r="519" spans="1:24" x14ac:dyDescent="0.2">
      <c r="A519" t="s">
        <v>7</v>
      </c>
      <c r="C519" s="64"/>
      <c r="D519" s="363"/>
      <c r="E519" s="64" t="s">
        <v>5112</v>
      </c>
      <c r="F519" s="64">
        <v>11.5</v>
      </c>
      <c r="G519" s="64" t="s">
        <v>5268</v>
      </c>
      <c r="H519" s="64"/>
      <c r="I519" s="64"/>
      <c r="J519" s="64">
        <v>9</v>
      </c>
      <c r="L519" s="65">
        <v>27.14</v>
      </c>
      <c r="M519" s="65">
        <f>Table13[[#This Row],[Price]]/Table13[[#This Row],[Area (ft2)]]</f>
        <v>2.36</v>
      </c>
      <c r="N519" s="65">
        <f>Table13[[#This Row],[Price]]/Table13[[#This Row],[Weight]]</f>
        <v>3.0155555555555558</v>
      </c>
      <c r="P519" s="39"/>
      <c r="S519" s="39"/>
      <c r="V519" t="s">
        <v>5250</v>
      </c>
      <c r="W519" t="s">
        <v>99</v>
      </c>
      <c r="X519" t="s">
        <v>5267</v>
      </c>
    </row>
    <row r="520" spans="1:24" x14ac:dyDescent="0.2">
      <c r="A520" t="s">
        <v>7</v>
      </c>
      <c r="C520" s="64"/>
      <c r="D520" s="363"/>
      <c r="E520" s="64" t="s">
        <v>5112</v>
      </c>
      <c r="F520" s="64">
        <v>11.5</v>
      </c>
      <c r="G520" s="64" t="s">
        <v>5269</v>
      </c>
      <c r="H520" s="64"/>
      <c r="I520" s="64"/>
      <c r="J520" s="64">
        <v>9</v>
      </c>
      <c r="L520" s="65">
        <v>28.72</v>
      </c>
      <c r="M520" s="65">
        <f>Table13[[#This Row],[Price]]/Table13[[#This Row],[Area (ft2)]]</f>
        <v>2.497391304347826</v>
      </c>
      <c r="N520" s="65">
        <f>Table13[[#This Row],[Price]]/Table13[[#This Row],[Weight]]</f>
        <v>3.1911111111111108</v>
      </c>
      <c r="P520" s="39"/>
      <c r="S520" s="39"/>
      <c r="V520" t="s">
        <v>5250</v>
      </c>
      <c r="W520" t="s">
        <v>99</v>
      </c>
      <c r="X520" t="s">
        <v>5270</v>
      </c>
    </row>
    <row r="521" spans="1:24" x14ac:dyDescent="0.2">
      <c r="A521" t="s">
        <v>7</v>
      </c>
      <c r="C521" s="64"/>
      <c r="D521" s="363"/>
      <c r="E521" s="64" t="s">
        <v>5112</v>
      </c>
      <c r="F521" s="64">
        <v>11.5</v>
      </c>
      <c r="G521" s="64" t="s">
        <v>2191</v>
      </c>
      <c r="H521" s="64"/>
      <c r="I521" s="64"/>
      <c r="J521" s="64">
        <v>9</v>
      </c>
      <c r="L521" s="65">
        <v>25.51</v>
      </c>
      <c r="M521" s="65">
        <f>Table13[[#This Row],[Price]]/Table13[[#This Row],[Area (ft2)]]</f>
        <v>2.2182608695652175</v>
      </c>
      <c r="N521" s="65">
        <f>Table13[[#This Row],[Price]]/Table13[[#This Row],[Weight]]</f>
        <v>2.8344444444444448</v>
      </c>
      <c r="P521" s="39"/>
      <c r="S521" s="39"/>
      <c r="V521" t="s">
        <v>5250</v>
      </c>
      <c r="W521" t="s">
        <v>99</v>
      </c>
      <c r="X521" t="s">
        <v>5271</v>
      </c>
    </row>
    <row r="522" spans="1:24" x14ac:dyDescent="0.2">
      <c r="A522" t="s">
        <v>7</v>
      </c>
      <c r="C522" s="64"/>
      <c r="D522" s="363"/>
      <c r="E522" s="64" t="s">
        <v>5112</v>
      </c>
      <c r="F522" s="64">
        <v>11.5</v>
      </c>
      <c r="G522" s="64" t="s">
        <v>5274</v>
      </c>
      <c r="H522" s="64"/>
      <c r="I522" s="64"/>
      <c r="J522" s="64">
        <v>9</v>
      </c>
      <c r="L522" s="65">
        <v>27.95</v>
      </c>
      <c r="M522" s="65">
        <f>Table13[[#This Row],[Price]]/Table13[[#This Row],[Area (ft2)]]</f>
        <v>2.4304347826086956</v>
      </c>
      <c r="N522" s="65">
        <f>Table13[[#This Row],[Price]]/Table13[[#This Row],[Weight]]</f>
        <v>3.1055555555555556</v>
      </c>
      <c r="P522" s="39"/>
      <c r="S522" s="39"/>
      <c r="V522" t="s">
        <v>5250</v>
      </c>
      <c r="W522" t="s">
        <v>99</v>
      </c>
      <c r="X522" t="s">
        <v>5272</v>
      </c>
    </row>
    <row r="523" spans="1:24" x14ac:dyDescent="0.2">
      <c r="A523" t="s">
        <v>7</v>
      </c>
      <c r="C523" s="64"/>
      <c r="D523" s="363"/>
      <c r="E523" s="64" t="s">
        <v>5112</v>
      </c>
      <c r="F523" s="64">
        <v>11.5</v>
      </c>
      <c r="G523" s="64" t="s">
        <v>5275</v>
      </c>
      <c r="H523" s="64"/>
      <c r="I523" s="64"/>
      <c r="J523" s="64">
        <v>9</v>
      </c>
      <c r="L523" s="65">
        <v>26.28</v>
      </c>
      <c r="M523" s="65">
        <f>Table13[[#This Row],[Price]]/Table13[[#This Row],[Area (ft2)]]</f>
        <v>2.2852173913043479</v>
      </c>
      <c r="N523" s="65">
        <f>Table13[[#This Row],[Price]]/Table13[[#This Row],[Weight]]</f>
        <v>2.92</v>
      </c>
      <c r="P523" s="39"/>
      <c r="S523" s="39"/>
      <c r="V523" t="s">
        <v>5250</v>
      </c>
      <c r="W523" t="s">
        <v>99</v>
      </c>
      <c r="X523" t="s">
        <v>5273</v>
      </c>
    </row>
    <row r="524" spans="1:24" x14ac:dyDescent="0.2">
      <c r="A524" t="s">
        <v>7</v>
      </c>
      <c r="C524" s="64"/>
      <c r="D524" s="363"/>
      <c r="E524" s="64" t="s">
        <v>5112</v>
      </c>
      <c r="F524" s="64">
        <v>11.5</v>
      </c>
      <c r="G524" s="64" t="s">
        <v>5276</v>
      </c>
      <c r="H524" s="64"/>
      <c r="I524" s="64"/>
      <c r="J524" s="64">
        <v>9</v>
      </c>
      <c r="L524" s="65">
        <v>26.28</v>
      </c>
      <c r="M524" s="65">
        <f>Table13[[#This Row],[Price]]/Table13[[#This Row],[Area (ft2)]]</f>
        <v>2.2852173913043479</v>
      </c>
      <c r="N524" s="65">
        <f>Table13[[#This Row],[Price]]/Table13[[#This Row],[Weight]]</f>
        <v>2.92</v>
      </c>
      <c r="P524" s="39"/>
      <c r="S524" s="39"/>
      <c r="V524" t="s">
        <v>5250</v>
      </c>
      <c r="W524" t="s">
        <v>99</v>
      </c>
      <c r="X524" t="s">
        <v>5279</v>
      </c>
    </row>
    <row r="525" spans="1:24" x14ac:dyDescent="0.2">
      <c r="A525" t="s">
        <v>7</v>
      </c>
      <c r="C525" s="64"/>
      <c r="D525" s="363"/>
      <c r="E525" s="64" t="s">
        <v>5112</v>
      </c>
      <c r="F525" s="64">
        <v>11.5</v>
      </c>
      <c r="G525" s="64" t="s">
        <v>5209</v>
      </c>
      <c r="H525" s="64"/>
      <c r="I525" s="64"/>
      <c r="J525" s="64">
        <v>9</v>
      </c>
      <c r="L525" s="65">
        <v>25.28</v>
      </c>
      <c r="M525" s="65">
        <f>Table13[[#This Row],[Price]]/Table13[[#This Row],[Area (ft2)]]</f>
        <v>2.1982608695652175</v>
      </c>
      <c r="N525" s="65">
        <f>Table13[[#This Row],[Price]]/Table13[[#This Row],[Weight]]</f>
        <v>2.8088888888888892</v>
      </c>
      <c r="P525" s="39"/>
      <c r="S525" s="39"/>
      <c r="V525" t="s">
        <v>5250</v>
      </c>
      <c r="W525" t="s">
        <v>99</v>
      </c>
      <c r="X525" t="s">
        <v>5280</v>
      </c>
    </row>
    <row r="526" spans="1:24" x14ac:dyDescent="0.2">
      <c r="A526" t="s">
        <v>7</v>
      </c>
      <c r="C526" s="64"/>
      <c r="D526" s="363"/>
      <c r="E526" s="64" t="s">
        <v>5112</v>
      </c>
      <c r="F526" s="64">
        <v>11.5</v>
      </c>
      <c r="G526" s="64" t="s">
        <v>5277</v>
      </c>
      <c r="H526" s="64"/>
      <c r="I526" s="64"/>
      <c r="J526" s="64">
        <v>9</v>
      </c>
      <c r="L526" s="65">
        <v>24.97</v>
      </c>
      <c r="M526" s="65">
        <f>Table13[[#This Row],[Price]]/Table13[[#This Row],[Area (ft2)]]</f>
        <v>2.1713043478260867</v>
      </c>
      <c r="N526" s="65">
        <f>Table13[[#This Row],[Price]]/Table13[[#This Row],[Weight]]</f>
        <v>2.7744444444444443</v>
      </c>
      <c r="P526" s="39"/>
      <c r="S526" s="39"/>
      <c r="V526" t="s">
        <v>5250</v>
      </c>
      <c r="W526" t="s">
        <v>99</v>
      </c>
      <c r="X526" t="s">
        <v>5281</v>
      </c>
    </row>
    <row r="527" spans="1:24" x14ac:dyDescent="0.2">
      <c r="A527" t="s">
        <v>7</v>
      </c>
      <c r="C527" s="64"/>
      <c r="D527" s="363"/>
      <c r="E527" s="64" t="s">
        <v>5112</v>
      </c>
      <c r="F527" s="64">
        <v>11.5</v>
      </c>
      <c r="G527" s="64" t="s">
        <v>5278</v>
      </c>
      <c r="H527" s="64"/>
      <c r="I527" s="64"/>
      <c r="J527" s="64">
        <v>9</v>
      </c>
      <c r="L527" s="65">
        <v>24.57</v>
      </c>
      <c r="M527" s="65">
        <f>Table13[[#This Row],[Price]]/Table13[[#This Row],[Area (ft2)]]</f>
        <v>2.1365217391304347</v>
      </c>
      <c r="N527" s="65">
        <f>Table13[[#This Row],[Price]]/Table13[[#This Row],[Weight]]</f>
        <v>2.73</v>
      </c>
      <c r="P527" s="39"/>
      <c r="S527" s="39"/>
      <c r="V527" t="s">
        <v>5250</v>
      </c>
      <c r="W527" t="s">
        <v>99</v>
      </c>
      <c r="X527" t="s">
        <v>5282</v>
      </c>
    </row>
    <row r="528" spans="1:24" x14ac:dyDescent="0.2">
      <c r="A528" t="s">
        <v>7</v>
      </c>
      <c r="C528" s="64"/>
      <c r="D528" s="363"/>
      <c r="E528" s="64" t="s">
        <v>5112</v>
      </c>
      <c r="F528" s="64">
        <v>11.5</v>
      </c>
      <c r="G528" s="64" t="s">
        <v>5283</v>
      </c>
      <c r="H528" s="64"/>
      <c r="I528" s="64"/>
      <c r="J528" s="64">
        <v>9</v>
      </c>
      <c r="L528" s="65">
        <v>24.57</v>
      </c>
      <c r="M528" s="65">
        <f>Table13[[#This Row],[Price]]/Table13[[#This Row],[Area (ft2)]]</f>
        <v>2.1365217391304347</v>
      </c>
      <c r="N528" s="65">
        <f>Table13[[#This Row],[Price]]/Table13[[#This Row],[Weight]]</f>
        <v>2.73</v>
      </c>
      <c r="P528" s="39"/>
      <c r="S528" s="39"/>
      <c r="V528" t="s">
        <v>5250</v>
      </c>
      <c r="W528" t="s">
        <v>99</v>
      </c>
      <c r="X528" t="s">
        <v>5293</v>
      </c>
    </row>
    <row r="529" spans="1:24" x14ac:dyDescent="0.2">
      <c r="A529" t="s">
        <v>7</v>
      </c>
      <c r="C529" s="64"/>
      <c r="D529" s="363"/>
      <c r="E529" s="64" t="s">
        <v>5112</v>
      </c>
      <c r="F529" s="64">
        <v>11.5</v>
      </c>
      <c r="G529" s="64" t="s">
        <v>2185</v>
      </c>
      <c r="H529" s="64"/>
      <c r="I529" s="64"/>
      <c r="J529" s="64">
        <v>9</v>
      </c>
      <c r="L529" s="65">
        <v>35.409999999999997</v>
      </c>
      <c r="M529" s="65">
        <f>Table13[[#This Row],[Price]]/Table13[[#This Row],[Area (ft2)]]</f>
        <v>3.0791304347826083</v>
      </c>
      <c r="N529" s="65">
        <f>Table13[[#This Row],[Price]]/Table13[[#This Row],[Weight]]</f>
        <v>3.934444444444444</v>
      </c>
      <c r="P529" s="39"/>
      <c r="S529" s="39"/>
      <c r="V529" t="s">
        <v>5250</v>
      </c>
      <c r="W529" t="s">
        <v>99</v>
      </c>
      <c r="X529" t="s">
        <v>5292</v>
      </c>
    </row>
    <row r="530" spans="1:24" x14ac:dyDescent="0.2">
      <c r="A530" t="s">
        <v>7</v>
      </c>
      <c r="C530" s="64"/>
      <c r="D530" s="363"/>
      <c r="E530" s="64" t="s">
        <v>5112</v>
      </c>
      <c r="F530" s="64">
        <v>11.5</v>
      </c>
      <c r="G530" s="64" t="s">
        <v>5284</v>
      </c>
      <c r="H530" s="64"/>
      <c r="I530" s="64"/>
      <c r="J530" s="64">
        <v>9</v>
      </c>
      <c r="L530" s="65">
        <v>25.8</v>
      </c>
      <c r="M530" s="65">
        <f>Table13[[#This Row],[Price]]/Table13[[#This Row],[Area (ft2)]]</f>
        <v>2.2434782608695651</v>
      </c>
      <c r="N530" s="65">
        <f>Table13[[#This Row],[Price]]/Table13[[#This Row],[Weight]]</f>
        <v>2.8666666666666667</v>
      </c>
      <c r="P530" s="39"/>
      <c r="S530" s="39"/>
      <c r="V530" t="s">
        <v>5250</v>
      </c>
      <c r="W530" t="s">
        <v>99</v>
      </c>
      <c r="X530" t="s">
        <v>5291</v>
      </c>
    </row>
    <row r="531" spans="1:24" x14ac:dyDescent="0.2">
      <c r="A531" t="s">
        <v>7</v>
      </c>
      <c r="C531" s="64"/>
      <c r="D531" s="363"/>
      <c r="E531" s="64" t="s">
        <v>5112</v>
      </c>
      <c r="F531" s="64">
        <v>11.5</v>
      </c>
      <c r="G531" s="64" t="s">
        <v>5285</v>
      </c>
      <c r="H531" s="64"/>
      <c r="I531" s="64"/>
      <c r="J531" s="64">
        <v>9</v>
      </c>
      <c r="L531" s="65">
        <v>24.67</v>
      </c>
      <c r="M531" s="65">
        <f>Table13[[#This Row],[Price]]/Table13[[#This Row],[Area (ft2)]]</f>
        <v>2.1452173913043482</v>
      </c>
      <c r="N531" s="65">
        <f>Table13[[#This Row],[Price]]/Table13[[#This Row],[Weight]]</f>
        <v>2.7411111111111115</v>
      </c>
      <c r="P531" s="39"/>
      <c r="S531" s="39"/>
      <c r="V531" t="s">
        <v>5250</v>
      </c>
      <c r="W531" t="s">
        <v>99</v>
      </c>
      <c r="X531" t="s">
        <v>5290</v>
      </c>
    </row>
    <row r="532" spans="1:24" x14ac:dyDescent="0.2">
      <c r="A532" t="s">
        <v>7</v>
      </c>
      <c r="C532" s="64"/>
      <c r="D532" s="363"/>
      <c r="E532" s="64" t="s">
        <v>5112</v>
      </c>
      <c r="F532" s="64">
        <v>11.5</v>
      </c>
      <c r="G532" s="64" t="s">
        <v>5286</v>
      </c>
      <c r="H532" s="64"/>
      <c r="I532" s="64"/>
      <c r="J532" s="64">
        <v>9</v>
      </c>
      <c r="L532" s="65">
        <v>27.95</v>
      </c>
      <c r="M532" s="65">
        <f>Table13[[#This Row],[Price]]/Table13[[#This Row],[Area (ft2)]]</f>
        <v>2.4304347826086956</v>
      </c>
      <c r="N532" s="65">
        <f>Table13[[#This Row],[Price]]/Table13[[#This Row],[Weight]]</f>
        <v>3.1055555555555556</v>
      </c>
      <c r="P532" s="39"/>
      <c r="S532" s="39"/>
      <c r="V532" t="s">
        <v>5250</v>
      </c>
      <c r="W532" t="s">
        <v>99</v>
      </c>
      <c r="X532" t="s">
        <v>5289</v>
      </c>
    </row>
    <row r="533" spans="1:24" x14ac:dyDescent="0.2">
      <c r="A533" t="s">
        <v>7</v>
      </c>
      <c r="C533" s="64"/>
      <c r="D533" s="363"/>
      <c r="E533" s="64" t="s">
        <v>5112</v>
      </c>
      <c r="F533" s="64">
        <v>11.5</v>
      </c>
      <c r="G533" s="64" t="s">
        <v>5287</v>
      </c>
      <c r="H533" s="64"/>
      <c r="I533" s="64"/>
      <c r="J533" s="64">
        <v>9</v>
      </c>
      <c r="L533" s="65">
        <v>25.63</v>
      </c>
      <c r="M533" s="65">
        <f>Table13[[#This Row],[Price]]/Table13[[#This Row],[Area (ft2)]]</f>
        <v>2.2286956521739127</v>
      </c>
      <c r="N533" s="65">
        <f>Table13[[#This Row],[Price]]/Table13[[#This Row],[Weight]]</f>
        <v>2.8477777777777775</v>
      </c>
      <c r="P533" s="39"/>
      <c r="S533" s="39"/>
      <c r="V533" t="s">
        <v>5250</v>
      </c>
      <c r="W533" t="s">
        <v>99</v>
      </c>
      <c r="X533" t="s">
        <v>5288</v>
      </c>
    </row>
    <row r="539" spans="1:24" x14ac:dyDescent="0.2">
      <c r="M539"/>
    </row>
  </sheetData>
  <mergeCells count="1">
    <mergeCell ref="AG2:AH2"/>
  </mergeCells>
  <hyperlinks>
    <hyperlink ref="A1" location="'Table of Contents'!A1" display="Table of Contents" xr:uid="{4BD37021-D642-4734-ADBA-DFC93C44D0E2}"/>
    <hyperlink ref="X19" r:id="rId1" xr:uid="{DB20A801-5540-4079-8526-BB28337E643F}"/>
    <hyperlink ref="X476" r:id="rId2" display="https://www.homedepot.com/p/Koni-Brick-Old-Chicago-Blanc-8-20-in-x-2-50-in-Thin-Brick-10-76-sq-ft-Flats-Manufactured-Stone-Siding-KBFT-214BLC/207188986" xr:uid="{EDC672FF-093C-490A-95AB-B880951AE601}"/>
    <hyperlink ref="X477" r:id="rId3" display="https://www.homedepot.com/p/Koni-Brick-Old-Chicago-Cafe-8-20-in-x-2-50-in-Thin-Brick-10-76-sq-ft-Flats-Manufactured-Stone-Siding-KBFT-449CAFE/311860325" xr:uid="{B8487B40-A2DC-498E-A2DB-474133AE2A58}"/>
    <hyperlink ref="X478" r:id="rId4" display="https://www.homedepot.com/b/Building-Materials-Siding-Brick-Veneer-Siding/N-5yc1vZ2fkpaoy" xr:uid="{CC8817BF-3280-4D9C-B538-FD845931E1A7}"/>
    <hyperlink ref="X482" r:id="rId5" display="https://www.homedepot.com/p/Urestone-Old-Town-24-in-x-46-3-8-in-Faux-Used-Brick-Panel-4-Pack-ul2600pk-70/206677842" xr:uid="{C23ECB1C-9090-4480-A019-9105379B1220}"/>
    <hyperlink ref="X488" r:id="rId6" display="https://www.lowes.com/pd/Old-Mill-Thin-Brick-Systems-Colonial-2-25-in-x-7-625-in-Boston-Mill-Brick-Veneer-Individual-Piece-7-3-Sq-ft/5013975961" xr:uid="{A60F1DA9-218C-41BD-9D32-0A7F17A75209}"/>
    <hyperlink ref="X489" r:id="rId7" display="https://www.lowes.com/pd/Old-Mill-Thin-Brick-Systems-Colonial-2-25-in-x-7-625-in-Castle-Gate-Brick-Veneer-Individual-Piece-7-3-Sq-ft/5013975937" xr:uid="{13F9CDC1-55AD-4C45-BE97-AC7154A6A012}"/>
    <hyperlink ref="X490" r:id="rId8" display="https://www.lowes.com/pd/Old-Mill-Thin-Brick-Systems-Brickweb-Boston-Mill-10-5-in-x-28-in-Panel-Brick-Veneer/3736449" xr:uid="{5749ACC3-DD31-4DFC-A220-199BF9007CCF}"/>
    <hyperlink ref="X491" r:id="rId9" display="https://www.lowes.com/pd/Old-Mill-Thin-Brick-Systems-Brickweb-Rushmore-10-5-in-x-28-in-Panel-Brick-Veneer/3736471" xr:uid="{00280696-A563-40E7-A708-17C630DE4DF1}"/>
    <hyperlink ref="X492" r:id="rId10" display="https://www.lowes.com/pd/Old-Mill-Thin-Brick-Systems-Colonial-2-25-in-x-7-625-in-Rushmore-Brick-Veneer-Individual-Piece-7-3-Sq-ft/5013975919" xr:uid="{23DEBE35-CB83-4E1B-9E9B-08729060AB69}"/>
    <hyperlink ref="X493" r:id="rId11" display="https://www.lowes.com/pd/Old-Mill-Thin-Brick-Systems-Brickweb-Columbia-Street-10-5-in-x-28-in-Panel-Brick-Veneer/3736445" xr:uid="{86622F86-1FBF-4D16-B2CC-C0167AF9F1EB}"/>
    <hyperlink ref="X494" r:id="rId12" display="https://www.lowes.com/pd/Z-Brick-Americana-Liberty-Gray-2-3-in-x-8-in-Individual-Piece-Brick-Veneer/50065361" xr:uid="{212A3A32-C8C6-4E7A-B949-A1A33BBD73C6}"/>
    <hyperlink ref="X495" r:id="rId13" display="https://www.lowes.com/pl/Brick-veneer-siding-Siding-stone-veneer-Building-supplies/4294684428" xr:uid="{6A1E28C3-A1D6-4B47-889B-D12BFB325963}"/>
    <hyperlink ref="X496" r:id="rId14" display="https://www.lowes.com/pd/Z-Brick-INCA-Old-Chicago-2-3-in-x-8-in-Individual-Piece-Brick-Veneer/50065355" xr:uid="{564591C7-9D63-429F-9ACF-46D81A53093D}"/>
    <hyperlink ref="X497" r:id="rId15" display="https://www.lowes.com/pl/Brick-veneer-siding-Siding-stone-veneer-Building-supplies/4294684428?offset=24" xr:uid="{9A967384-3ACE-43B7-B97E-1F44B6F258B0}"/>
    <hyperlink ref="X484" r:id="rId16" display="https://www.homedepot.com/p/GenStone-Classic-Brick-22-1-2-in-x-22-1-4-in-Veneer-Siding-Full-Panel-EACHP/309750243" xr:uid="{DC3FE2D4-EF16-4A0B-947E-DF01641D7EA2}"/>
    <hyperlink ref="X485" r:id="rId17" display="https://www.homedepot.com/p/GenStone-Chicago-Brick-22-5-in-x-22-5-in-Brick-Veneer-Siding-Full-Panel-EACBHP/309651477" xr:uid="{5B6BAD31-F7BC-47AE-B5C9-94EE24468BA3}"/>
    <hyperlink ref="X486" r:id="rId18" display="https://www.homedepot.com/p/GenStone-Chicago-Brick-22-5-in-x-11-75-in-Brick-Veneer-Siding-Half-Panel-EACBQP/309651479" xr:uid="{B23F79D2-07BF-4DD5-8061-897157D776FB}"/>
    <hyperlink ref="X498" r:id="rId19" display="https://www.menards.com/main/building-materials/siding/stone-veneer-panels-siding/z-brick-reg-brick-veneer-3-5-sq-ft/5411050/p-1444448134395-c-19691.htm?tid=b92bc3aa-254e-42cc-9024-365bde9709c8&amp;ipos=1&amp;exp=false" xr:uid="{0B871FC6-F34C-4283-9CBE-BF7EDCA10AB2}"/>
    <hyperlink ref="X499" r:id="rId20" display="https://www.menards.com/main/building-materials/siding/stone-veneer-panels-siding/flexebrick-flat-brick-veneer-11-sq-ft/n-48-sw-nf/p-4364363666235024-c-19691.htm?tid=a892ef63-bcd4-43fb-b558-e9228fd511da&amp;ipos=3&amp;exp=false" xr:uid="{0C54FF5E-F9B2-42EA-A2BA-0F499B72AD6C}"/>
    <hyperlink ref="X500" r:id="rId21" display="https://www.menards.com/main/building-materials/siding/stone-veneer-panels-siding/nichiha-vintagebrick-trade-siding-wall-panel-9-sq-ft/ed451/p-1444449349711-c-19691.htm" xr:uid="{8100F1EC-6627-435F-A9B5-EBA35F2CDDAE}"/>
    <hyperlink ref="X501" r:id="rId22" display="https://www.menards.com/main/building-materials/siding/stone-veneer-panels-siding/z-brick-reg-brick-veneer-3-5-sq-ft/5411105/p-1444448133525-c-19691.htm" xr:uid="{1AFBF083-4C64-47D0-9D9B-5BA7FA46BF87}"/>
    <hyperlink ref="X507" r:id="rId23" display="https://www.homedepot.com/p/Rapid-Set-25-lbs-Stucco-Patch-71020025/203110401" xr:uid="{36B12F27-C2E4-4997-BD13-F1A04FC76244}"/>
    <hyperlink ref="X508" r:id="rId24" display="https://www.homedepot.com/p/LaHabra-Allegro-II-12-lb-Stucco-Base-1020/204114439" xr:uid="{423221E2-CB90-49E4-89E9-DE5516F08D66}"/>
    <hyperlink ref="X509" r:id="rId25" display="https://www.homedepot.com/p/LaHabra-Perma-Flex-65-lb-Fine-Stucco-Grade-Acrylic-Finish-1196/203009615" xr:uid="{F0003063-165A-4591-B27D-6B013E7EA2AA}"/>
    <hyperlink ref="X510" r:id="rId26" display="https://www.homedepot.com/p/LaHabra-9-lb-Exterior-Stucco-Color-Patch-50-Crystal-White-3324-00050/205128702" xr:uid="{FB09DE65-92CA-45A0-A9FD-CA616294593C}"/>
    <hyperlink ref="X511" r:id="rId27" display="https://www.homedepot.com/p/LaHabra-9-lb-Exterior-Stucco-Color-Patch-97-Pacific-Sand-3324-00097/205128835" xr:uid="{3C2C25A1-0EF0-4B20-81D3-9920485C57C6}"/>
    <hyperlink ref="X512" r:id="rId28" display="https://www.homedepot.com/p/LaHabra-9-lb-Exterior-Stucco-Color-Patch-97-Pacific-Sand-3324-00097/205128835" xr:uid="{575BC5D6-6BF2-42B5-A0BF-F840AE07E6CD}"/>
    <hyperlink ref="X513" r:id="rId29" display="https://www.homedepot.com/p/LaHabra-9-lbs-Exterior-Stucco-Color-Patch-24-Santa-Fe-3324-00024/205128668" xr:uid="{7320F2CF-4781-4AB9-A404-DCB5334CF451}"/>
    <hyperlink ref="X514" r:id="rId30" display="https://www.homedepot.com/p/LaHabra-9-lb-Exterior-Stucco-Color-Patch-504-Blue-Grey-3324-00504/205128910" xr:uid="{75A373D6-668D-4169-8A42-565C76E9A982}"/>
  </hyperlinks>
  <pageMargins left="0.7" right="0.7" top="0.75" bottom="0.75" header="0.3" footer="0.3"/>
  <legacyDrawing r:id="rId31"/>
  <tableParts count="1">
    <tablePart r:id="rId3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3F56C-945B-4305-AAC0-D0C04395206D}">
  <dimension ref="A1:AC72"/>
  <sheetViews>
    <sheetView showGridLines="0" topLeftCell="J1" workbookViewId="0">
      <selection activeCell="T30" sqref="T30"/>
    </sheetView>
  </sheetViews>
  <sheetFormatPr baseColWidth="10" defaultColWidth="8.83203125" defaultRowHeight="15" x14ac:dyDescent="0.2"/>
  <cols>
    <col min="1" max="1" width="18.33203125" customWidth="1"/>
    <col min="2" max="2" width="11.5" bestFit="1" customWidth="1"/>
    <col min="3" max="3" width="11.5" customWidth="1"/>
    <col min="4" max="4" width="15.33203125" customWidth="1"/>
    <col min="5" max="6" width="14.5" bestFit="1" customWidth="1"/>
    <col min="7" max="7" width="15.6640625" customWidth="1"/>
    <col min="8" max="8" width="6.5" bestFit="1" customWidth="1"/>
    <col min="10" max="10" width="12" bestFit="1" customWidth="1"/>
    <col min="11" max="11" width="12.33203125" bestFit="1" customWidth="1"/>
    <col min="12" max="13" width="14.5" bestFit="1" customWidth="1"/>
    <col min="14" max="14" width="15" bestFit="1" customWidth="1"/>
    <col min="17" max="17" width="12" bestFit="1" customWidth="1"/>
    <col min="18" max="18" width="12.33203125" bestFit="1" customWidth="1"/>
    <col min="19" max="19" width="12.5" customWidth="1"/>
    <col min="20" max="20" width="11.33203125" customWidth="1"/>
    <col min="21" max="21" width="16.33203125" bestFit="1" customWidth="1"/>
    <col min="22" max="22" width="16.5" bestFit="1" customWidth="1"/>
    <col min="23" max="23" width="17" bestFit="1" customWidth="1"/>
    <col min="24" max="24" width="7.6640625" bestFit="1" customWidth="1"/>
    <col min="25" max="25" width="8.5" bestFit="1" customWidth="1"/>
    <col min="26" max="26" width="27.6640625" bestFit="1" customWidth="1"/>
    <col min="27" max="27" width="12.33203125" bestFit="1" customWidth="1"/>
    <col min="28" max="28" width="16.5" bestFit="1" customWidth="1"/>
    <col min="29" max="29" width="6.33203125" bestFit="1" customWidth="1"/>
    <col min="30" max="30" width="15.5" bestFit="1" customWidth="1"/>
  </cols>
  <sheetData>
    <row r="1" spans="1:29" x14ac:dyDescent="0.2">
      <c r="A1" s="4" t="s">
        <v>21</v>
      </c>
    </row>
    <row r="2" spans="1:29" ht="16" thickBot="1" x14ac:dyDescent="0.25">
      <c r="A2" s="41" t="s">
        <v>342</v>
      </c>
    </row>
    <row r="3" spans="1:29" x14ac:dyDescent="0.2">
      <c r="A3" s="434" t="s">
        <v>343</v>
      </c>
      <c r="B3" s="435"/>
      <c r="C3" s="436"/>
      <c r="D3" s="437" t="s">
        <v>344</v>
      </c>
      <c r="E3" s="437"/>
      <c r="F3" s="437"/>
      <c r="G3" s="437"/>
      <c r="H3" s="437"/>
      <c r="I3" s="437"/>
      <c r="J3" s="438"/>
      <c r="K3" s="439" t="s">
        <v>345</v>
      </c>
      <c r="L3" s="440"/>
      <c r="M3" s="440"/>
      <c r="N3" s="440"/>
      <c r="O3" s="440"/>
      <c r="P3" s="440"/>
      <c r="Q3" s="441"/>
      <c r="R3" s="442" t="s">
        <v>346</v>
      </c>
      <c r="S3" s="443"/>
      <c r="T3" s="448"/>
      <c r="U3" s="430" t="s">
        <v>4571</v>
      </c>
      <c r="V3" s="444"/>
      <c r="W3" s="430" t="s">
        <v>4572</v>
      </c>
      <c r="X3" s="430"/>
      <c r="Y3" s="417" t="s">
        <v>347</v>
      </c>
      <c r="Z3" s="418"/>
      <c r="AA3" s="418"/>
      <c r="AB3" s="418"/>
      <c r="AC3" s="447"/>
    </row>
    <row r="4" spans="1:29" ht="16" thickBot="1" x14ac:dyDescent="0.25">
      <c r="A4" s="106" t="s">
        <v>0</v>
      </c>
      <c r="B4" s="107" t="s">
        <v>348</v>
      </c>
      <c r="C4" s="108" t="s">
        <v>349</v>
      </c>
      <c r="D4" s="109" t="s">
        <v>350</v>
      </c>
      <c r="E4" s="110" t="s">
        <v>351</v>
      </c>
      <c r="F4" s="110" t="s">
        <v>352</v>
      </c>
      <c r="G4" s="110" t="s">
        <v>353</v>
      </c>
      <c r="H4" s="110" t="s">
        <v>354</v>
      </c>
      <c r="I4" s="110" t="s">
        <v>355</v>
      </c>
      <c r="J4" s="110" t="s">
        <v>356</v>
      </c>
      <c r="K4" s="111" t="s">
        <v>350</v>
      </c>
      <c r="L4" s="112" t="s">
        <v>351</v>
      </c>
      <c r="M4" s="112" t="s">
        <v>352</v>
      </c>
      <c r="N4" s="112" t="s">
        <v>353</v>
      </c>
      <c r="O4" s="112" t="s">
        <v>354</v>
      </c>
      <c r="P4" s="112" t="s">
        <v>355</v>
      </c>
      <c r="Q4" s="119" t="s">
        <v>356</v>
      </c>
      <c r="R4" s="113" t="s">
        <v>357</v>
      </c>
      <c r="S4" s="114" t="s">
        <v>358</v>
      </c>
      <c r="T4" s="115" t="s">
        <v>359</v>
      </c>
      <c r="U4" s="116" t="s">
        <v>360</v>
      </c>
      <c r="V4" s="327" t="s">
        <v>361</v>
      </c>
      <c r="W4" s="116" t="s">
        <v>360</v>
      </c>
      <c r="X4" s="116" t="s">
        <v>361</v>
      </c>
      <c r="Y4" s="45" t="s">
        <v>39</v>
      </c>
      <c r="Z4" s="46" t="s">
        <v>5321</v>
      </c>
      <c r="AA4" s="46" t="s">
        <v>362</v>
      </c>
      <c r="AB4" s="46" t="s">
        <v>5385</v>
      </c>
      <c r="AC4" s="182" t="s">
        <v>41</v>
      </c>
    </row>
    <row r="5" spans="1:29" s="104" customFormat="1" x14ac:dyDescent="0.2">
      <c r="A5" s="294" t="s">
        <v>7</v>
      </c>
      <c r="B5" s="295" t="s">
        <v>401</v>
      </c>
      <c r="C5" s="296" t="s">
        <v>5304</v>
      </c>
      <c r="D5" s="295" t="s">
        <v>366</v>
      </c>
      <c r="E5" s="295" t="s">
        <v>366</v>
      </c>
      <c r="F5" s="295" t="s">
        <v>366</v>
      </c>
      <c r="G5" s="295" t="s">
        <v>366</v>
      </c>
      <c r="H5" s="295" t="s">
        <v>366</v>
      </c>
      <c r="I5" s="295" t="s">
        <v>366</v>
      </c>
      <c r="J5" s="295" t="s">
        <v>366</v>
      </c>
      <c r="K5" s="294" t="s">
        <v>366</v>
      </c>
      <c r="L5" s="295" t="s">
        <v>366</v>
      </c>
      <c r="M5" s="295" t="s">
        <v>366</v>
      </c>
      <c r="N5" s="295" t="s">
        <v>366</v>
      </c>
      <c r="O5" s="295" t="s">
        <v>366</v>
      </c>
      <c r="P5" s="295" t="s">
        <v>366</v>
      </c>
      <c r="Q5" s="295" t="s">
        <v>366</v>
      </c>
      <c r="R5" s="302">
        <f t="shared" ref="R5:T6" si="0">D18</f>
        <v>1.075</v>
      </c>
      <c r="S5" s="302">
        <f t="shared" si="0"/>
        <v>1.125</v>
      </c>
      <c r="T5" s="302">
        <f t="shared" si="0"/>
        <v>24.94</v>
      </c>
      <c r="U5" s="297">
        <f>'Exterior Finish Data'!$AG$4</f>
        <v>3.2496900570295066</v>
      </c>
      <c r="V5" s="206">
        <f>'Exterior Finish Data'!$AH$4</f>
        <v>3.5444954128440367</v>
      </c>
      <c r="W5" s="329" t="s">
        <v>366</v>
      </c>
      <c r="X5" s="298" t="s">
        <v>366</v>
      </c>
      <c r="Y5" s="295">
        <v>30</v>
      </c>
      <c r="Z5" s="295" t="s">
        <v>5447</v>
      </c>
      <c r="AA5" s="295" t="s">
        <v>3408</v>
      </c>
      <c r="AB5" s="295" t="s">
        <v>5388</v>
      </c>
      <c r="AC5" s="323"/>
    </row>
    <row r="6" spans="1:29" x14ac:dyDescent="0.2">
      <c r="A6" s="18" t="s">
        <v>7</v>
      </c>
      <c r="B6" t="s">
        <v>4805</v>
      </c>
      <c r="C6" s="49" t="s">
        <v>364</v>
      </c>
      <c r="D6" s="18" t="s">
        <v>366</v>
      </c>
      <c r="E6" t="s">
        <v>366</v>
      </c>
      <c r="F6" t="s">
        <v>366</v>
      </c>
      <c r="G6" t="s">
        <v>366</v>
      </c>
      <c r="H6" t="s">
        <v>366</v>
      </c>
      <c r="I6" t="s">
        <v>366</v>
      </c>
      <c r="J6" t="s">
        <v>366</v>
      </c>
      <c r="K6" s="18" t="s">
        <v>366</v>
      </c>
      <c r="L6" t="s">
        <v>366</v>
      </c>
      <c r="M6" t="s">
        <v>366</v>
      </c>
      <c r="N6" t="s">
        <v>366</v>
      </c>
      <c r="O6" t="s">
        <v>366</v>
      </c>
      <c r="P6" t="s">
        <v>366</v>
      </c>
      <c r="Q6" t="s">
        <v>366</v>
      </c>
      <c r="R6" s="31">
        <f t="shared" si="0"/>
        <v>4.49</v>
      </c>
      <c r="S6" s="31">
        <f t="shared" si="0"/>
        <v>11.405480000000001</v>
      </c>
      <c r="T6" s="31">
        <f t="shared" si="0"/>
        <v>15.99733</v>
      </c>
      <c r="U6" s="205">
        <f>'Exterior Finish Data'!$AG$9</f>
        <v>2.7232002983961205</v>
      </c>
      <c r="V6" s="206">
        <f>'Exterior Finish Data'!$AH$9</f>
        <v>2.8588082804923531</v>
      </c>
      <c r="W6" s="330" t="s">
        <v>366</v>
      </c>
      <c r="X6" s="206" t="s">
        <v>366</v>
      </c>
      <c r="Y6">
        <v>50</v>
      </c>
      <c r="Z6" t="s">
        <v>5447</v>
      </c>
      <c r="AA6" t="s">
        <v>3408</v>
      </c>
      <c r="AB6" t="s">
        <v>5389</v>
      </c>
      <c r="AC6" s="49"/>
    </row>
    <row r="7" spans="1:29" x14ac:dyDescent="0.2">
      <c r="A7" s="18" t="s">
        <v>7</v>
      </c>
      <c r="B7" t="s">
        <v>1849</v>
      </c>
      <c r="C7" s="49" t="s">
        <v>364</v>
      </c>
      <c r="D7" s="18" t="s">
        <v>366</v>
      </c>
      <c r="E7" t="s">
        <v>366</v>
      </c>
      <c r="F7" t="s">
        <v>366</v>
      </c>
      <c r="G7" t="s">
        <v>366</v>
      </c>
      <c r="H7" t="s">
        <v>366</v>
      </c>
      <c r="I7" t="s">
        <v>366</v>
      </c>
      <c r="J7" t="s">
        <v>366</v>
      </c>
      <c r="K7" s="18" t="s">
        <v>366</v>
      </c>
      <c r="L7" t="s">
        <v>366</v>
      </c>
      <c r="M7" t="s">
        <v>366</v>
      </c>
      <c r="N7" t="s">
        <v>366</v>
      </c>
      <c r="O7" t="s">
        <v>366</v>
      </c>
      <c r="P7" t="s">
        <v>366</v>
      </c>
      <c r="Q7" t="s">
        <v>366</v>
      </c>
      <c r="R7" s="31">
        <f>D22</f>
        <v>4.8643770000000002</v>
      </c>
      <c r="S7" s="31">
        <f>E22</f>
        <v>11.35688</v>
      </c>
      <c r="T7" s="31">
        <f>F22</f>
        <v>25.309709999999999</v>
      </c>
      <c r="U7" s="205">
        <f>'Exterior Finish Data'!$AG$8</f>
        <v>3.1295981452859349</v>
      </c>
      <c r="V7" s="206">
        <f>'Exterior Finish Data'!$AH$8</f>
        <v>3.4105602782071096</v>
      </c>
      <c r="W7" s="330" t="s">
        <v>366</v>
      </c>
      <c r="X7" s="206" t="s">
        <v>366</v>
      </c>
      <c r="Y7">
        <v>50</v>
      </c>
      <c r="Z7" t="s">
        <v>5447</v>
      </c>
      <c r="AA7" t="s">
        <v>3408</v>
      </c>
      <c r="AB7" t="s">
        <v>5383</v>
      </c>
      <c r="AC7" s="49"/>
    </row>
    <row r="8" spans="1:29" x14ac:dyDescent="0.2">
      <c r="A8" s="18" t="s">
        <v>7</v>
      </c>
      <c r="B8" t="s">
        <v>405</v>
      </c>
      <c r="C8" s="49" t="s">
        <v>364</v>
      </c>
      <c r="D8" s="18" t="s">
        <v>366</v>
      </c>
      <c r="E8" t="s">
        <v>366</v>
      </c>
      <c r="F8" t="s">
        <v>366</v>
      </c>
      <c r="G8" t="s">
        <v>366</v>
      </c>
      <c r="H8" t="s">
        <v>366</v>
      </c>
      <c r="I8" t="s">
        <v>366</v>
      </c>
      <c r="J8" t="s">
        <v>366</v>
      </c>
      <c r="K8" s="18" t="s">
        <v>366</v>
      </c>
      <c r="L8" t="s">
        <v>366</v>
      </c>
      <c r="M8" t="s">
        <v>366</v>
      </c>
      <c r="N8" t="s">
        <v>366</v>
      </c>
      <c r="O8" t="s">
        <v>366</v>
      </c>
      <c r="P8" t="s">
        <v>366</v>
      </c>
      <c r="Q8" t="s">
        <v>366</v>
      </c>
      <c r="R8" s="31">
        <f t="shared" ref="R8:T10" si="1">D25</f>
        <v>3.9616150000000001</v>
      </c>
      <c r="S8" s="31">
        <f t="shared" si="1"/>
        <v>11.738300000000001</v>
      </c>
      <c r="T8" s="31">
        <f t="shared" si="1"/>
        <v>20.610530000000001</v>
      </c>
      <c r="U8" s="205">
        <f>'Exterior Finish Data'!$AG$11</f>
        <v>2.9039934743189955</v>
      </c>
      <c r="V8" s="206">
        <f>'Exterior Finish Data'!$AH$11</f>
        <v>3.1343956893133624</v>
      </c>
      <c r="W8" s="330" t="s">
        <v>366</v>
      </c>
      <c r="X8" s="206" t="s">
        <v>366</v>
      </c>
      <c r="Y8">
        <v>30</v>
      </c>
      <c r="Z8" t="s">
        <v>5447</v>
      </c>
      <c r="AA8" t="s">
        <v>3408</v>
      </c>
      <c r="AB8" t="s">
        <v>5382</v>
      </c>
      <c r="AC8" s="49"/>
    </row>
    <row r="9" spans="1:29" x14ac:dyDescent="0.2">
      <c r="A9" s="18" t="s">
        <v>7</v>
      </c>
      <c r="B9" t="s">
        <v>5112</v>
      </c>
      <c r="C9" s="49" t="s">
        <v>364</v>
      </c>
      <c r="D9" s="18" t="s">
        <v>366</v>
      </c>
      <c r="E9" t="s">
        <v>366</v>
      </c>
      <c r="F9" t="s">
        <v>366</v>
      </c>
      <c r="G9" t="s">
        <v>366</v>
      </c>
      <c r="H9" t="s">
        <v>366</v>
      </c>
      <c r="I9" t="s">
        <v>366</v>
      </c>
      <c r="J9" t="s">
        <v>366</v>
      </c>
      <c r="K9" s="18" t="s">
        <v>366</v>
      </c>
      <c r="L9" t="s">
        <v>366</v>
      </c>
      <c r="M9" t="s">
        <v>366</v>
      </c>
      <c r="N9" t="s">
        <v>366</v>
      </c>
      <c r="O9" t="s">
        <v>366</v>
      </c>
      <c r="P9" t="s">
        <v>366</v>
      </c>
      <c r="Q9" t="s">
        <v>366</v>
      </c>
      <c r="R9" s="31">
        <f t="shared" si="1"/>
        <v>1.7060004347826092</v>
      </c>
      <c r="S9" s="31">
        <f t="shared" si="1"/>
        <v>2.2286956521739127</v>
      </c>
      <c r="T9" s="31">
        <f t="shared" si="1"/>
        <v>2.6137391304347819</v>
      </c>
      <c r="U9" s="205">
        <f>'Exterior Finish Data'!$AG$10</f>
        <v>2.7567239101717309</v>
      </c>
      <c r="V9" s="206">
        <f>'Exterior Finish Data'!$AH$10</f>
        <v>2.9488322324966978</v>
      </c>
      <c r="W9" s="330" t="s">
        <v>366</v>
      </c>
      <c r="X9" s="206" t="s">
        <v>366</v>
      </c>
      <c r="Y9">
        <v>65</v>
      </c>
      <c r="Z9" t="s">
        <v>5447</v>
      </c>
      <c r="AA9" t="s">
        <v>3408</v>
      </c>
      <c r="AB9" t="s">
        <v>5390</v>
      </c>
      <c r="AC9" s="49"/>
    </row>
    <row r="10" spans="1:29" x14ac:dyDescent="0.2">
      <c r="A10" s="18" t="s">
        <v>7</v>
      </c>
      <c r="B10" t="s">
        <v>917</v>
      </c>
      <c r="C10" s="49" t="s">
        <v>364</v>
      </c>
      <c r="D10" s="18" t="s">
        <v>366</v>
      </c>
      <c r="E10" t="s">
        <v>366</v>
      </c>
      <c r="F10" t="s">
        <v>366</v>
      </c>
      <c r="G10" t="s">
        <v>366</v>
      </c>
      <c r="H10" t="s">
        <v>366</v>
      </c>
      <c r="I10" t="s">
        <v>366</v>
      </c>
      <c r="J10" t="s">
        <v>366</v>
      </c>
      <c r="K10" s="18" t="s">
        <v>366</v>
      </c>
      <c r="L10" t="s">
        <v>366</v>
      </c>
      <c r="M10" t="s">
        <v>366</v>
      </c>
      <c r="N10" t="s">
        <v>366</v>
      </c>
      <c r="O10" t="s">
        <v>366</v>
      </c>
      <c r="P10" t="s">
        <v>366</v>
      </c>
      <c r="Q10" t="s">
        <v>366</v>
      </c>
      <c r="R10" s="31">
        <f t="shared" si="1"/>
        <v>4.4655019999999999</v>
      </c>
      <c r="S10" s="31">
        <f t="shared" si="1"/>
        <v>6.9767530000000004</v>
      </c>
      <c r="T10" s="31">
        <f t="shared" si="1"/>
        <v>14.025969999999999</v>
      </c>
      <c r="U10" s="205">
        <f>'Exterior Finish Data'!$AG$6</f>
        <v>3.8123706319249973</v>
      </c>
      <c r="V10" s="206">
        <f>'Exterior Finish Data'!$AH$6</f>
        <v>4.261254622004909</v>
      </c>
      <c r="W10" s="330" t="s">
        <v>366</v>
      </c>
      <c r="X10" s="206" t="s">
        <v>366</v>
      </c>
      <c r="Y10">
        <v>30</v>
      </c>
      <c r="Z10" t="s">
        <v>5447</v>
      </c>
      <c r="AA10" t="s">
        <v>3408</v>
      </c>
      <c r="AB10" t="s">
        <v>5388</v>
      </c>
      <c r="AC10" s="49"/>
    </row>
    <row r="11" spans="1:29" ht="16" thickBot="1" x14ac:dyDescent="0.25">
      <c r="A11" s="23" t="s">
        <v>7</v>
      </c>
      <c r="B11" s="15" t="s">
        <v>991</v>
      </c>
      <c r="C11" s="50" t="s">
        <v>364</v>
      </c>
      <c r="D11" s="23" t="s">
        <v>366</v>
      </c>
      <c r="E11" s="15" t="s">
        <v>366</v>
      </c>
      <c r="F11" s="15" t="s">
        <v>366</v>
      </c>
      <c r="G11" s="15" t="s">
        <v>366</v>
      </c>
      <c r="H11" s="15" t="s">
        <v>366</v>
      </c>
      <c r="I11" s="15" t="s">
        <v>366</v>
      </c>
      <c r="J11" s="15" t="s">
        <v>366</v>
      </c>
      <c r="K11" s="23" t="s">
        <v>366</v>
      </c>
      <c r="L11" s="15" t="s">
        <v>366</v>
      </c>
      <c r="M11" s="15" t="s">
        <v>366</v>
      </c>
      <c r="N11" s="15" t="s">
        <v>366</v>
      </c>
      <c r="O11" s="15" t="s">
        <v>366</v>
      </c>
      <c r="P11" s="15" t="s">
        <v>366</v>
      </c>
      <c r="Q11" s="15" t="s">
        <v>366</v>
      </c>
      <c r="R11" s="32">
        <f>D31</f>
        <v>1.8151189999999999</v>
      </c>
      <c r="S11" s="32">
        <f>E31</f>
        <v>8.1136359999999996</v>
      </c>
      <c r="T11" s="32">
        <f>F31</f>
        <v>30.928570000000001</v>
      </c>
      <c r="U11" s="207">
        <f>'Exterior Finish Data'!$AG$7</f>
        <v>2.6602632137550417</v>
      </c>
      <c r="V11" s="208">
        <f>'Exterior Finish Data'!$AH$7</f>
        <v>2.8520868711526219</v>
      </c>
      <c r="W11" s="331" t="s">
        <v>366</v>
      </c>
      <c r="X11" s="208" t="s">
        <v>366</v>
      </c>
      <c r="Y11" s="15">
        <v>30</v>
      </c>
      <c r="Z11" s="15" t="s">
        <v>5447</v>
      </c>
      <c r="AA11" s="15" t="s">
        <v>3408</v>
      </c>
      <c r="AB11" s="15" t="s">
        <v>5388</v>
      </c>
      <c r="AC11" s="50"/>
    </row>
    <row r="14" spans="1:29" ht="16" thickBot="1" x14ac:dyDescent="0.25"/>
    <row r="15" spans="1:29" ht="16" thickBot="1" x14ac:dyDescent="0.25">
      <c r="A15" s="124" t="s">
        <v>27</v>
      </c>
      <c r="B15" s="125" t="s">
        <v>1833</v>
      </c>
      <c r="C15" s="125" t="s">
        <v>4767</v>
      </c>
      <c r="D15" s="125" t="s">
        <v>1148</v>
      </c>
      <c r="E15" s="125" t="s">
        <v>1149</v>
      </c>
      <c r="F15" s="126" t="s">
        <v>1150</v>
      </c>
    </row>
    <row r="16" spans="1:29" s="41" customFormat="1" x14ac:dyDescent="0.2">
      <c r="A16" t="s">
        <v>401</v>
      </c>
      <c r="B16" t="s">
        <v>1836</v>
      </c>
      <c r="C16">
        <v>31</v>
      </c>
      <c r="D16" s="39">
        <v>1.07</v>
      </c>
      <c r="E16" s="39">
        <v>1.0900000000000001</v>
      </c>
      <c r="F16" s="39">
        <v>1.89</v>
      </c>
    </row>
    <row r="17" spans="1:14" x14ac:dyDescent="0.2">
      <c r="A17" t="s">
        <v>401</v>
      </c>
      <c r="B17" t="s">
        <v>1846</v>
      </c>
      <c r="C17">
        <v>5</v>
      </c>
      <c r="D17" s="39">
        <v>24.934000000000001</v>
      </c>
      <c r="E17" s="39">
        <v>26.68</v>
      </c>
      <c r="F17" s="39">
        <v>37.828000000000003</v>
      </c>
    </row>
    <row r="18" spans="1:14" x14ac:dyDescent="0.2">
      <c r="A18" s="41" t="s">
        <v>401</v>
      </c>
      <c r="B18" s="41" t="s">
        <v>1151</v>
      </c>
      <c r="C18" s="41">
        <v>36</v>
      </c>
      <c r="D18" s="42">
        <v>1.075</v>
      </c>
      <c r="E18" s="42">
        <v>1.125</v>
      </c>
      <c r="F18" s="42">
        <v>24.94</v>
      </c>
    </row>
    <row r="19" spans="1:14" s="41" customFormat="1" x14ac:dyDescent="0.2">
      <c r="A19" s="41" t="s">
        <v>4805</v>
      </c>
      <c r="B19" s="41" t="s">
        <v>5294</v>
      </c>
      <c r="C19" s="41">
        <v>31</v>
      </c>
      <c r="D19" s="42">
        <v>4.49</v>
      </c>
      <c r="E19" s="42">
        <v>11.405480000000001</v>
      </c>
      <c r="F19" s="300">
        <v>15.99733</v>
      </c>
    </row>
    <row r="20" spans="1:14" x14ac:dyDescent="0.2">
      <c r="A20" t="s">
        <v>1849</v>
      </c>
      <c r="B20" t="s">
        <v>1846</v>
      </c>
      <c r="C20">
        <v>10</v>
      </c>
      <c r="D20" s="39">
        <v>1.807968</v>
      </c>
      <c r="E20" s="39">
        <v>3.778378</v>
      </c>
      <c r="F20" s="299">
        <v>5.3896259999999998</v>
      </c>
    </row>
    <row r="21" spans="1:14" x14ac:dyDescent="0.2">
      <c r="A21" t="s">
        <v>1849</v>
      </c>
      <c r="B21" t="s">
        <v>5294</v>
      </c>
      <c r="C21">
        <v>60</v>
      </c>
      <c r="D21" s="39">
        <v>6.3328540000000002</v>
      </c>
      <c r="E21" s="39">
        <v>12.53823</v>
      </c>
      <c r="F21" s="299">
        <v>26.30442</v>
      </c>
    </row>
    <row r="22" spans="1:14" x14ac:dyDescent="0.2">
      <c r="A22" s="41" t="s">
        <v>1849</v>
      </c>
      <c r="B22" s="41" t="s">
        <v>1151</v>
      </c>
      <c r="C22" s="41">
        <v>70</v>
      </c>
      <c r="D22" s="42">
        <v>4.8643770000000002</v>
      </c>
      <c r="E22" s="42">
        <v>11.35688</v>
      </c>
      <c r="F22" s="301">
        <v>25.309709999999999</v>
      </c>
    </row>
    <row r="23" spans="1:14" x14ac:dyDescent="0.2">
      <c r="A23" t="s">
        <v>405</v>
      </c>
      <c r="B23" t="s">
        <v>1871</v>
      </c>
      <c r="C23">
        <v>39</v>
      </c>
      <c r="D23" s="39">
        <v>10.04951</v>
      </c>
      <c r="E23" s="39">
        <v>12.47969</v>
      </c>
      <c r="F23" s="299">
        <v>15.42231</v>
      </c>
    </row>
    <row r="24" spans="1:14" s="41" customFormat="1" x14ac:dyDescent="0.2">
      <c r="A24" t="s">
        <v>405</v>
      </c>
      <c r="B24" t="s">
        <v>5294</v>
      </c>
      <c r="C24">
        <v>60</v>
      </c>
      <c r="D24" s="39">
        <v>3.7884600000000002</v>
      </c>
      <c r="E24" s="39">
        <v>9.1262950000000007</v>
      </c>
      <c r="F24" s="299">
        <v>28.010870000000001</v>
      </c>
    </row>
    <row r="25" spans="1:14" x14ac:dyDescent="0.2">
      <c r="A25" s="41" t="s">
        <v>405</v>
      </c>
      <c r="B25" s="41" t="s">
        <v>1151</v>
      </c>
      <c r="C25" s="41">
        <v>99</v>
      </c>
      <c r="D25" s="42">
        <v>3.9616150000000001</v>
      </c>
      <c r="E25" s="42">
        <v>11.738300000000001</v>
      </c>
      <c r="F25" s="301">
        <v>20.610530000000001</v>
      </c>
    </row>
    <row r="26" spans="1:14" x14ac:dyDescent="0.2">
      <c r="A26" s="41" t="s">
        <v>5112</v>
      </c>
      <c r="B26" s="41" t="s">
        <v>5294</v>
      </c>
      <c r="C26" s="41">
        <v>27</v>
      </c>
      <c r="D26" s="42">
        <v>1.7060004347826092</v>
      </c>
      <c r="E26" s="42">
        <v>2.2286956521739127</v>
      </c>
      <c r="F26" s="301">
        <v>2.6137391304347819</v>
      </c>
    </row>
    <row r="27" spans="1:14" x14ac:dyDescent="0.2">
      <c r="A27" s="41" t="s">
        <v>917</v>
      </c>
      <c r="B27" s="41" t="s">
        <v>1871</v>
      </c>
      <c r="C27" s="41">
        <v>58</v>
      </c>
      <c r="D27" s="42">
        <v>4.4655019999999999</v>
      </c>
      <c r="E27" s="42">
        <v>6.9767530000000004</v>
      </c>
      <c r="F27" s="301">
        <v>14.025969999999999</v>
      </c>
    </row>
    <row r="28" spans="1:14" x14ac:dyDescent="0.2">
      <c r="A28" t="s">
        <v>991</v>
      </c>
      <c r="B28" t="s">
        <v>1871</v>
      </c>
      <c r="C28">
        <v>20</v>
      </c>
      <c r="D28" s="39">
        <v>8.1136359999999996</v>
      </c>
      <c r="E28" s="39">
        <v>9.7222220000000004</v>
      </c>
      <c r="F28" s="299">
        <v>30.928570000000001</v>
      </c>
      <c r="K28" s="41"/>
    </row>
    <row r="29" spans="1:14" s="41" customFormat="1" x14ac:dyDescent="0.2">
      <c r="A29" t="s">
        <v>991</v>
      </c>
      <c r="B29" t="s">
        <v>1846</v>
      </c>
      <c r="C29">
        <v>7</v>
      </c>
      <c r="D29" s="39">
        <v>1.526375</v>
      </c>
      <c r="E29" s="39">
        <v>6.7907609999999998</v>
      </c>
      <c r="F29" s="299">
        <v>7.5537700000000001</v>
      </c>
      <c r="I29"/>
      <c r="J29"/>
      <c r="K29"/>
      <c r="L29"/>
      <c r="M29"/>
      <c r="N29"/>
    </row>
    <row r="30" spans="1:14" s="41" customFormat="1" x14ac:dyDescent="0.2">
      <c r="A30" t="s">
        <v>991</v>
      </c>
      <c r="B30" t="s">
        <v>1877</v>
      </c>
      <c r="C30">
        <v>5</v>
      </c>
      <c r="D30" s="39">
        <v>1.0792330000000001</v>
      </c>
      <c r="E30" s="39">
        <v>2.7218179999999998</v>
      </c>
      <c r="F30" s="299">
        <v>3.1870639999999999</v>
      </c>
      <c r="I30"/>
      <c r="J30"/>
      <c r="K30"/>
      <c r="L30"/>
      <c r="M30"/>
      <c r="N30"/>
    </row>
    <row r="31" spans="1:14" x14ac:dyDescent="0.2">
      <c r="A31" s="41" t="s">
        <v>991</v>
      </c>
      <c r="B31" s="41" t="s">
        <v>1151</v>
      </c>
      <c r="C31" s="41">
        <v>32</v>
      </c>
      <c r="D31" s="42">
        <v>1.8151189999999999</v>
      </c>
      <c r="E31" s="42">
        <v>8.1136359999999996</v>
      </c>
      <c r="F31" s="301">
        <v>30.928570000000001</v>
      </c>
    </row>
    <row r="33" spans="1:6" s="257" customFormat="1" x14ac:dyDescent="0.2"/>
    <row r="34" spans="1:6" s="41" customFormat="1" x14ac:dyDescent="0.2"/>
    <row r="38" spans="1:6" s="41" customFormat="1" x14ac:dyDescent="0.2"/>
    <row r="42" spans="1:6" s="41" customFormat="1" x14ac:dyDescent="0.2"/>
    <row r="45" spans="1:6" x14ac:dyDescent="0.2">
      <c r="A45" s="257"/>
      <c r="B45" s="257"/>
      <c r="C45" s="257"/>
      <c r="D45" s="258"/>
      <c r="E45" s="258"/>
      <c r="F45" s="258"/>
    </row>
    <row r="46" spans="1:6" x14ac:dyDescent="0.2">
      <c r="A46" s="97"/>
      <c r="B46" s="97"/>
      <c r="C46" s="97"/>
      <c r="D46" s="259"/>
      <c r="E46" s="259"/>
      <c r="F46" s="259"/>
    </row>
    <row r="47" spans="1:6" x14ac:dyDescent="0.2">
      <c r="A47" s="97"/>
      <c r="B47" s="97"/>
      <c r="C47" s="97"/>
      <c r="D47" s="259"/>
      <c r="E47" s="259"/>
      <c r="F47" s="259"/>
    </row>
    <row r="48" spans="1:6" x14ac:dyDescent="0.2">
      <c r="A48" s="41"/>
      <c r="B48" s="41"/>
      <c r="C48" s="41"/>
      <c r="D48" s="42"/>
      <c r="E48" s="42"/>
      <c r="F48" s="42"/>
    </row>
    <row r="49" spans="1:6" x14ac:dyDescent="0.2">
      <c r="A49" s="97"/>
      <c r="B49" s="97"/>
      <c r="C49" s="97"/>
      <c r="D49" s="259"/>
      <c r="E49" s="259"/>
      <c r="F49" s="259"/>
    </row>
    <row r="50" spans="1:6" x14ac:dyDescent="0.2">
      <c r="A50" s="104"/>
      <c r="B50" s="104"/>
      <c r="C50" s="104"/>
      <c r="D50" s="260"/>
      <c r="E50" s="260"/>
      <c r="F50" s="260"/>
    </row>
    <row r="51" spans="1:6" x14ac:dyDescent="0.2">
      <c r="A51" s="97"/>
      <c r="B51" s="97"/>
      <c r="C51" s="97"/>
      <c r="D51" s="259"/>
      <c r="E51" s="259"/>
      <c r="F51" s="259"/>
    </row>
    <row r="52" spans="1:6" x14ac:dyDescent="0.2">
      <c r="A52" s="97"/>
      <c r="B52" s="97"/>
      <c r="C52" s="97"/>
      <c r="D52" s="259"/>
      <c r="E52" s="259"/>
      <c r="F52" s="259"/>
    </row>
    <row r="53" spans="1:6" x14ac:dyDescent="0.2">
      <c r="A53" s="127"/>
      <c r="B53" s="41"/>
      <c r="C53" s="41"/>
      <c r="D53" s="42"/>
      <c r="E53" s="42"/>
      <c r="F53" s="42"/>
    </row>
    <row r="54" spans="1:6" x14ac:dyDescent="0.2">
      <c r="A54" s="104"/>
      <c r="D54" s="39"/>
      <c r="E54" s="39"/>
      <c r="F54" s="39"/>
    </row>
    <row r="55" spans="1:6" x14ac:dyDescent="0.2">
      <c r="A55" s="104"/>
      <c r="D55" s="39"/>
      <c r="E55" s="39"/>
      <c r="F55" s="39"/>
    </row>
    <row r="56" spans="1:6" x14ac:dyDescent="0.2">
      <c r="A56" s="104"/>
      <c r="D56" s="39"/>
      <c r="E56" s="39"/>
      <c r="F56" s="39"/>
    </row>
    <row r="57" spans="1:6" x14ac:dyDescent="0.2">
      <c r="A57" s="97"/>
      <c r="B57" s="97"/>
      <c r="C57" s="97"/>
      <c r="D57" s="259"/>
      <c r="E57" s="259"/>
      <c r="F57" s="259"/>
    </row>
    <row r="58" spans="1:6" x14ac:dyDescent="0.2">
      <c r="A58" s="257"/>
      <c r="B58" s="257"/>
      <c r="C58" s="257"/>
      <c r="D58" s="258"/>
      <c r="E58" s="258"/>
      <c r="F58" s="258"/>
    </row>
    <row r="59" spans="1:6" x14ac:dyDescent="0.2">
      <c r="A59" s="257"/>
      <c r="B59" s="257"/>
      <c r="C59" s="257"/>
      <c r="D59" s="258"/>
      <c r="E59" s="258"/>
      <c r="F59" s="258"/>
    </row>
    <row r="60" spans="1:6" x14ac:dyDescent="0.2">
      <c r="A60" s="97"/>
      <c r="B60" s="97"/>
      <c r="C60" s="97"/>
      <c r="D60" s="259"/>
      <c r="E60" s="259"/>
      <c r="F60" s="259"/>
    </row>
    <row r="61" spans="1:6" x14ac:dyDescent="0.2">
      <c r="A61" s="97"/>
      <c r="B61" s="97"/>
      <c r="C61" s="97"/>
      <c r="D61" s="259"/>
      <c r="E61" s="259"/>
      <c r="F61" s="259"/>
    </row>
    <row r="62" spans="1:6" x14ac:dyDescent="0.2">
      <c r="A62" s="257"/>
      <c r="B62" s="257"/>
      <c r="C62" s="257"/>
      <c r="D62" s="258"/>
      <c r="E62" s="258"/>
      <c r="F62" s="258"/>
    </row>
    <row r="63" spans="1:6" x14ac:dyDescent="0.2">
      <c r="A63" s="127"/>
      <c r="B63" s="41"/>
      <c r="C63" s="41"/>
      <c r="D63" s="42"/>
      <c r="E63" s="42"/>
      <c r="F63" s="42"/>
    </row>
    <row r="64" spans="1:6" x14ac:dyDescent="0.2">
      <c r="A64" s="97"/>
      <c r="B64" s="97"/>
      <c r="C64" s="97"/>
      <c r="D64" s="259"/>
      <c r="E64" s="259"/>
      <c r="F64" s="259"/>
    </row>
    <row r="65" spans="1:6" x14ac:dyDescent="0.2">
      <c r="A65" s="104"/>
      <c r="D65" s="39"/>
      <c r="E65" s="39"/>
      <c r="F65" s="39"/>
    </row>
    <row r="66" spans="1:6" x14ac:dyDescent="0.2">
      <c r="A66" s="97"/>
      <c r="B66" s="97"/>
      <c r="C66" s="97"/>
      <c r="D66" s="259"/>
      <c r="E66" s="259"/>
      <c r="F66" s="259"/>
    </row>
    <row r="67" spans="1:6" x14ac:dyDescent="0.2">
      <c r="A67" s="127"/>
      <c r="B67" s="41"/>
      <c r="C67" s="41"/>
      <c r="D67" s="42"/>
      <c r="E67" s="42"/>
      <c r="F67" s="42"/>
    </row>
    <row r="68" spans="1:6" x14ac:dyDescent="0.2">
      <c r="A68" s="104"/>
      <c r="D68" s="39"/>
      <c r="E68" s="39"/>
      <c r="F68" s="39"/>
    </row>
    <row r="69" spans="1:6" x14ac:dyDescent="0.2">
      <c r="A69" s="104"/>
      <c r="D69" s="39"/>
      <c r="E69" s="39"/>
      <c r="F69" s="39"/>
    </row>
    <row r="70" spans="1:6" x14ac:dyDescent="0.2">
      <c r="A70" s="104"/>
      <c r="D70" s="39"/>
      <c r="E70" s="39"/>
      <c r="F70" s="39"/>
    </row>
    <row r="71" spans="1:6" x14ac:dyDescent="0.2">
      <c r="A71" s="41"/>
      <c r="B71" s="41"/>
      <c r="C71" s="41"/>
      <c r="D71" s="42"/>
      <c r="E71" s="42"/>
      <c r="F71" s="42"/>
    </row>
    <row r="72" spans="1:6" x14ac:dyDescent="0.2">
      <c r="A72" s="127"/>
    </row>
  </sheetData>
  <mergeCells count="7">
    <mergeCell ref="A3:C3"/>
    <mergeCell ref="Y3:AC3"/>
    <mergeCell ref="D3:J3"/>
    <mergeCell ref="K3:Q3"/>
    <mergeCell ref="R3:T3"/>
    <mergeCell ref="U3:V3"/>
    <mergeCell ref="W3:X3"/>
  </mergeCells>
  <hyperlinks>
    <hyperlink ref="A1" location="'Table of Contents'!A1" display="Table of Contents" xr:uid="{80A36728-4C06-4A07-B0C3-578EF109EE66}"/>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D66AF-C29E-450B-95B0-93DCD56642C1}">
  <dimension ref="A1:W32"/>
  <sheetViews>
    <sheetView workbookViewId="0">
      <selection activeCell="E5" sqref="E5"/>
    </sheetView>
  </sheetViews>
  <sheetFormatPr baseColWidth="10" defaultColWidth="8.83203125" defaultRowHeight="15" x14ac:dyDescent="0.2"/>
  <cols>
    <col min="1" max="1" width="15.5" bestFit="1" customWidth="1"/>
    <col min="2" max="2" width="14.5" customWidth="1"/>
    <col min="5" max="5" width="20" customWidth="1"/>
    <col min="6" max="6" width="12" customWidth="1"/>
    <col min="7" max="7" width="11.5" customWidth="1"/>
    <col min="8" max="8" width="14.5" customWidth="1"/>
    <col min="9" max="9" width="9.5" customWidth="1"/>
    <col min="11" max="11" width="12.5" customWidth="1"/>
    <col min="12" max="12" width="16.5" customWidth="1"/>
    <col min="13" max="13" width="16.33203125" customWidth="1"/>
    <col min="14" max="14" width="10.5" customWidth="1"/>
    <col min="15" max="15" width="15.33203125" customWidth="1"/>
    <col min="16" max="16" width="15.5" customWidth="1"/>
    <col min="17" max="17" width="13" customWidth="1"/>
    <col min="18" max="18" width="10.5" customWidth="1"/>
    <col min="22" max="22" width="12.5" customWidth="1"/>
    <col min="23" max="23" width="12.5" bestFit="1" customWidth="1"/>
  </cols>
  <sheetData>
    <row r="1" spans="1:23" x14ac:dyDescent="0.2">
      <c r="A1" s="4" t="s">
        <v>21</v>
      </c>
      <c r="B1" s="4"/>
      <c r="C1" s="4"/>
      <c r="D1" s="4"/>
      <c r="P1" s="3"/>
    </row>
    <row r="2" spans="1:23" ht="19" x14ac:dyDescent="0.25">
      <c r="A2" s="24" t="s">
        <v>22</v>
      </c>
      <c r="L2" s="40" t="s">
        <v>5305</v>
      </c>
      <c r="P2" s="3"/>
    </row>
    <row r="3" spans="1:23" ht="32" x14ac:dyDescent="0.2">
      <c r="A3" s="28" t="s">
        <v>0</v>
      </c>
      <c r="B3" s="28" t="s">
        <v>25</v>
      </c>
      <c r="C3" s="28" t="s">
        <v>389</v>
      </c>
      <c r="D3" s="28" t="s">
        <v>1319</v>
      </c>
      <c r="E3" s="28" t="s">
        <v>2529</v>
      </c>
      <c r="F3" s="29" t="s">
        <v>2530</v>
      </c>
      <c r="G3" s="29" t="s">
        <v>393</v>
      </c>
      <c r="H3" s="28" t="s">
        <v>30</v>
      </c>
      <c r="I3" s="28" t="s">
        <v>31</v>
      </c>
      <c r="J3" s="28" t="s">
        <v>395</v>
      </c>
      <c r="K3" s="28" t="s">
        <v>2531</v>
      </c>
      <c r="L3" s="28" t="s">
        <v>33</v>
      </c>
      <c r="M3" s="28" t="s">
        <v>396</v>
      </c>
      <c r="N3" s="28" t="s">
        <v>35</v>
      </c>
      <c r="O3" s="28" t="s">
        <v>36</v>
      </c>
      <c r="P3" s="28" t="s">
        <v>37</v>
      </c>
      <c r="Q3" s="28" t="s">
        <v>38</v>
      </c>
      <c r="R3" s="28" t="s">
        <v>39</v>
      </c>
      <c r="S3" s="30" t="s">
        <v>40</v>
      </c>
      <c r="T3" s="30" t="s">
        <v>41</v>
      </c>
      <c r="U3" s="52" t="s">
        <v>43</v>
      </c>
      <c r="V3" s="53" t="s">
        <v>44</v>
      </c>
      <c r="W3" t="s">
        <v>57</v>
      </c>
    </row>
    <row r="4" spans="1:23" x14ac:dyDescent="0.2">
      <c r="A4" t="s">
        <v>2532</v>
      </c>
      <c r="C4" t="s">
        <v>2533</v>
      </c>
      <c r="D4" t="s">
        <v>2534</v>
      </c>
      <c r="E4" t="s">
        <v>2535</v>
      </c>
      <c r="F4">
        <v>100</v>
      </c>
      <c r="G4">
        <v>48</v>
      </c>
      <c r="H4">
        <v>0.25</v>
      </c>
      <c r="I4">
        <v>2.8</v>
      </c>
      <c r="J4" s="92">
        <v>92.11</v>
      </c>
      <c r="K4">
        <v>400</v>
      </c>
      <c r="L4" s="39">
        <v>0.23027500000000001</v>
      </c>
      <c r="U4" t="s">
        <v>1236</v>
      </c>
      <c r="V4" t="s">
        <v>2536</v>
      </c>
      <c r="W4" t="s">
        <v>72</v>
      </c>
    </row>
    <row r="5" spans="1:23" x14ac:dyDescent="0.2">
      <c r="A5" t="s">
        <v>2532</v>
      </c>
      <c r="C5" t="s">
        <v>2533</v>
      </c>
      <c r="D5" t="s">
        <v>2537</v>
      </c>
      <c r="E5" t="s">
        <v>2538</v>
      </c>
      <c r="F5">
        <v>100</v>
      </c>
      <c r="G5">
        <v>48</v>
      </c>
      <c r="H5">
        <v>0.375</v>
      </c>
      <c r="I5">
        <v>3.2</v>
      </c>
      <c r="J5" s="92">
        <v>92.11</v>
      </c>
      <c r="K5">
        <v>400</v>
      </c>
      <c r="L5" s="39">
        <v>0.23027500000000001</v>
      </c>
      <c r="U5" t="s">
        <v>1236</v>
      </c>
      <c r="V5" t="s">
        <v>2539</v>
      </c>
      <c r="W5" t="s">
        <v>72</v>
      </c>
    </row>
    <row r="6" spans="1:23" x14ac:dyDescent="0.2">
      <c r="A6" t="s">
        <v>2532</v>
      </c>
      <c r="C6" t="s">
        <v>2540</v>
      </c>
      <c r="D6" t="s">
        <v>2541</v>
      </c>
      <c r="E6" t="s">
        <v>2542</v>
      </c>
      <c r="F6">
        <v>100</v>
      </c>
      <c r="G6">
        <v>48</v>
      </c>
      <c r="H6">
        <v>0.3125</v>
      </c>
      <c r="I6" t="s">
        <v>2488</v>
      </c>
      <c r="J6" s="92">
        <v>105.9</v>
      </c>
      <c r="K6">
        <v>400</v>
      </c>
      <c r="L6" s="39">
        <v>0.26475000000000004</v>
      </c>
      <c r="U6" t="s">
        <v>1236</v>
      </c>
      <c r="V6" t="s">
        <v>2543</v>
      </c>
      <c r="W6" t="s">
        <v>72</v>
      </c>
    </row>
    <row r="7" spans="1:23" x14ac:dyDescent="0.2">
      <c r="A7" t="s">
        <v>2532</v>
      </c>
      <c r="C7" t="s">
        <v>2533</v>
      </c>
      <c r="D7" t="s">
        <v>2544</v>
      </c>
      <c r="E7" t="s">
        <v>2545</v>
      </c>
      <c r="F7">
        <v>50</v>
      </c>
      <c r="G7">
        <v>48</v>
      </c>
      <c r="H7">
        <v>0.375</v>
      </c>
      <c r="I7">
        <v>1.1000000000000001</v>
      </c>
      <c r="J7" s="92">
        <v>62.29</v>
      </c>
      <c r="K7">
        <v>200</v>
      </c>
      <c r="L7" s="39">
        <v>0.31145</v>
      </c>
      <c r="U7" t="s">
        <v>1236</v>
      </c>
      <c r="V7" t="s">
        <v>2546</v>
      </c>
      <c r="W7" t="s">
        <v>72</v>
      </c>
    </row>
    <row r="8" spans="1:23" x14ac:dyDescent="0.2">
      <c r="A8" t="s">
        <v>2532</v>
      </c>
      <c r="C8" t="s">
        <v>2533</v>
      </c>
      <c r="D8" t="s">
        <v>2547</v>
      </c>
      <c r="E8" t="s">
        <v>2548</v>
      </c>
      <c r="F8">
        <v>100</v>
      </c>
      <c r="G8">
        <v>48</v>
      </c>
      <c r="H8">
        <v>0.375</v>
      </c>
      <c r="I8">
        <v>1.1000000000000001</v>
      </c>
      <c r="J8" s="92">
        <v>124.59</v>
      </c>
      <c r="K8">
        <v>400</v>
      </c>
      <c r="L8" s="39">
        <v>0.311475</v>
      </c>
      <c r="U8" t="s">
        <v>1236</v>
      </c>
      <c r="V8" t="s">
        <v>2549</v>
      </c>
      <c r="W8" t="s">
        <v>72</v>
      </c>
    </row>
    <row r="9" spans="1:23" x14ac:dyDescent="0.2">
      <c r="A9" t="s">
        <v>2532</v>
      </c>
      <c r="C9" t="s">
        <v>2487</v>
      </c>
      <c r="D9" t="s">
        <v>2550</v>
      </c>
      <c r="E9" t="s">
        <v>2551</v>
      </c>
      <c r="F9">
        <v>125</v>
      </c>
      <c r="G9">
        <v>48</v>
      </c>
      <c r="H9">
        <v>0.19</v>
      </c>
      <c r="I9" t="s">
        <v>2488</v>
      </c>
      <c r="J9" s="92">
        <v>165</v>
      </c>
      <c r="K9">
        <v>500</v>
      </c>
      <c r="L9" s="39">
        <v>0.33</v>
      </c>
      <c r="U9" t="s">
        <v>99</v>
      </c>
      <c r="V9" t="s">
        <v>2552</v>
      </c>
      <c r="W9" t="s">
        <v>72</v>
      </c>
    </row>
    <row r="10" spans="1:23" x14ac:dyDescent="0.2">
      <c r="A10" t="s">
        <v>2532</v>
      </c>
      <c r="C10" t="s">
        <v>2533</v>
      </c>
      <c r="D10" t="s">
        <v>2553</v>
      </c>
      <c r="E10" t="s">
        <v>2554</v>
      </c>
      <c r="F10">
        <v>100</v>
      </c>
      <c r="G10">
        <v>48</v>
      </c>
      <c r="H10">
        <v>0.375</v>
      </c>
      <c r="I10">
        <v>3.7</v>
      </c>
      <c r="J10" s="92">
        <v>132.61000000000001</v>
      </c>
      <c r="K10">
        <v>400</v>
      </c>
      <c r="L10" s="39">
        <v>0.33152500000000001</v>
      </c>
      <c r="U10" t="s">
        <v>1236</v>
      </c>
      <c r="V10" t="s">
        <v>2555</v>
      </c>
      <c r="W10" t="s">
        <v>72</v>
      </c>
    </row>
    <row r="11" spans="1:23" x14ac:dyDescent="0.2">
      <c r="A11" t="s">
        <v>2532</v>
      </c>
      <c r="C11" t="s">
        <v>2487</v>
      </c>
      <c r="D11" t="s">
        <v>2556</v>
      </c>
      <c r="E11" t="s">
        <v>2557</v>
      </c>
      <c r="F11">
        <v>100</v>
      </c>
      <c r="G11">
        <v>16</v>
      </c>
      <c r="H11">
        <v>0.19</v>
      </c>
      <c r="I11" t="s">
        <v>2488</v>
      </c>
      <c r="J11" s="92">
        <v>59.47</v>
      </c>
      <c r="K11">
        <v>133.33333333333331</v>
      </c>
      <c r="L11" s="39">
        <v>0.44602500000000006</v>
      </c>
      <c r="U11" t="s">
        <v>99</v>
      </c>
      <c r="V11" t="s">
        <v>2558</v>
      </c>
      <c r="W11" t="s">
        <v>72</v>
      </c>
    </row>
    <row r="12" spans="1:23" x14ac:dyDescent="0.2">
      <c r="A12" t="s">
        <v>2532</v>
      </c>
      <c r="C12" t="s">
        <v>2533</v>
      </c>
      <c r="D12" t="s">
        <v>2559</v>
      </c>
      <c r="E12" t="s">
        <v>2560</v>
      </c>
      <c r="F12">
        <v>100</v>
      </c>
      <c r="G12">
        <v>16</v>
      </c>
      <c r="H12">
        <v>0.375</v>
      </c>
      <c r="I12">
        <v>3.7</v>
      </c>
      <c r="J12" s="92">
        <v>61.4</v>
      </c>
      <c r="K12">
        <v>133.33333333333331</v>
      </c>
      <c r="L12" s="39">
        <v>0.46050000000000008</v>
      </c>
      <c r="U12" t="s">
        <v>1236</v>
      </c>
      <c r="V12" t="s">
        <v>2561</v>
      </c>
      <c r="W12" t="s">
        <v>72</v>
      </c>
    </row>
    <row r="13" spans="1:23" x14ac:dyDescent="0.2">
      <c r="A13" t="s">
        <v>2532</v>
      </c>
      <c r="C13" t="s">
        <v>2562</v>
      </c>
      <c r="D13" t="s">
        <v>2563</v>
      </c>
      <c r="E13" t="s">
        <v>2564</v>
      </c>
      <c r="F13">
        <v>100</v>
      </c>
      <c r="G13">
        <v>16</v>
      </c>
      <c r="H13">
        <v>0.375</v>
      </c>
      <c r="I13">
        <v>3.2</v>
      </c>
      <c r="J13" s="92">
        <v>61.4</v>
      </c>
      <c r="K13">
        <v>133.33333333333331</v>
      </c>
      <c r="L13" s="39">
        <v>0.46050000000000008</v>
      </c>
      <c r="U13" t="s">
        <v>1236</v>
      </c>
      <c r="V13" t="s">
        <v>2565</v>
      </c>
      <c r="W13" t="s">
        <v>72</v>
      </c>
    </row>
    <row r="14" spans="1:23" x14ac:dyDescent="0.2">
      <c r="A14" t="s">
        <v>2532</v>
      </c>
      <c r="C14" t="s">
        <v>2533</v>
      </c>
      <c r="D14" t="s">
        <v>2566</v>
      </c>
      <c r="E14" t="s">
        <v>2567</v>
      </c>
      <c r="F14">
        <v>100</v>
      </c>
      <c r="G14">
        <v>24</v>
      </c>
      <c r="H14">
        <v>0.375</v>
      </c>
      <c r="I14">
        <v>3.7</v>
      </c>
      <c r="J14" s="92">
        <v>92.11</v>
      </c>
      <c r="K14">
        <v>200</v>
      </c>
      <c r="L14" s="39">
        <v>0.46055000000000001</v>
      </c>
      <c r="U14" t="s">
        <v>1236</v>
      </c>
      <c r="V14" t="s">
        <v>2568</v>
      </c>
      <c r="W14" t="s">
        <v>72</v>
      </c>
    </row>
    <row r="15" spans="1:23" x14ac:dyDescent="0.2">
      <c r="A15" t="s">
        <v>2532</v>
      </c>
      <c r="C15" t="s">
        <v>2533</v>
      </c>
      <c r="D15" t="s">
        <v>2569</v>
      </c>
      <c r="E15" t="s">
        <v>2570</v>
      </c>
      <c r="F15">
        <v>100</v>
      </c>
      <c r="G15">
        <v>24</v>
      </c>
      <c r="H15">
        <v>0.375</v>
      </c>
      <c r="I15">
        <v>3.7</v>
      </c>
      <c r="J15" s="92">
        <v>92.11</v>
      </c>
      <c r="K15">
        <v>200</v>
      </c>
      <c r="L15" s="39">
        <v>0.46055000000000001</v>
      </c>
      <c r="U15" t="s">
        <v>1236</v>
      </c>
      <c r="V15" t="s">
        <v>2571</v>
      </c>
      <c r="W15" t="s">
        <v>72</v>
      </c>
    </row>
    <row r="16" spans="1:23" x14ac:dyDescent="0.2">
      <c r="A16" t="s">
        <v>2532</v>
      </c>
      <c r="C16" t="s">
        <v>2533</v>
      </c>
      <c r="D16" t="s">
        <v>2572</v>
      </c>
      <c r="E16" t="s">
        <v>2573</v>
      </c>
      <c r="F16">
        <v>100</v>
      </c>
      <c r="G16">
        <v>48</v>
      </c>
      <c r="H16">
        <v>0.375</v>
      </c>
      <c r="I16">
        <v>3.7</v>
      </c>
      <c r="J16" s="92">
        <v>184.67</v>
      </c>
      <c r="K16">
        <v>400</v>
      </c>
      <c r="L16" s="39">
        <v>0.46167499999999995</v>
      </c>
      <c r="U16" t="s">
        <v>1236</v>
      </c>
      <c r="V16" t="s">
        <v>2574</v>
      </c>
      <c r="W16" t="s">
        <v>72</v>
      </c>
    </row>
    <row r="17" spans="1:23" x14ac:dyDescent="0.2">
      <c r="A17" t="s">
        <v>2532</v>
      </c>
      <c r="C17" t="s">
        <v>2562</v>
      </c>
      <c r="D17" t="s">
        <v>2575</v>
      </c>
      <c r="E17" t="s">
        <v>2576</v>
      </c>
      <c r="F17">
        <v>100</v>
      </c>
      <c r="G17">
        <v>48</v>
      </c>
      <c r="H17">
        <v>0.25</v>
      </c>
      <c r="I17">
        <v>2.8</v>
      </c>
      <c r="J17" s="92">
        <v>184.67</v>
      </c>
      <c r="K17">
        <v>400</v>
      </c>
      <c r="L17" s="39">
        <v>0.46167499999999995</v>
      </c>
      <c r="U17" t="s">
        <v>1236</v>
      </c>
      <c r="V17" t="s">
        <v>2577</v>
      </c>
      <c r="W17" t="s">
        <v>72</v>
      </c>
    </row>
    <row r="18" spans="1:23" x14ac:dyDescent="0.2">
      <c r="A18" t="s">
        <v>2532</v>
      </c>
      <c r="C18" t="s">
        <v>2533</v>
      </c>
      <c r="D18" t="s">
        <v>2578</v>
      </c>
      <c r="E18" t="s">
        <v>2579</v>
      </c>
      <c r="F18">
        <v>25</v>
      </c>
      <c r="G18">
        <v>48</v>
      </c>
      <c r="H18">
        <v>0.375</v>
      </c>
      <c r="I18">
        <v>3.7</v>
      </c>
      <c r="J18" s="92">
        <v>46.26</v>
      </c>
      <c r="K18">
        <v>100</v>
      </c>
      <c r="L18" s="39">
        <v>0.46259999999999996</v>
      </c>
      <c r="U18" t="s">
        <v>1236</v>
      </c>
      <c r="V18" t="s">
        <v>2580</v>
      </c>
      <c r="W18" t="s">
        <v>72</v>
      </c>
    </row>
    <row r="19" spans="1:23" x14ac:dyDescent="0.2">
      <c r="A19" t="s">
        <v>2532</v>
      </c>
      <c r="C19" t="s">
        <v>2487</v>
      </c>
      <c r="D19" t="s">
        <v>2581</v>
      </c>
      <c r="E19" t="s">
        <v>2582</v>
      </c>
      <c r="F19">
        <v>100</v>
      </c>
      <c r="G19">
        <v>24</v>
      </c>
      <c r="H19">
        <v>0.19</v>
      </c>
      <c r="I19" t="s">
        <v>2488</v>
      </c>
      <c r="J19" s="92">
        <v>95.2</v>
      </c>
      <c r="K19">
        <v>200</v>
      </c>
      <c r="L19" s="39">
        <v>0.47600000000000003</v>
      </c>
      <c r="U19" t="s">
        <v>99</v>
      </c>
      <c r="V19" t="s">
        <v>2583</v>
      </c>
      <c r="W19" t="s">
        <v>72</v>
      </c>
    </row>
    <row r="20" spans="1:23" x14ac:dyDescent="0.2">
      <c r="A20" t="s">
        <v>2532</v>
      </c>
      <c r="C20" t="s">
        <v>2533</v>
      </c>
      <c r="D20" t="s">
        <v>2584</v>
      </c>
      <c r="E20" t="s">
        <v>2585</v>
      </c>
      <c r="F20">
        <v>25</v>
      </c>
      <c r="G20">
        <v>24</v>
      </c>
      <c r="H20">
        <v>0.375</v>
      </c>
      <c r="I20">
        <v>3.7</v>
      </c>
      <c r="J20" s="92">
        <v>24.03</v>
      </c>
      <c r="K20">
        <v>50</v>
      </c>
      <c r="L20" s="39">
        <v>0.48060000000000003</v>
      </c>
      <c r="U20" t="s">
        <v>1236</v>
      </c>
      <c r="V20" t="s">
        <v>2586</v>
      </c>
      <c r="W20" t="s">
        <v>72</v>
      </c>
    </row>
    <row r="21" spans="1:23" x14ac:dyDescent="0.2">
      <c r="A21" t="s">
        <v>2532</v>
      </c>
      <c r="C21" t="s">
        <v>2487</v>
      </c>
      <c r="D21" t="s">
        <v>2587</v>
      </c>
      <c r="E21" t="s">
        <v>2588</v>
      </c>
      <c r="F21">
        <v>10</v>
      </c>
      <c r="G21">
        <v>24</v>
      </c>
      <c r="H21">
        <v>0.19</v>
      </c>
      <c r="I21" t="s">
        <v>2488</v>
      </c>
      <c r="J21" s="92">
        <v>9.9700000000000006</v>
      </c>
      <c r="K21">
        <v>20</v>
      </c>
      <c r="L21" s="39">
        <v>0.49850000000000005</v>
      </c>
      <c r="U21" t="s">
        <v>99</v>
      </c>
      <c r="V21" t="s">
        <v>2589</v>
      </c>
      <c r="W21" t="s">
        <v>72</v>
      </c>
    </row>
    <row r="22" spans="1:23" x14ac:dyDescent="0.2">
      <c r="A22" t="s">
        <v>2532</v>
      </c>
      <c r="C22" t="s">
        <v>2533</v>
      </c>
      <c r="D22" t="s">
        <v>2590</v>
      </c>
      <c r="E22" t="s">
        <v>2591</v>
      </c>
      <c r="F22">
        <v>100</v>
      </c>
      <c r="G22">
        <v>48</v>
      </c>
      <c r="H22">
        <v>0.375</v>
      </c>
      <c r="I22">
        <v>3.2</v>
      </c>
      <c r="J22" s="92">
        <v>203.55</v>
      </c>
      <c r="K22">
        <v>400</v>
      </c>
      <c r="L22" s="39">
        <v>0.50887500000000008</v>
      </c>
      <c r="U22" t="s">
        <v>1236</v>
      </c>
      <c r="V22" t="s">
        <v>2592</v>
      </c>
      <c r="W22" t="s">
        <v>72</v>
      </c>
    </row>
    <row r="23" spans="1:23" x14ac:dyDescent="0.2">
      <c r="A23" t="s">
        <v>2532</v>
      </c>
      <c r="C23" t="s">
        <v>2487</v>
      </c>
      <c r="D23" t="s">
        <v>2593</v>
      </c>
      <c r="E23" t="s">
        <v>2594</v>
      </c>
      <c r="F23">
        <v>25</v>
      </c>
      <c r="G23">
        <v>48</v>
      </c>
      <c r="H23">
        <v>0.19</v>
      </c>
      <c r="I23" t="s">
        <v>2488</v>
      </c>
      <c r="J23" s="92">
        <v>51.58</v>
      </c>
      <c r="K23">
        <v>100</v>
      </c>
      <c r="L23" s="39">
        <v>0.51580000000000004</v>
      </c>
      <c r="U23" t="s">
        <v>99</v>
      </c>
      <c r="V23" t="s">
        <v>2595</v>
      </c>
      <c r="W23" t="s">
        <v>72</v>
      </c>
    </row>
    <row r="24" spans="1:23" x14ac:dyDescent="0.2">
      <c r="A24" t="s">
        <v>2532</v>
      </c>
      <c r="C24" t="s">
        <v>2533</v>
      </c>
      <c r="D24" t="s">
        <v>2596</v>
      </c>
      <c r="E24" t="s">
        <v>2597</v>
      </c>
      <c r="F24">
        <v>25</v>
      </c>
      <c r="G24">
        <v>16</v>
      </c>
      <c r="H24">
        <v>0.375</v>
      </c>
      <c r="I24">
        <v>3.7</v>
      </c>
      <c r="J24" s="92">
        <v>17.77</v>
      </c>
      <c r="K24">
        <v>33.333333333333329</v>
      </c>
      <c r="L24" s="39">
        <v>0.53310000000000002</v>
      </c>
      <c r="U24" t="s">
        <v>1236</v>
      </c>
      <c r="V24" t="s">
        <v>2598</v>
      </c>
      <c r="W24" t="s">
        <v>72</v>
      </c>
    </row>
    <row r="25" spans="1:23" x14ac:dyDescent="0.2">
      <c r="A25" t="s">
        <v>2532</v>
      </c>
      <c r="C25" t="s">
        <v>2487</v>
      </c>
      <c r="D25" t="s">
        <v>2599</v>
      </c>
      <c r="E25" t="s">
        <v>2600</v>
      </c>
      <c r="F25">
        <v>100</v>
      </c>
      <c r="G25">
        <v>8</v>
      </c>
      <c r="H25">
        <v>0.19</v>
      </c>
      <c r="I25" t="s">
        <v>2488</v>
      </c>
      <c r="J25" s="92">
        <v>35.979999999999997</v>
      </c>
      <c r="K25">
        <v>66.666666666666657</v>
      </c>
      <c r="L25" s="39">
        <v>0.53970000000000007</v>
      </c>
      <c r="U25" t="s">
        <v>99</v>
      </c>
      <c r="V25" t="s">
        <v>2601</v>
      </c>
      <c r="W25" t="s">
        <v>72</v>
      </c>
    </row>
    <row r="26" spans="1:23" x14ac:dyDescent="0.2">
      <c r="A26" t="s">
        <v>2532</v>
      </c>
      <c r="C26" t="s">
        <v>2487</v>
      </c>
      <c r="D26" t="s">
        <v>2602</v>
      </c>
      <c r="E26" t="s">
        <v>2603</v>
      </c>
      <c r="F26">
        <v>25</v>
      </c>
      <c r="G26">
        <v>24</v>
      </c>
      <c r="H26">
        <v>0.19</v>
      </c>
      <c r="I26" t="s">
        <v>2488</v>
      </c>
      <c r="J26" s="92">
        <v>27</v>
      </c>
      <c r="K26">
        <v>50</v>
      </c>
      <c r="L26" s="39">
        <v>0.54</v>
      </c>
      <c r="U26" t="s">
        <v>99</v>
      </c>
      <c r="V26" t="s">
        <v>2604</v>
      </c>
      <c r="W26" t="s">
        <v>72</v>
      </c>
    </row>
    <row r="27" spans="1:23" x14ac:dyDescent="0.2">
      <c r="A27" t="s">
        <v>2532</v>
      </c>
      <c r="C27" t="s">
        <v>2487</v>
      </c>
      <c r="D27" t="s">
        <v>2605</v>
      </c>
      <c r="E27" t="s">
        <v>2606</v>
      </c>
      <c r="F27">
        <v>25</v>
      </c>
      <c r="G27">
        <v>16</v>
      </c>
      <c r="H27">
        <v>0.19</v>
      </c>
      <c r="I27" t="s">
        <v>2488</v>
      </c>
      <c r="J27" s="92">
        <v>19.96</v>
      </c>
      <c r="K27">
        <v>33.333333333333329</v>
      </c>
      <c r="L27" s="39">
        <v>0.59880000000000011</v>
      </c>
      <c r="U27" t="s">
        <v>99</v>
      </c>
      <c r="V27" t="s">
        <v>2607</v>
      </c>
      <c r="W27" t="s">
        <v>72</v>
      </c>
    </row>
    <row r="28" spans="1:23" x14ac:dyDescent="0.2">
      <c r="A28" t="s">
        <v>2532</v>
      </c>
      <c r="C28" t="s">
        <v>2533</v>
      </c>
      <c r="D28" t="s">
        <v>2608</v>
      </c>
      <c r="E28" t="s">
        <v>2609</v>
      </c>
      <c r="F28">
        <v>25</v>
      </c>
      <c r="G28">
        <v>12</v>
      </c>
      <c r="H28">
        <v>0.25</v>
      </c>
      <c r="I28">
        <v>4.2</v>
      </c>
      <c r="J28" s="92">
        <v>16.010000000000002</v>
      </c>
      <c r="K28">
        <v>25</v>
      </c>
      <c r="L28" s="39">
        <v>0.64040000000000008</v>
      </c>
      <c r="U28" t="s">
        <v>1236</v>
      </c>
      <c r="V28" t="s">
        <v>2610</v>
      </c>
      <c r="W28" t="s">
        <v>72</v>
      </c>
    </row>
    <row r="29" spans="1:23" x14ac:dyDescent="0.2">
      <c r="J29" s="92"/>
      <c r="L29" s="39">
        <v>0.1</v>
      </c>
      <c r="N29" s="39">
        <v>0.3</v>
      </c>
      <c r="O29" s="39">
        <v>0.4</v>
      </c>
      <c r="T29" t="s">
        <v>387</v>
      </c>
      <c r="U29" t="s">
        <v>2611</v>
      </c>
      <c r="V29" t="s">
        <v>2612</v>
      </c>
      <c r="W29" t="s">
        <v>72</v>
      </c>
    </row>
    <row r="30" spans="1:23" x14ac:dyDescent="0.2">
      <c r="J30" s="92"/>
      <c r="L30" s="39">
        <v>0.6</v>
      </c>
      <c r="N30" s="39">
        <v>1.4</v>
      </c>
      <c r="O30" s="39">
        <v>2</v>
      </c>
      <c r="T30" t="s">
        <v>367</v>
      </c>
      <c r="U30" t="s">
        <v>2611</v>
      </c>
      <c r="V30" t="s">
        <v>2612</v>
      </c>
      <c r="W30" t="s">
        <v>72</v>
      </c>
    </row>
    <row r="31" spans="1:23" x14ac:dyDescent="0.2">
      <c r="J31" s="92"/>
      <c r="L31" s="39"/>
      <c r="W31" t="s">
        <v>72</v>
      </c>
    </row>
    <row r="32" spans="1:23" x14ac:dyDescent="0.2">
      <c r="J32" s="92"/>
      <c r="L32" s="39"/>
      <c r="W32" t="s">
        <v>72</v>
      </c>
    </row>
  </sheetData>
  <hyperlinks>
    <hyperlink ref="A1" location="'Table of Contents'!A1" display="Table of Contents" xr:uid="{DEDC5E69-82F3-4ABA-9950-BEE956A934AC}"/>
  </hyperlinks>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7B6E0-BF16-4177-B2F5-E3D504082A47}">
  <dimension ref="A1:AC9"/>
  <sheetViews>
    <sheetView showGridLines="0" workbookViewId="0"/>
  </sheetViews>
  <sheetFormatPr baseColWidth="10" defaultColWidth="8.83203125" defaultRowHeight="15" x14ac:dyDescent="0.2"/>
  <cols>
    <col min="1" max="1" width="23.5" bestFit="1" customWidth="1"/>
    <col min="2" max="2" width="14.33203125" bestFit="1" customWidth="1"/>
    <col min="3" max="3" width="13.6640625" bestFit="1" customWidth="1"/>
    <col min="4" max="4" width="14.6640625" bestFit="1" customWidth="1"/>
    <col min="18" max="18" width="7.33203125" bestFit="1" customWidth="1"/>
    <col min="21" max="21" width="16.5" bestFit="1" customWidth="1"/>
    <col min="22" max="24" width="16.33203125" customWidth="1"/>
    <col min="25" max="25" width="8.5" bestFit="1" customWidth="1"/>
    <col min="26" max="26" width="27.6640625" bestFit="1" customWidth="1"/>
    <col min="27" max="27" width="12.33203125" bestFit="1" customWidth="1"/>
    <col min="28" max="28" width="16.5" bestFit="1" customWidth="1"/>
    <col min="29" max="29" width="6.33203125" bestFit="1" customWidth="1"/>
  </cols>
  <sheetData>
    <row r="1" spans="1:29" x14ac:dyDescent="0.2">
      <c r="A1" s="4" t="s">
        <v>21</v>
      </c>
    </row>
    <row r="2" spans="1:29" ht="16" thickBot="1" x14ac:dyDescent="0.25">
      <c r="A2" s="41" t="s">
        <v>342</v>
      </c>
      <c r="Y2" s="15"/>
      <c r="Z2" s="15"/>
      <c r="AA2" s="15"/>
      <c r="AB2" s="15"/>
      <c r="AC2" s="15"/>
    </row>
    <row r="3" spans="1:29" x14ac:dyDescent="0.2">
      <c r="A3" s="434" t="s">
        <v>343</v>
      </c>
      <c r="B3" s="435"/>
      <c r="C3" s="436"/>
      <c r="D3" s="437" t="s">
        <v>344</v>
      </c>
      <c r="E3" s="437"/>
      <c r="F3" s="437"/>
      <c r="G3" s="437"/>
      <c r="H3" s="437"/>
      <c r="I3" s="437"/>
      <c r="J3" s="438"/>
      <c r="K3" s="439" t="s">
        <v>345</v>
      </c>
      <c r="L3" s="440"/>
      <c r="M3" s="440"/>
      <c r="N3" s="440"/>
      <c r="O3" s="440"/>
      <c r="P3" s="440"/>
      <c r="Q3" s="441"/>
      <c r="R3" s="442" t="s">
        <v>346</v>
      </c>
      <c r="S3" s="443"/>
      <c r="T3" s="448"/>
      <c r="U3" s="430" t="s">
        <v>4571</v>
      </c>
      <c r="V3" s="444"/>
      <c r="W3" s="430" t="s">
        <v>4572</v>
      </c>
      <c r="X3" s="430"/>
      <c r="Y3" s="417" t="s">
        <v>347</v>
      </c>
      <c r="Z3" s="418"/>
      <c r="AA3" s="418"/>
      <c r="AB3" s="418"/>
      <c r="AC3" s="447"/>
    </row>
    <row r="4" spans="1:29" ht="16" thickBot="1" x14ac:dyDescent="0.25">
      <c r="A4" s="106" t="s">
        <v>0</v>
      </c>
      <c r="B4" s="107" t="s">
        <v>348</v>
      </c>
      <c r="C4" s="108" t="s">
        <v>349</v>
      </c>
      <c r="D4" s="109" t="s">
        <v>350</v>
      </c>
      <c r="E4" s="110" t="s">
        <v>351</v>
      </c>
      <c r="F4" s="110" t="s">
        <v>352</v>
      </c>
      <c r="G4" s="110" t="s">
        <v>353</v>
      </c>
      <c r="H4" s="110" t="s">
        <v>354</v>
      </c>
      <c r="I4" s="110" t="s">
        <v>355</v>
      </c>
      <c r="J4" s="110" t="s">
        <v>356</v>
      </c>
      <c r="K4" s="111" t="s">
        <v>350</v>
      </c>
      <c r="L4" s="112" t="s">
        <v>351</v>
      </c>
      <c r="M4" s="112" t="s">
        <v>352</v>
      </c>
      <c r="N4" s="112" t="s">
        <v>353</v>
      </c>
      <c r="O4" s="112" t="s">
        <v>354</v>
      </c>
      <c r="P4" s="112" t="s">
        <v>355</v>
      </c>
      <c r="Q4" s="119" t="s">
        <v>356</v>
      </c>
      <c r="R4" s="113" t="s">
        <v>357</v>
      </c>
      <c r="S4" s="114" t="s">
        <v>358</v>
      </c>
      <c r="T4" s="115" t="s">
        <v>359</v>
      </c>
      <c r="U4" s="116" t="s">
        <v>360</v>
      </c>
      <c r="V4" s="212" t="s">
        <v>361</v>
      </c>
      <c r="W4" s="116" t="s">
        <v>360</v>
      </c>
      <c r="X4" s="116" t="s">
        <v>361</v>
      </c>
      <c r="Y4" s="45" t="s">
        <v>39</v>
      </c>
      <c r="Z4" s="46" t="s">
        <v>5321</v>
      </c>
      <c r="AA4" s="46" t="s">
        <v>362</v>
      </c>
      <c r="AB4" s="46" t="s">
        <v>5385</v>
      </c>
      <c r="AC4" s="117" t="s">
        <v>41</v>
      </c>
    </row>
    <row r="5" spans="1:29" ht="16" thickBot="1" x14ac:dyDescent="0.25">
      <c r="A5" s="156" t="s">
        <v>2532</v>
      </c>
      <c r="B5" s="157"/>
      <c r="C5" s="158" t="s">
        <v>364</v>
      </c>
      <c r="D5" s="157" t="s">
        <v>366</v>
      </c>
      <c r="E5" s="157" t="s">
        <v>366</v>
      </c>
      <c r="F5" s="157" t="s">
        <v>366</v>
      </c>
      <c r="G5" s="157" t="s">
        <v>366</v>
      </c>
      <c r="H5" s="157" t="s">
        <v>366</v>
      </c>
      <c r="I5" s="157" t="s">
        <v>366</v>
      </c>
      <c r="J5" s="157" t="s">
        <v>366</v>
      </c>
      <c r="K5" s="156" t="s">
        <v>366</v>
      </c>
      <c r="L5" s="157" t="s">
        <v>366</v>
      </c>
      <c r="M5" s="157" t="s">
        <v>366</v>
      </c>
      <c r="N5" s="157" t="s">
        <v>366</v>
      </c>
      <c r="O5" s="157" t="s">
        <v>366</v>
      </c>
      <c r="P5" s="157" t="s">
        <v>366</v>
      </c>
      <c r="Q5" s="157" t="s">
        <v>366</v>
      </c>
      <c r="R5" s="160">
        <f>B9</f>
        <v>0.25096000000000002</v>
      </c>
      <c r="S5" s="161">
        <f>C9</f>
        <v>0.46167499999999995</v>
      </c>
      <c r="T5" s="161">
        <f>D9</f>
        <v>0.56352000000000024</v>
      </c>
      <c r="U5" s="162">
        <f>AVERAGE('Radiant Barrier Data'!N29/'Radiant Barrier Data'!L29,'Radiant Barrier Data'!N30/'Radiant Barrier Data'!L30)</f>
        <v>2.6666666666666665</v>
      </c>
      <c r="V5" s="158" t="s">
        <v>366</v>
      </c>
      <c r="W5" s="157" t="s">
        <v>366</v>
      </c>
      <c r="X5" s="157" t="s">
        <v>366</v>
      </c>
      <c r="Y5" s="156">
        <v>999</v>
      </c>
      <c r="Z5" s="157" t="s">
        <v>5478</v>
      </c>
      <c r="AA5" s="157" t="s">
        <v>3413</v>
      </c>
      <c r="AB5" s="157" t="s">
        <v>5390</v>
      </c>
      <c r="AC5" s="158"/>
    </row>
    <row r="7" spans="1:29" ht="16" thickBot="1" x14ac:dyDescent="0.25">
      <c r="A7" t="s">
        <v>2613</v>
      </c>
    </row>
    <row r="8" spans="1:29" ht="16" thickBot="1" x14ac:dyDescent="0.25">
      <c r="A8" s="124" t="s">
        <v>0</v>
      </c>
      <c r="B8" s="125" t="s">
        <v>1148</v>
      </c>
      <c r="C8" s="125" t="s">
        <v>1149</v>
      </c>
      <c r="D8" s="126" t="s">
        <v>1150</v>
      </c>
    </row>
    <row r="9" spans="1:29" x14ac:dyDescent="0.2">
      <c r="A9" s="238" t="s">
        <v>2532</v>
      </c>
      <c r="B9" s="237">
        <f>_xlfn.PERCENTILE.INC(Table17[Materials ($/SF)],0.1)</f>
        <v>0.25096000000000002</v>
      </c>
      <c r="C9" s="159">
        <f>_xlfn.PERCENTILE.INC(Table17[Materials ($/SF)],0.5)</f>
        <v>0.46167499999999995</v>
      </c>
      <c r="D9" s="159">
        <f>_xlfn.PERCENTILE.INC(Table17[Materials ($/SF)],0.9)</f>
        <v>0.56352000000000024</v>
      </c>
    </row>
  </sheetData>
  <mergeCells count="7">
    <mergeCell ref="W3:X3"/>
    <mergeCell ref="Y3:AC3"/>
    <mergeCell ref="A3:C3"/>
    <mergeCell ref="D3:J3"/>
    <mergeCell ref="K3:Q3"/>
    <mergeCell ref="R3:T3"/>
    <mergeCell ref="U3:V3"/>
  </mergeCells>
  <hyperlinks>
    <hyperlink ref="A1" location="'Table of Contents'!A1" display="Table of Contents" xr:uid="{719384E1-220A-4F1E-A9FA-3C459FFE9D6A}"/>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26A4-807B-4906-8217-6DED6EC3E357}">
  <dimension ref="A1:AV57"/>
  <sheetViews>
    <sheetView topLeftCell="A16" zoomScale="90" zoomScaleNormal="90" workbookViewId="0">
      <selection activeCell="A44" sqref="A44:A57"/>
    </sheetView>
  </sheetViews>
  <sheetFormatPr baseColWidth="10" defaultColWidth="10.6640625" defaultRowHeight="15" customHeight="1" x14ac:dyDescent="0.2"/>
  <cols>
    <col min="8" max="8" width="13.6640625" customWidth="1"/>
    <col min="9" max="9" width="10.83203125" bestFit="1" customWidth="1"/>
    <col min="10" max="10" width="15.33203125" bestFit="1" customWidth="1"/>
    <col min="12" max="12" width="14" bestFit="1" customWidth="1"/>
    <col min="13" max="13" width="14.5" bestFit="1" customWidth="1"/>
    <col min="14" max="14" width="14.6640625" bestFit="1" customWidth="1"/>
    <col min="15" max="15" width="13.83203125" bestFit="1" customWidth="1"/>
    <col min="16" max="16" width="14.33203125" bestFit="1" customWidth="1"/>
    <col min="17" max="17" width="15.33203125" bestFit="1" customWidth="1"/>
    <col min="18" max="18" width="15.5" bestFit="1" customWidth="1"/>
    <col min="19" max="19" width="15.1640625" bestFit="1" customWidth="1"/>
    <col min="20" max="20" width="18" bestFit="1" customWidth="1"/>
    <col min="23" max="23" width="18.33203125" bestFit="1" customWidth="1"/>
    <col min="28" max="28" width="14.6640625" bestFit="1" customWidth="1"/>
    <col min="30" max="30" width="21" bestFit="1" customWidth="1"/>
    <col min="31" max="31" width="22.6640625" customWidth="1"/>
    <col min="32" max="32" width="17" customWidth="1"/>
    <col min="38" max="38" width="48.33203125" customWidth="1"/>
    <col min="39" max="39" width="39.33203125" customWidth="1"/>
    <col min="40" max="40" width="39.83203125" customWidth="1"/>
    <col min="41" max="41" width="70.33203125" customWidth="1"/>
    <col min="42" max="42" width="29" customWidth="1"/>
    <col min="43" max="43" width="52.33203125" customWidth="1"/>
    <col min="44" max="44" width="16.5" customWidth="1"/>
    <col min="45" max="45" width="11.5" bestFit="1" customWidth="1"/>
    <col min="46" max="46" width="14.5" bestFit="1" customWidth="1"/>
    <col min="47" max="47" width="18.33203125" bestFit="1" customWidth="1"/>
    <col min="48" max="48" width="255.6640625" bestFit="1" customWidth="1"/>
  </cols>
  <sheetData>
    <row r="1" spans="1:48" ht="15" customHeight="1" thickBot="1" x14ac:dyDescent="0.25">
      <c r="A1" s="4" t="s">
        <v>21</v>
      </c>
    </row>
    <row r="2" spans="1:48" ht="15" customHeight="1" x14ac:dyDescent="0.25">
      <c r="A2" s="24" t="s">
        <v>22</v>
      </c>
      <c r="H2" s="405" t="s">
        <v>5305</v>
      </c>
    </row>
    <row r="3" spans="1:48" ht="15" customHeight="1" x14ac:dyDescent="0.25">
      <c r="A3" s="378" t="s">
        <v>0</v>
      </c>
      <c r="B3" s="378" t="s">
        <v>388</v>
      </c>
      <c r="C3" s="378" t="s">
        <v>1158</v>
      </c>
      <c r="D3" s="378" t="s">
        <v>1159</v>
      </c>
      <c r="E3" s="403" t="s">
        <v>1160</v>
      </c>
      <c r="F3" s="403" t="s">
        <v>354</v>
      </c>
      <c r="G3" s="408" t="s">
        <v>1153</v>
      </c>
      <c r="H3" s="404" t="s">
        <v>5480</v>
      </c>
      <c r="I3" s="378" t="s">
        <v>5481</v>
      </c>
      <c r="J3" s="378" t="s">
        <v>5483</v>
      </c>
      <c r="K3" s="378" t="s">
        <v>5482</v>
      </c>
      <c r="L3" s="378" t="s">
        <v>5484</v>
      </c>
      <c r="M3" s="378" t="s">
        <v>5485</v>
      </c>
      <c r="N3" s="378" t="s">
        <v>5486</v>
      </c>
      <c r="O3" s="378" t="s">
        <v>5487</v>
      </c>
      <c r="P3" s="378" t="s">
        <v>5488</v>
      </c>
      <c r="Q3" s="378" t="s">
        <v>5489</v>
      </c>
      <c r="R3" s="378" t="s">
        <v>5490</v>
      </c>
      <c r="S3" s="378" t="s">
        <v>5491</v>
      </c>
      <c r="T3" s="378" t="s">
        <v>5492</v>
      </c>
      <c r="U3" s="378" t="s">
        <v>5493</v>
      </c>
      <c r="V3" s="406" t="s">
        <v>5494</v>
      </c>
      <c r="W3" s="407" t="s">
        <v>5495</v>
      </c>
      <c r="X3" s="402" t="s">
        <v>43</v>
      </c>
      <c r="AA3" s="169" t="s">
        <v>23</v>
      </c>
      <c r="AB3" s="64"/>
      <c r="AC3" s="170"/>
      <c r="AD3" s="170"/>
      <c r="AE3" s="445" t="s">
        <v>24</v>
      </c>
      <c r="AF3" s="446"/>
      <c r="AG3" s="170"/>
      <c r="AL3" s="24" t="s">
        <v>1208</v>
      </c>
      <c r="AM3" s="379" t="s">
        <v>1152</v>
      </c>
      <c r="AP3" s="24"/>
      <c r="AS3" s="380"/>
      <c r="AT3" s="380"/>
      <c r="AU3" s="380"/>
    </row>
    <row r="4" spans="1:48" ht="15" customHeight="1" x14ac:dyDescent="0.2">
      <c r="A4" s="272" t="s">
        <v>3412</v>
      </c>
      <c r="B4" s="272" t="s">
        <v>1223</v>
      </c>
      <c r="C4" s="272" t="s">
        <v>1224</v>
      </c>
      <c r="D4" s="272">
        <v>1324</v>
      </c>
      <c r="E4" s="272">
        <v>2.4E-2</v>
      </c>
      <c r="F4" s="272" t="s">
        <v>1170</v>
      </c>
      <c r="G4" s="409" t="s">
        <v>5496</v>
      </c>
      <c r="H4" s="274">
        <v>12.85</v>
      </c>
      <c r="I4" s="274">
        <v>0.93</v>
      </c>
      <c r="J4" s="274">
        <v>0</v>
      </c>
      <c r="K4" s="274">
        <v>13.78</v>
      </c>
      <c r="L4" s="274">
        <v>12.85</v>
      </c>
      <c r="M4" s="274">
        <v>0.93</v>
      </c>
      <c r="N4" s="274">
        <v>0</v>
      </c>
      <c r="O4" s="274">
        <v>13.78</v>
      </c>
      <c r="P4" s="274">
        <v>14.15</v>
      </c>
      <c r="Q4" s="274">
        <v>1.52</v>
      </c>
      <c r="R4" s="274">
        <v>0</v>
      </c>
      <c r="S4" s="274">
        <v>15.67</v>
      </c>
      <c r="T4" s="274">
        <v>14.15</v>
      </c>
      <c r="U4" s="274">
        <v>1.52</v>
      </c>
      <c r="V4" s="274">
        <v>0</v>
      </c>
      <c r="W4" s="274">
        <v>15.67</v>
      </c>
      <c r="X4" s="272" t="s">
        <v>70</v>
      </c>
      <c r="AA4" s="368" t="s">
        <v>0</v>
      </c>
      <c r="AB4" s="369" t="s">
        <v>25</v>
      </c>
      <c r="AC4" s="369" t="s">
        <v>58</v>
      </c>
      <c r="AD4" s="369" t="s">
        <v>60</v>
      </c>
      <c r="AE4" s="369" t="s">
        <v>62</v>
      </c>
      <c r="AF4" s="369" t="s">
        <v>64</v>
      </c>
      <c r="AG4" s="370" t="s">
        <v>43</v>
      </c>
      <c r="AL4" s="381" t="s">
        <v>43</v>
      </c>
      <c r="AM4" s="382" t="s">
        <v>1153</v>
      </c>
      <c r="AN4" s="381" t="s">
        <v>1209</v>
      </c>
      <c r="AO4" s="381" t="s">
        <v>1210</v>
      </c>
      <c r="AP4" s="381" t="s">
        <v>1155</v>
      </c>
      <c r="AQ4" s="381" t="s">
        <v>1211</v>
      </c>
      <c r="AR4" s="381" t="s">
        <v>386</v>
      </c>
    </row>
    <row r="5" spans="1:48" ht="15" customHeight="1" x14ac:dyDescent="0.2">
      <c r="A5" s="276" t="s">
        <v>3412</v>
      </c>
      <c r="B5" s="276" t="s">
        <v>1230</v>
      </c>
      <c r="C5" s="276" t="s">
        <v>1224</v>
      </c>
      <c r="D5" s="276">
        <v>1600</v>
      </c>
      <c r="E5" s="276">
        <v>0.02</v>
      </c>
      <c r="F5" s="276" t="s">
        <v>1170</v>
      </c>
      <c r="G5" s="410" t="s">
        <v>5496</v>
      </c>
      <c r="H5" s="278">
        <v>5.25</v>
      </c>
      <c r="I5" s="278">
        <v>0.77</v>
      </c>
      <c r="J5" s="278">
        <v>0</v>
      </c>
      <c r="K5" s="278">
        <v>6.02</v>
      </c>
      <c r="L5" s="278">
        <v>5.25</v>
      </c>
      <c r="M5" s="278">
        <v>0.77</v>
      </c>
      <c r="N5" s="278">
        <v>0</v>
      </c>
      <c r="O5" s="278">
        <v>6.02</v>
      </c>
      <c r="P5" s="278">
        <v>5.8</v>
      </c>
      <c r="Q5" s="278">
        <v>1.26</v>
      </c>
      <c r="R5" s="278">
        <v>0</v>
      </c>
      <c r="S5" s="278">
        <v>7.06</v>
      </c>
      <c r="T5" s="278">
        <v>5.8</v>
      </c>
      <c r="U5" s="278">
        <v>1.26</v>
      </c>
      <c r="V5" s="278">
        <v>0</v>
      </c>
      <c r="W5" s="278">
        <v>7.06</v>
      </c>
      <c r="X5" s="276" t="s">
        <v>70</v>
      </c>
      <c r="AA5" s="25" t="s">
        <v>3412</v>
      </c>
      <c r="AB5" s="25" t="s">
        <v>5454</v>
      </c>
      <c r="AC5" s="197">
        <v>1.2934146341463413</v>
      </c>
      <c r="AD5" s="303">
        <v>1.2934146341463413</v>
      </c>
      <c r="AE5" s="304">
        <v>1.1852123857303416</v>
      </c>
      <c r="AF5" s="305">
        <v>2023</v>
      </c>
      <c r="AG5" s="305" t="s">
        <v>70</v>
      </c>
      <c r="AL5" s="129" t="s">
        <v>1212</v>
      </c>
      <c r="AM5" s="130" t="s">
        <v>1213</v>
      </c>
      <c r="AN5" s="130" t="s">
        <v>1214</v>
      </c>
      <c r="AO5" s="130" t="s">
        <v>1215</v>
      </c>
      <c r="AP5" s="164">
        <v>404</v>
      </c>
      <c r="AQ5" s="132">
        <v>6.3125</v>
      </c>
      <c r="AR5" s="133" t="s">
        <v>1216</v>
      </c>
      <c r="AS5" s="383"/>
      <c r="AT5" s="134"/>
      <c r="AU5" s="133"/>
      <c r="AV5" s="384"/>
    </row>
    <row r="6" spans="1:48" ht="15" customHeight="1" x14ac:dyDescent="0.2">
      <c r="A6" s="272" t="s">
        <v>3412</v>
      </c>
      <c r="B6" s="272" t="s">
        <v>1233</v>
      </c>
      <c r="C6" s="272" t="s">
        <v>1224</v>
      </c>
      <c r="D6" s="272">
        <v>7000</v>
      </c>
      <c r="E6" s="272">
        <v>5.0000000000000001E-3</v>
      </c>
      <c r="F6" s="272" t="s">
        <v>1170</v>
      </c>
      <c r="G6" s="409" t="s">
        <v>5496</v>
      </c>
      <c r="H6" s="274">
        <v>9</v>
      </c>
      <c r="I6" s="274">
        <v>0.18</v>
      </c>
      <c r="J6" s="274">
        <v>0</v>
      </c>
      <c r="K6" s="274">
        <v>9.18</v>
      </c>
      <c r="L6" s="274">
        <v>9</v>
      </c>
      <c r="M6" s="274">
        <v>0.18</v>
      </c>
      <c r="N6" s="274">
        <v>0</v>
      </c>
      <c r="O6" s="274">
        <v>9.18</v>
      </c>
      <c r="P6" s="274">
        <v>9.9</v>
      </c>
      <c r="Q6" s="274">
        <v>0.28999999999999998</v>
      </c>
      <c r="R6" s="274">
        <v>0</v>
      </c>
      <c r="S6" s="274">
        <v>10.19</v>
      </c>
      <c r="T6" s="274">
        <v>9.9</v>
      </c>
      <c r="U6" s="274">
        <v>0.28999999999999998</v>
      </c>
      <c r="V6" s="274">
        <v>0</v>
      </c>
      <c r="W6" s="274">
        <v>10.19</v>
      </c>
      <c r="X6" s="272" t="s">
        <v>70</v>
      </c>
      <c r="AL6" s="129" t="s">
        <v>1212</v>
      </c>
      <c r="AM6" s="130" t="s">
        <v>1213</v>
      </c>
      <c r="AN6" s="130" t="s">
        <v>1219</v>
      </c>
      <c r="AO6" s="130" t="s">
        <v>1215</v>
      </c>
      <c r="AP6" s="164">
        <v>455</v>
      </c>
      <c r="AQ6" s="132">
        <v>5.6111111111111107</v>
      </c>
      <c r="AR6" s="133" t="s">
        <v>1216</v>
      </c>
      <c r="AS6" s="383"/>
      <c r="AT6" s="134"/>
      <c r="AU6" s="133"/>
      <c r="AV6" s="384"/>
    </row>
    <row r="7" spans="1:48" ht="15" customHeight="1" x14ac:dyDescent="0.2">
      <c r="A7" s="276" t="s">
        <v>3412</v>
      </c>
      <c r="B7" s="276" t="s">
        <v>1245</v>
      </c>
      <c r="C7" s="276" t="s">
        <v>1224</v>
      </c>
      <c r="D7" s="276">
        <v>1152</v>
      </c>
      <c r="E7" s="276">
        <v>2.8000000000000001E-2</v>
      </c>
      <c r="F7" s="276" t="s">
        <v>1170</v>
      </c>
      <c r="G7" s="410" t="s">
        <v>5496</v>
      </c>
      <c r="H7" s="278">
        <v>5.95</v>
      </c>
      <c r="I7" s="278">
        <v>1.07</v>
      </c>
      <c r="J7" s="278">
        <v>0</v>
      </c>
      <c r="K7" s="278">
        <v>7.0200000000000005</v>
      </c>
      <c r="L7" s="278">
        <v>5.95</v>
      </c>
      <c r="M7" s="278">
        <v>1.07</v>
      </c>
      <c r="N7" s="278">
        <v>0</v>
      </c>
      <c r="O7" s="278">
        <v>7.02</v>
      </c>
      <c r="P7" s="278">
        <v>6.5</v>
      </c>
      <c r="Q7" s="278">
        <v>1.75</v>
      </c>
      <c r="R7" s="278">
        <v>0</v>
      </c>
      <c r="S7" s="278">
        <v>8.25</v>
      </c>
      <c r="T7" s="278">
        <v>6.5</v>
      </c>
      <c r="U7" s="278">
        <v>1.75</v>
      </c>
      <c r="V7" s="278">
        <v>0</v>
      </c>
      <c r="W7" s="278">
        <v>8.25</v>
      </c>
      <c r="X7" s="276" t="s">
        <v>70</v>
      </c>
      <c r="AL7" s="129" t="s">
        <v>1212</v>
      </c>
      <c r="AM7" s="130" t="s">
        <v>1213</v>
      </c>
      <c r="AN7" s="130" t="s">
        <v>1221</v>
      </c>
      <c r="AO7" s="130" t="s">
        <v>1215</v>
      </c>
      <c r="AP7" s="164">
        <v>428</v>
      </c>
      <c r="AQ7" s="132">
        <v>6.3125</v>
      </c>
      <c r="AR7" s="133" t="s">
        <v>1216</v>
      </c>
      <c r="AS7" s="383"/>
      <c r="AT7" s="134"/>
      <c r="AU7" s="133"/>
      <c r="AV7" s="384"/>
    </row>
    <row r="8" spans="1:48" ht="15" customHeight="1" x14ac:dyDescent="0.2">
      <c r="A8" s="272" t="s">
        <v>3412</v>
      </c>
      <c r="B8" s="272" t="s">
        <v>1249</v>
      </c>
      <c r="C8" s="272" t="s">
        <v>1224</v>
      </c>
      <c r="D8" s="272">
        <v>496</v>
      </c>
      <c r="E8" s="272">
        <v>6.5000000000000002E-2</v>
      </c>
      <c r="F8" s="272" t="s">
        <v>1170</v>
      </c>
      <c r="G8" s="409" t="s">
        <v>5496</v>
      </c>
      <c r="H8" s="274">
        <v>4.04</v>
      </c>
      <c r="I8" s="274">
        <v>2.4900000000000002</v>
      </c>
      <c r="J8" s="274">
        <v>0</v>
      </c>
      <c r="K8" s="274">
        <v>6.53</v>
      </c>
      <c r="L8" s="274">
        <v>4.04</v>
      </c>
      <c r="M8" s="274">
        <v>2.4900000000000002</v>
      </c>
      <c r="N8" s="274">
        <v>0</v>
      </c>
      <c r="O8" s="274">
        <v>6.53</v>
      </c>
      <c r="P8" s="274">
        <v>4.4400000000000004</v>
      </c>
      <c r="Q8" s="274">
        <v>4.0599999999999996</v>
      </c>
      <c r="R8" s="274">
        <v>0</v>
      </c>
      <c r="S8" s="274">
        <v>8.5</v>
      </c>
      <c r="T8" s="274">
        <v>4.4400000000000004</v>
      </c>
      <c r="U8" s="274">
        <v>4.0599999999999996</v>
      </c>
      <c r="V8" s="274">
        <v>0</v>
      </c>
      <c r="W8" s="274">
        <v>8.5</v>
      </c>
      <c r="X8" s="272" t="s">
        <v>70</v>
      </c>
      <c r="AL8" s="129" t="s">
        <v>1212</v>
      </c>
      <c r="AM8" s="130" t="s">
        <v>1213</v>
      </c>
      <c r="AN8" s="130" t="s">
        <v>1222</v>
      </c>
      <c r="AO8" s="130" t="s">
        <v>1215</v>
      </c>
      <c r="AP8" s="164">
        <v>517</v>
      </c>
      <c r="AQ8" s="132">
        <v>5.2241379310344831</v>
      </c>
      <c r="AR8" s="133" t="s">
        <v>1216</v>
      </c>
      <c r="AS8" s="383"/>
      <c r="AT8" s="134"/>
      <c r="AU8" s="133"/>
      <c r="AV8" s="384"/>
    </row>
    <row r="9" spans="1:48" ht="15" customHeight="1" x14ac:dyDescent="0.2">
      <c r="A9" s="276" t="s">
        <v>3412</v>
      </c>
      <c r="B9" s="276" t="s">
        <v>1250</v>
      </c>
      <c r="C9" s="276" t="s">
        <v>1224</v>
      </c>
      <c r="D9" s="276">
        <v>1200</v>
      </c>
      <c r="E9" s="276">
        <v>2.7E-2</v>
      </c>
      <c r="F9" s="276" t="s">
        <v>1170</v>
      </c>
      <c r="G9" s="410" t="s">
        <v>5496</v>
      </c>
      <c r="H9" s="278">
        <v>7.55</v>
      </c>
      <c r="I9" s="278">
        <v>1.03</v>
      </c>
      <c r="J9" s="278">
        <v>0</v>
      </c>
      <c r="K9" s="278">
        <v>8.58</v>
      </c>
      <c r="L9" s="278">
        <v>7.55</v>
      </c>
      <c r="M9" s="278">
        <v>1.03</v>
      </c>
      <c r="N9" s="278">
        <v>0</v>
      </c>
      <c r="O9" s="278">
        <v>8.58</v>
      </c>
      <c r="P9" s="278">
        <v>8.3000000000000007</v>
      </c>
      <c r="Q9" s="278">
        <v>1.68</v>
      </c>
      <c r="R9" s="278">
        <v>0</v>
      </c>
      <c r="S9" s="278">
        <v>9.98</v>
      </c>
      <c r="T9" s="278">
        <v>8.3000000000000007</v>
      </c>
      <c r="U9" s="278">
        <v>1.68</v>
      </c>
      <c r="V9" s="278">
        <v>0</v>
      </c>
      <c r="W9" s="278">
        <v>9.98</v>
      </c>
      <c r="X9" s="276" t="s">
        <v>70</v>
      </c>
      <c r="AL9" s="129" t="s">
        <v>1225</v>
      </c>
      <c r="AM9" s="130" t="s">
        <v>1226</v>
      </c>
      <c r="AN9" s="130" t="s">
        <v>1227</v>
      </c>
      <c r="AO9" s="130" t="s">
        <v>1228</v>
      </c>
      <c r="AP9" s="132">
        <v>375.42</v>
      </c>
      <c r="AQ9" s="132">
        <v>5.8659375000000002</v>
      </c>
      <c r="AR9" s="133" t="s">
        <v>1229</v>
      </c>
      <c r="AS9" s="383"/>
      <c r="AT9" s="134"/>
      <c r="AU9" s="133"/>
      <c r="AV9" s="384"/>
    </row>
    <row r="10" spans="1:48" ht="15" customHeight="1" x14ac:dyDescent="0.2">
      <c r="A10" s="272" t="s">
        <v>3412</v>
      </c>
      <c r="B10" s="272" t="s">
        <v>1256</v>
      </c>
      <c r="C10" s="272" t="s">
        <v>1224</v>
      </c>
      <c r="D10" s="272">
        <v>4622</v>
      </c>
      <c r="E10" s="272">
        <v>7.0000000000000001E-3</v>
      </c>
      <c r="F10" s="272" t="s">
        <v>1170</v>
      </c>
      <c r="G10" s="409" t="s">
        <v>5496</v>
      </c>
      <c r="H10" s="274">
        <v>13.45</v>
      </c>
      <c r="I10" s="274">
        <v>0.27</v>
      </c>
      <c r="J10" s="274">
        <v>0</v>
      </c>
      <c r="K10" s="274">
        <v>13.719999999999999</v>
      </c>
      <c r="L10" s="274">
        <v>13.45</v>
      </c>
      <c r="M10" s="274">
        <v>0.27</v>
      </c>
      <c r="N10" s="274">
        <v>0</v>
      </c>
      <c r="O10" s="274">
        <v>13.72</v>
      </c>
      <c r="P10" s="274">
        <v>14.8</v>
      </c>
      <c r="Q10" s="274">
        <v>0.44</v>
      </c>
      <c r="R10" s="274">
        <v>0</v>
      </c>
      <c r="S10" s="274">
        <v>15.24</v>
      </c>
      <c r="T10" s="274">
        <v>14.8</v>
      </c>
      <c r="U10" s="274">
        <v>0.44</v>
      </c>
      <c r="V10" s="274">
        <v>0</v>
      </c>
      <c r="W10" s="274">
        <v>15.24</v>
      </c>
      <c r="X10" s="272" t="s">
        <v>70</v>
      </c>
      <c r="AL10" s="129" t="s">
        <v>1225</v>
      </c>
      <c r="AM10" s="130" t="s">
        <v>1226</v>
      </c>
      <c r="AN10" s="130" t="s">
        <v>1227</v>
      </c>
      <c r="AO10" s="130" t="s">
        <v>1231</v>
      </c>
      <c r="AP10" s="132">
        <v>375.42</v>
      </c>
      <c r="AQ10" s="132">
        <v>5.8659375000000002</v>
      </c>
      <c r="AR10" s="133" t="s">
        <v>1229</v>
      </c>
      <c r="AS10" s="383"/>
      <c r="AT10" s="134"/>
      <c r="AU10" s="133"/>
      <c r="AV10" s="384"/>
    </row>
    <row r="11" spans="1:48" ht="15" customHeight="1" x14ac:dyDescent="0.2">
      <c r="A11" s="276" t="s">
        <v>3412</v>
      </c>
      <c r="B11" s="276" t="s">
        <v>1257</v>
      </c>
      <c r="C11" s="276" t="s">
        <v>1224</v>
      </c>
      <c r="D11" s="276">
        <v>2800</v>
      </c>
      <c r="E11" s="276">
        <v>1.0999999999999999E-2</v>
      </c>
      <c r="F11" s="276" t="s">
        <v>1170</v>
      </c>
      <c r="G11" s="410" t="s">
        <v>5496</v>
      </c>
      <c r="H11" s="278">
        <v>7.55</v>
      </c>
      <c r="I11" s="278">
        <v>0.44</v>
      </c>
      <c r="J11" s="278">
        <v>0</v>
      </c>
      <c r="K11" s="278">
        <v>7.99</v>
      </c>
      <c r="L11" s="278">
        <v>7.55</v>
      </c>
      <c r="M11" s="278">
        <v>0.44</v>
      </c>
      <c r="N11" s="278">
        <v>0</v>
      </c>
      <c r="O11" s="278">
        <v>7.99</v>
      </c>
      <c r="P11" s="278">
        <v>8.3000000000000007</v>
      </c>
      <c r="Q11" s="278">
        <v>0.72</v>
      </c>
      <c r="R11" s="278">
        <v>0</v>
      </c>
      <c r="S11" s="278">
        <v>9.0200000000000014</v>
      </c>
      <c r="T11" s="278">
        <v>8.3000000000000007</v>
      </c>
      <c r="U11" s="278">
        <v>0.72</v>
      </c>
      <c r="V11" s="278">
        <v>0</v>
      </c>
      <c r="W11" s="278">
        <v>9.02</v>
      </c>
      <c r="X11" s="276" t="s">
        <v>70</v>
      </c>
      <c r="AL11" s="129" t="s">
        <v>1225</v>
      </c>
      <c r="AM11" s="130" t="s">
        <v>1226</v>
      </c>
      <c r="AN11" s="130" t="s">
        <v>1227</v>
      </c>
      <c r="AO11" s="130" t="s">
        <v>1232</v>
      </c>
      <c r="AP11" s="132">
        <v>328.28</v>
      </c>
      <c r="AQ11" s="132">
        <v>5.1293750000000005</v>
      </c>
      <c r="AR11" s="133" t="s">
        <v>1229</v>
      </c>
      <c r="AS11" s="383"/>
      <c r="AT11" s="134"/>
      <c r="AU11" s="133"/>
      <c r="AV11" s="384"/>
    </row>
    <row r="12" spans="1:48" ht="15" customHeight="1" x14ac:dyDescent="0.2">
      <c r="A12" s="272" t="s">
        <v>3412</v>
      </c>
      <c r="B12" s="272" t="s">
        <v>1258</v>
      </c>
      <c r="C12" s="272" t="s">
        <v>1224</v>
      </c>
      <c r="D12" s="272">
        <v>1540</v>
      </c>
      <c r="E12" s="272">
        <v>2.1000000000000001E-2</v>
      </c>
      <c r="F12" s="272" t="s">
        <v>1170</v>
      </c>
      <c r="G12" s="409" t="s">
        <v>5496</v>
      </c>
      <c r="H12" s="274">
        <v>6.45</v>
      </c>
      <c r="I12" s="274">
        <v>0.8</v>
      </c>
      <c r="J12" s="274">
        <v>0</v>
      </c>
      <c r="K12" s="274">
        <v>7.25</v>
      </c>
      <c r="L12" s="274">
        <v>6.45</v>
      </c>
      <c r="M12" s="274">
        <v>0.8</v>
      </c>
      <c r="N12" s="274">
        <v>0</v>
      </c>
      <c r="O12" s="274">
        <v>7.25</v>
      </c>
      <c r="P12" s="274">
        <v>7.1</v>
      </c>
      <c r="Q12" s="274">
        <v>1.31</v>
      </c>
      <c r="R12" s="274">
        <v>0</v>
      </c>
      <c r="S12" s="274">
        <v>8.41</v>
      </c>
      <c r="T12" s="274">
        <v>7.1</v>
      </c>
      <c r="U12" s="274">
        <v>1.31</v>
      </c>
      <c r="V12" s="274">
        <v>0</v>
      </c>
      <c r="W12" s="274">
        <v>8.41</v>
      </c>
      <c r="X12" s="272" t="s">
        <v>70</v>
      </c>
      <c r="AL12" s="129" t="s">
        <v>1225</v>
      </c>
      <c r="AM12" s="130" t="s">
        <v>1226</v>
      </c>
      <c r="AN12" s="130" t="s">
        <v>1227</v>
      </c>
      <c r="AO12" s="130" t="s">
        <v>1234</v>
      </c>
      <c r="AP12" s="132">
        <v>346.5</v>
      </c>
      <c r="AQ12" s="132">
        <v>5.4140625</v>
      </c>
      <c r="AR12" s="133" t="s">
        <v>1229</v>
      </c>
      <c r="AS12" s="383"/>
      <c r="AT12" s="134"/>
      <c r="AU12" s="133"/>
      <c r="AV12" s="384"/>
    </row>
    <row r="13" spans="1:48" ht="15" customHeight="1" x14ac:dyDescent="0.2">
      <c r="A13" s="276" t="s">
        <v>3412</v>
      </c>
      <c r="B13" s="276" t="s">
        <v>1259</v>
      </c>
      <c r="C13" s="276" t="s">
        <v>1224</v>
      </c>
      <c r="D13" s="276">
        <v>14000</v>
      </c>
      <c r="E13" s="276">
        <v>2E-3</v>
      </c>
      <c r="F13" s="276" t="s">
        <v>1170</v>
      </c>
      <c r="G13" s="410" t="s">
        <v>5496</v>
      </c>
      <c r="H13" s="278">
        <v>4.49</v>
      </c>
      <c r="I13" s="278">
        <v>0.09</v>
      </c>
      <c r="J13" s="278">
        <v>0</v>
      </c>
      <c r="K13" s="278">
        <v>4.58</v>
      </c>
      <c r="L13" s="278">
        <v>4.49</v>
      </c>
      <c r="M13" s="278">
        <v>0.09</v>
      </c>
      <c r="N13" s="278">
        <v>0</v>
      </c>
      <c r="O13" s="278">
        <v>4.58</v>
      </c>
      <c r="P13" s="278">
        <v>4.9400000000000004</v>
      </c>
      <c r="Q13" s="278">
        <v>0.14000000000000001</v>
      </c>
      <c r="R13" s="278">
        <v>0</v>
      </c>
      <c r="S13" s="278">
        <v>5.08</v>
      </c>
      <c r="T13" s="278">
        <v>4.9400000000000004</v>
      </c>
      <c r="U13" s="278">
        <v>0.14000000000000001</v>
      </c>
      <c r="V13" s="278">
        <v>0</v>
      </c>
      <c r="W13" s="278">
        <v>5.08</v>
      </c>
      <c r="X13" s="276" t="s">
        <v>70</v>
      </c>
      <c r="AL13" s="129" t="s">
        <v>1225</v>
      </c>
      <c r="AM13" s="130" t="s">
        <v>1226</v>
      </c>
      <c r="AN13" s="130" t="s">
        <v>1227</v>
      </c>
      <c r="AO13" s="130" t="s">
        <v>1235</v>
      </c>
      <c r="AP13" s="132">
        <v>352.28</v>
      </c>
      <c r="AQ13" s="132">
        <v>5.5043750000000005</v>
      </c>
      <c r="AR13" s="133" t="s">
        <v>1229</v>
      </c>
      <c r="AS13" s="383"/>
      <c r="AT13" s="134"/>
      <c r="AU13" s="133"/>
      <c r="AV13" s="384"/>
    </row>
    <row r="14" spans="1:48" ht="15" customHeight="1" x14ac:dyDescent="0.2">
      <c r="A14" s="272" t="s">
        <v>3412</v>
      </c>
      <c r="B14" s="272" t="s">
        <v>1267</v>
      </c>
      <c r="C14" s="272" t="s">
        <v>1224</v>
      </c>
      <c r="D14" s="272">
        <v>752</v>
      </c>
      <c r="E14" s="272">
        <v>4.2999999999999997E-2</v>
      </c>
      <c r="F14" s="272" t="s">
        <v>1170</v>
      </c>
      <c r="G14" s="409" t="s">
        <v>5496</v>
      </c>
      <c r="H14" s="274">
        <v>3.1</v>
      </c>
      <c r="I14" s="274">
        <v>1.64</v>
      </c>
      <c r="J14" s="274">
        <v>0</v>
      </c>
      <c r="K14" s="274">
        <v>4.74</v>
      </c>
      <c r="L14" s="274">
        <v>3.1</v>
      </c>
      <c r="M14" s="274">
        <v>1.64</v>
      </c>
      <c r="N14" s="274">
        <v>0</v>
      </c>
      <c r="O14" s="274">
        <v>4.74</v>
      </c>
      <c r="P14" s="274">
        <v>3.4</v>
      </c>
      <c r="Q14" s="274">
        <v>2.68</v>
      </c>
      <c r="R14" s="274">
        <v>0</v>
      </c>
      <c r="S14" s="274">
        <v>6.08</v>
      </c>
      <c r="T14" s="274">
        <v>3.4</v>
      </c>
      <c r="U14" s="274">
        <v>2.68</v>
      </c>
      <c r="V14" s="274">
        <v>0</v>
      </c>
      <c r="W14" s="274">
        <v>6.08</v>
      </c>
      <c r="X14" s="272" t="s">
        <v>70</v>
      </c>
      <c r="AL14" s="129" t="s">
        <v>1236</v>
      </c>
      <c r="AM14" s="130" t="s">
        <v>1226</v>
      </c>
      <c r="AN14" s="130" t="s">
        <v>1237</v>
      </c>
      <c r="AO14" s="130" t="s">
        <v>1238</v>
      </c>
      <c r="AP14" s="131">
        <v>26.69</v>
      </c>
      <c r="AQ14" s="132">
        <v>5.0075046904315199</v>
      </c>
      <c r="AR14" s="133" t="s">
        <v>1239</v>
      </c>
      <c r="AS14" s="383"/>
      <c r="AT14" s="134"/>
      <c r="AU14" s="133"/>
      <c r="AV14" s="384"/>
    </row>
    <row r="15" spans="1:48" ht="15" customHeight="1" x14ac:dyDescent="0.2">
      <c r="A15" s="276" t="s">
        <v>3412</v>
      </c>
      <c r="B15" s="276" t="s">
        <v>1268</v>
      </c>
      <c r="C15" s="276" t="s">
        <v>1224</v>
      </c>
      <c r="D15" s="276">
        <v>400</v>
      </c>
      <c r="E15" s="276">
        <v>0.08</v>
      </c>
      <c r="F15" s="276" t="s">
        <v>1170</v>
      </c>
      <c r="G15" s="410" t="s">
        <v>5496</v>
      </c>
      <c r="H15" s="278">
        <v>4.28</v>
      </c>
      <c r="I15" s="278">
        <v>3.09</v>
      </c>
      <c r="J15" s="278">
        <v>0</v>
      </c>
      <c r="K15" s="278">
        <v>7.37</v>
      </c>
      <c r="L15" s="278">
        <v>4.28</v>
      </c>
      <c r="M15" s="278">
        <v>3.09</v>
      </c>
      <c r="N15" s="278">
        <v>0</v>
      </c>
      <c r="O15" s="278">
        <v>7.37</v>
      </c>
      <c r="P15" s="278">
        <v>4.7</v>
      </c>
      <c r="Q15" s="278">
        <v>5.05</v>
      </c>
      <c r="R15" s="278">
        <v>0</v>
      </c>
      <c r="S15" s="278">
        <v>9.75</v>
      </c>
      <c r="T15" s="278">
        <v>4.7</v>
      </c>
      <c r="U15" s="278">
        <v>5.05</v>
      </c>
      <c r="V15" s="278">
        <v>0</v>
      </c>
      <c r="W15" s="278">
        <v>9.75</v>
      </c>
      <c r="X15" s="276" t="s">
        <v>70</v>
      </c>
      <c r="AL15" s="129" t="s">
        <v>1236</v>
      </c>
      <c r="AM15" s="130" t="s">
        <v>5295</v>
      </c>
      <c r="AN15" s="130" t="s">
        <v>5296</v>
      </c>
      <c r="AO15" s="130" t="s">
        <v>5297</v>
      </c>
      <c r="AP15" s="131">
        <v>25.8</v>
      </c>
      <c r="AQ15" s="132">
        <v>4.8405253283302061</v>
      </c>
      <c r="AR15" s="133" t="s">
        <v>5298</v>
      </c>
      <c r="AS15" s="383"/>
      <c r="AT15" s="134"/>
      <c r="AU15" s="133"/>
      <c r="AV15" s="384"/>
    </row>
    <row r="16" spans="1:48" ht="15" customHeight="1" x14ac:dyDescent="0.2">
      <c r="A16" s="272" t="s">
        <v>3412</v>
      </c>
      <c r="B16" s="272" t="s">
        <v>1273</v>
      </c>
      <c r="C16" s="272" t="s">
        <v>1224</v>
      </c>
      <c r="D16" s="272">
        <v>600</v>
      </c>
      <c r="E16" s="272">
        <v>5.2999999999999999E-2</v>
      </c>
      <c r="F16" s="272" t="s">
        <v>1170</v>
      </c>
      <c r="G16" s="409" t="s">
        <v>5496</v>
      </c>
      <c r="H16" s="274">
        <v>3.4</v>
      </c>
      <c r="I16" s="274">
        <v>2.06</v>
      </c>
      <c r="J16" s="274">
        <v>0</v>
      </c>
      <c r="K16" s="274">
        <v>5.46</v>
      </c>
      <c r="L16" s="274">
        <v>3.4</v>
      </c>
      <c r="M16" s="274">
        <v>2.06</v>
      </c>
      <c r="N16" s="274">
        <v>0</v>
      </c>
      <c r="O16" s="274">
        <v>5.46</v>
      </c>
      <c r="P16" s="274">
        <v>3.73</v>
      </c>
      <c r="Q16" s="274">
        <v>3.36</v>
      </c>
      <c r="R16" s="274">
        <v>0</v>
      </c>
      <c r="S16" s="274">
        <v>7.09</v>
      </c>
      <c r="T16" s="274">
        <v>3.73</v>
      </c>
      <c r="U16" s="274">
        <v>3.36</v>
      </c>
      <c r="V16" s="274">
        <v>0</v>
      </c>
      <c r="W16" s="274">
        <v>7.09</v>
      </c>
      <c r="X16" s="272" t="s">
        <v>70</v>
      </c>
      <c r="AL16" s="129" t="s">
        <v>1240</v>
      </c>
      <c r="AM16" s="130" t="s">
        <v>1241</v>
      </c>
      <c r="AN16" s="130" t="s">
        <v>1242</v>
      </c>
      <c r="AO16" s="130" t="s">
        <v>1243</v>
      </c>
      <c r="AP16" s="131">
        <v>46.23</v>
      </c>
      <c r="AQ16" s="132">
        <v>8.6735459662288932</v>
      </c>
      <c r="AR16" s="130" t="s">
        <v>1244</v>
      </c>
      <c r="AS16" s="165"/>
      <c r="AT16" s="166"/>
      <c r="AU16" s="130"/>
      <c r="AV16" s="167"/>
    </row>
    <row r="17" spans="1:48" ht="15" customHeight="1" x14ac:dyDescent="0.2">
      <c r="A17" s="276" t="s">
        <v>3412</v>
      </c>
      <c r="B17" s="276" t="s">
        <v>1274</v>
      </c>
      <c r="C17" s="276" t="s">
        <v>1224</v>
      </c>
      <c r="D17" s="276">
        <v>752</v>
      </c>
      <c r="E17" s="276">
        <v>4.2999999999999997E-2</v>
      </c>
      <c r="F17" s="276" t="s">
        <v>1170</v>
      </c>
      <c r="G17" s="410" t="s">
        <v>5496</v>
      </c>
      <c r="H17" s="278">
        <v>7.1</v>
      </c>
      <c r="I17" s="278">
        <v>1.64</v>
      </c>
      <c r="J17" s="278">
        <v>0</v>
      </c>
      <c r="K17" s="278">
        <v>8.74</v>
      </c>
      <c r="L17" s="278">
        <v>7.1</v>
      </c>
      <c r="M17" s="278">
        <v>1.64</v>
      </c>
      <c r="N17" s="278">
        <v>0</v>
      </c>
      <c r="O17" s="278">
        <v>8.74</v>
      </c>
      <c r="P17" s="278">
        <v>7.8</v>
      </c>
      <c r="Q17" s="278">
        <v>2.68</v>
      </c>
      <c r="R17" s="278">
        <v>0</v>
      </c>
      <c r="S17" s="278">
        <v>10.48</v>
      </c>
      <c r="T17" s="278">
        <v>7.8</v>
      </c>
      <c r="U17" s="278">
        <v>2.68</v>
      </c>
      <c r="V17" s="278">
        <v>0</v>
      </c>
      <c r="W17" s="278">
        <v>10.48</v>
      </c>
      <c r="X17" s="276" t="s">
        <v>70</v>
      </c>
      <c r="AL17" s="129" t="s">
        <v>99</v>
      </c>
      <c r="AM17" s="130" t="s">
        <v>1241</v>
      </c>
      <c r="AN17" s="133" t="s">
        <v>1246</v>
      </c>
      <c r="AO17" s="130" t="s">
        <v>1247</v>
      </c>
      <c r="AP17" s="131">
        <v>114.34</v>
      </c>
      <c r="AQ17" s="132">
        <v>2.1028045977011494</v>
      </c>
      <c r="AR17" s="133" t="s">
        <v>1248</v>
      </c>
      <c r="AS17" s="383"/>
      <c r="AT17" s="134"/>
      <c r="AU17" s="133"/>
      <c r="AV17" s="384"/>
    </row>
    <row r="18" spans="1:48" ht="15" customHeight="1" x14ac:dyDescent="0.2">
      <c r="A18" s="272" t="s">
        <v>3412</v>
      </c>
      <c r="B18" s="272" t="s">
        <v>1281</v>
      </c>
      <c r="C18" s="272" t="s">
        <v>1224</v>
      </c>
      <c r="D18" s="272">
        <v>800</v>
      </c>
      <c r="E18" s="272">
        <v>0.04</v>
      </c>
      <c r="F18" s="272" t="s">
        <v>1170</v>
      </c>
      <c r="G18" s="409" t="s">
        <v>5496</v>
      </c>
      <c r="H18" s="274">
        <v>3.18</v>
      </c>
      <c r="I18" s="274">
        <v>1.55</v>
      </c>
      <c r="J18" s="274">
        <v>0</v>
      </c>
      <c r="K18" s="274">
        <v>4.7300000000000004</v>
      </c>
      <c r="L18" s="274">
        <v>3.18</v>
      </c>
      <c r="M18" s="274">
        <v>1.55</v>
      </c>
      <c r="N18" s="274">
        <v>0</v>
      </c>
      <c r="O18" s="274">
        <v>4.7300000000000004</v>
      </c>
      <c r="P18" s="274">
        <v>3.49</v>
      </c>
      <c r="Q18" s="274">
        <v>2.52</v>
      </c>
      <c r="R18" s="274">
        <v>0</v>
      </c>
      <c r="S18" s="274">
        <v>6.01</v>
      </c>
      <c r="T18" s="274">
        <v>3.49</v>
      </c>
      <c r="U18" s="274">
        <v>2.52</v>
      </c>
      <c r="V18" s="274">
        <v>0</v>
      </c>
      <c r="W18" s="274">
        <v>6.01</v>
      </c>
      <c r="X18" s="272" t="s">
        <v>70</v>
      </c>
      <c r="AR18" s="133"/>
      <c r="AS18" s="383"/>
      <c r="AT18" s="134"/>
      <c r="AU18" s="133"/>
      <c r="AV18" s="384"/>
    </row>
    <row r="19" spans="1:48" ht="15" customHeight="1" x14ac:dyDescent="0.2">
      <c r="A19" s="276" t="s">
        <v>3412</v>
      </c>
      <c r="B19" s="276" t="s">
        <v>1282</v>
      </c>
      <c r="C19" s="276" t="s">
        <v>1224</v>
      </c>
      <c r="D19" s="276">
        <v>992</v>
      </c>
      <c r="E19" s="276">
        <v>3.2000000000000001E-2</v>
      </c>
      <c r="F19" s="276" t="s">
        <v>1170</v>
      </c>
      <c r="G19" s="410" t="s">
        <v>5496</v>
      </c>
      <c r="H19" s="278">
        <v>8.5500000000000007</v>
      </c>
      <c r="I19" s="278">
        <v>1.25</v>
      </c>
      <c r="J19" s="278">
        <v>0</v>
      </c>
      <c r="K19" s="278">
        <v>9.8000000000000007</v>
      </c>
      <c r="L19" s="278">
        <v>8.5500000000000007</v>
      </c>
      <c r="M19" s="278">
        <v>1.25</v>
      </c>
      <c r="N19" s="278">
        <v>0</v>
      </c>
      <c r="O19" s="278">
        <v>9.8000000000000007</v>
      </c>
      <c r="P19" s="278">
        <v>9.4</v>
      </c>
      <c r="Q19" s="278">
        <v>2.0299999999999998</v>
      </c>
      <c r="R19" s="278">
        <v>0</v>
      </c>
      <c r="S19" s="278">
        <v>11.43</v>
      </c>
      <c r="T19" s="278">
        <v>9.4</v>
      </c>
      <c r="U19" s="278">
        <v>2.0299999999999998</v>
      </c>
      <c r="V19" s="278">
        <v>0</v>
      </c>
      <c r="W19" s="278">
        <v>11.43</v>
      </c>
      <c r="X19" s="276" t="s">
        <v>70</v>
      </c>
      <c r="AL19" s="138"/>
      <c r="AM19" s="133"/>
      <c r="AN19" s="138"/>
      <c r="AO19" s="138"/>
      <c r="AP19" s="138"/>
      <c r="AQ19" s="385"/>
      <c r="AR19" s="138"/>
      <c r="AS19" s="386"/>
      <c r="AT19" s="387"/>
      <c r="AU19" s="138"/>
      <c r="AV19" s="388"/>
    </row>
    <row r="20" spans="1:48" ht="15" customHeight="1" x14ac:dyDescent="0.2">
      <c r="A20" s="272" t="s">
        <v>3412</v>
      </c>
      <c r="B20" s="272" t="s">
        <v>1288</v>
      </c>
      <c r="C20" s="272" t="s">
        <v>1224</v>
      </c>
      <c r="D20" s="272">
        <v>942</v>
      </c>
      <c r="E20" s="272">
        <v>3.4000000000000002E-2</v>
      </c>
      <c r="F20" s="272" t="s">
        <v>1170</v>
      </c>
      <c r="G20" s="409" t="s">
        <v>5496</v>
      </c>
      <c r="H20" s="274">
        <v>6.45</v>
      </c>
      <c r="I20" s="274">
        <v>1.31</v>
      </c>
      <c r="J20" s="274">
        <v>0</v>
      </c>
      <c r="K20" s="274">
        <v>7.76</v>
      </c>
      <c r="L20" s="274">
        <v>6.45</v>
      </c>
      <c r="M20" s="274">
        <v>1.31</v>
      </c>
      <c r="N20" s="274">
        <v>0</v>
      </c>
      <c r="O20" s="274">
        <v>7.76</v>
      </c>
      <c r="P20" s="274">
        <v>7.1</v>
      </c>
      <c r="Q20" s="274">
        <v>2.14</v>
      </c>
      <c r="R20" s="274">
        <v>0</v>
      </c>
      <c r="S20" s="274">
        <v>9.24</v>
      </c>
      <c r="T20" s="274">
        <v>7.1</v>
      </c>
      <c r="U20" s="274">
        <v>2.14</v>
      </c>
      <c r="V20" s="274">
        <v>0</v>
      </c>
      <c r="W20" s="274">
        <v>9.24</v>
      </c>
      <c r="X20" s="272" t="s">
        <v>70</v>
      </c>
      <c r="AL20" s="140"/>
      <c r="AM20" s="140"/>
      <c r="AN20" s="140"/>
      <c r="AO20" s="140"/>
      <c r="AP20" s="140"/>
      <c r="AQ20" s="141"/>
      <c r="AR20" s="140"/>
      <c r="AS20" s="389"/>
      <c r="AT20" s="143"/>
      <c r="AU20" s="140"/>
      <c r="AV20" s="390"/>
    </row>
    <row r="21" spans="1:48" ht="15" customHeight="1" x14ac:dyDescent="0.2">
      <c r="A21" s="276" t="s">
        <v>3412</v>
      </c>
      <c r="B21" s="276" t="s">
        <v>1289</v>
      </c>
      <c r="C21" s="276" t="s">
        <v>1224</v>
      </c>
      <c r="D21" s="276">
        <v>648</v>
      </c>
      <c r="E21" s="276">
        <v>4.9000000000000002E-2</v>
      </c>
      <c r="F21" s="276" t="s">
        <v>1170</v>
      </c>
      <c r="G21" s="410" t="s">
        <v>5496</v>
      </c>
      <c r="H21" s="278">
        <v>7</v>
      </c>
      <c r="I21" s="278">
        <v>1.91</v>
      </c>
      <c r="J21" s="278">
        <v>0</v>
      </c>
      <c r="K21" s="278">
        <v>8.91</v>
      </c>
      <c r="L21" s="278">
        <v>7</v>
      </c>
      <c r="M21" s="278">
        <v>1.91</v>
      </c>
      <c r="N21" s="278">
        <v>0</v>
      </c>
      <c r="O21" s="278">
        <v>8.91</v>
      </c>
      <c r="P21" s="278">
        <v>7.7</v>
      </c>
      <c r="Q21" s="278">
        <v>3.11</v>
      </c>
      <c r="R21" s="278">
        <v>0</v>
      </c>
      <c r="S21" s="278">
        <v>10.81</v>
      </c>
      <c r="T21" s="278">
        <v>7.7</v>
      </c>
      <c r="U21" s="278">
        <v>3.11</v>
      </c>
      <c r="V21" s="278">
        <v>0</v>
      </c>
      <c r="W21" s="278">
        <v>10.81</v>
      </c>
      <c r="X21" s="276" t="s">
        <v>70</v>
      </c>
      <c r="AL21" s="381" t="s">
        <v>43</v>
      </c>
      <c r="AM21" s="381" t="s">
        <v>1179</v>
      </c>
      <c r="AN21" s="381" t="s">
        <v>1180</v>
      </c>
      <c r="AO21" s="381" t="s">
        <v>1181</v>
      </c>
      <c r="AP21" s="381" t="s">
        <v>1182</v>
      </c>
      <c r="AQ21" s="381" t="s">
        <v>1153</v>
      </c>
      <c r="AR21" s="381" t="s">
        <v>1184</v>
      </c>
      <c r="AS21" s="381" t="s">
        <v>1160</v>
      </c>
      <c r="AT21" s="381" t="s">
        <v>1185</v>
      </c>
      <c r="AU21" s="381" t="s">
        <v>1186</v>
      </c>
      <c r="AV21" s="381" t="s">
        <v>1187</v>
      </c>
    </row>
    <row r="22" spans="1:48" ht="15" customHeight="1" x14ac:dyDescent="0.2">
      <c r="A22" s="272" t="s">
        <v>3412</v>
      </c>
      <c r="B22" s="272" t="s">
        <v>1290</v>
      </c>
      <c r="C22" s="272" t="s">
        <v>1224</v>
      </c>
      <c r="D22" s="272">
        <v>544</v>
      </c>
      <c r="E22" s="272">
        <v>5.8999999999999997E-2</v>
      </c>
      <c r="F22" s="272" t="s">
        <v>1170</v>
      </c>
      <c r="G22" s="409" t="s">
        <v>5496</v>
      </c>
      <c r="H22" s="274">
        <v>5.7</v>
      </c>
      <c r="I22" s="274">
        <v>2.27</v>
      </c>
      <c r="J22" s="274">
        <v>0</v>
      </c>
      <c r="K22" s="274">
        <v>7.9700000000000006</v>
      </c>
      <c r="L22" s="274">
        <v>5.7</v>
      </c>
      <c r="M22" s="274">
        <v>2.27</v>
      </c>
      <c r="N22" s="274">
        <v>0</v>
      </c>
      <c r="O22" s="274">
        <v>7.97</v>
      </c>
      <c r="P22" s="274">
        <v>6.3</v>
      </c>
      <c r="Q22" s="274">
        <v>3.7</v>
      </c>
      <c r="R22" s="274">
        <v>0</v>
      </c>
      <c r="S22" s="274">
        <v>10</v>
      </c>
      <c r="T22" s="274">
        <v>6.3</v>
      </c>
      <c r="U22" s="274">
        <v>3.7</v>
      </c>
      <c r="V22" s="274">
        <v>0</v>
      </c>
      <c r="W22" s="274">
        <v>10</v>
      </c>
      <c r="X22" s="272" t="s">
        <v>70</v>
      </c>
      <c r="AL22" s="391" t="s">
        <v>1251</v>
      </c>
      <c r="AM22" s="392" t="s">
        <v>1252</v>
      </c>
      <c r="AN22" s="392" t="s">
        <v>1253</v>
      </c>
      <c r="AO22" s="393" t="s">
        <v>1254</v>
      </c>
      <c r="AP22" s="393"/>
      <c r="AQ22" s="168" t="s">
        <v>366</v>
      </c>
      <c r="AR22" s="394"/>
      <c r="AS22" s="395"/>
      <c r="AT22" s="396"/>
      <c r="AU22" s="396"/>
      <c r="AV22" s="394" t="s">
        <v>1255</v>
      </c>
    </row>
    <row r="23" spans="1:48" ht="15" customHeight="1" x14ac:dyDescent="0.2">
      <c r="A23" s="276" t="s">
        <v>3412</v>
      </c>
      <c r="B23" s="276" t="s">
        <v>1291</v>
      </c>
      <c r="C23" s="276" t="s">
        <v>1224</v>
      </c>
      <c r="D23" s="276">
        <v>688</v>
      </c>
      <c r="E23" s="276">
        <v>4.7E-2</v>
      </c>
      <c r="F23" s="276" t="s">
        <v>1170</v>
      </c>
      <c r="G23" s="410" t="s">
        <v>5496</v>
      </c>
      <c r="H23" s="278">
        <v>5</v>
      </c>
      <c r="I23" s="278">
        <v>1.8</v>
      </c>
      <c r="J23" s="278">
        <v>0</v>
      </c>
      <c r="K23" s="278">
        <v>6.8</v>
      </c>
      <c r="L23" s="278">
        <v>5</v>
      </c>
      <c r="M23" s="278">
        <v>1.8</v>
      </c>
      <c r="N23" s="278">
        <v>0</v>
      </c>
      <c r="O23" s="278">
        <v>6.8</v>
      </c>
      <c r="P23" s="278">
        <v>5.5</v>
      </c>
      <c r="Q23" s="278">
        <v>2.93</v>
      </c>
      <c r="R23" s="278">
        <v>0</v>
      </c>
      <c r="S23" s="278">
        <v>8.43</v>
      </c>
      <c r="T23" s="278">
        <v>5.5</v>
      </c>
      <c r="U23" s="278">
        <v>2.93</v>
      </c>
      <c r="V23" s="278">
        <v>0</v>
      </c>
      <c r="W23" s="278">
        <v>8.43</v>
      </c>
      <c r="X23" s="276" t="s">
        <v>70</v>
      </c>
    </row>
    <row r="24" spans="1:48" ht="15" customHeight="1" x14ac:dyDescent="0.2">
      <c r="A24" s="272" t="s">
        <v>3412</v>
      </c>
      <c r="B24" s="272" t="s">
        <v>1292</v>
      </c>
      <c r="C24" s="272" t="s">
        <v>1224</v>
      </c>
      <c r="D24" s="272">
        <v>1248</v>
      </c>
      <c r="E24" s="272">
        <v>2.5999999999999999E-2</v>
      </c>
      <c r="F24" s="272" t="s">
        <v>1170</v>
      </c>
      <c r="G24" s="409" t="s">
        <v>5496</v>
      </c>
      <c r="H24" s="274">
        <v>6.35</v>
      </c>
      <c r="I24" s="274">
        <v>0.99</v>
      </c>
      <c r="J24" s="274">
        <v>0</v>
      </c>
      <c r="K24" s="274">
        <v>7.34</v>
      </c>
      <c r="L24" s="274">
        <v>6.35</v>
      </c>
      <c r="M24" s="274">
        <v>0.99</v>
      </c>
      <c r="N24" s="274">
        <v>0</v>
      </c>
      <c r="O24" s="274">
        <v>7.34</v>
      </c>
      <c r="P24" s="274">
        <v>7</v>
      </c>
      <c r="Q24" s="274">
        <v>1.61</v>
      </c>
      <c r="R24" s="274">
        <v>0</v>
      </c>
      <c r="S24" s="274">
        <v>8.61</v>
      </c>
      <c r="T24" s="274">
        <v>7</v>
      </c>
      <c r="U24" s="274">
        <v>1.61</v>
      </c>
      <c r="V24" s="274">
        <v>0</v>
      </c>
      <c r="W24" s="274">
        <v>8.61</v>
      </c>
      <c r="X24" s="272" t="s">
        <v>70</v>
      </c>
    </row>
    <row r="25" spans="1:48" ht="15" customHeight="1" x14ac:dyDescent="0.2">
      <c r="A25" s="276" t="s">
        <v>3412</v>
      </c>
      <c r="B25" s="276" t="s">
        <v>1293</v>
      </c>
      <c r="C25" s="276" t="s">
        <v>1224</v>
      </c>
      <c r="D25" s="276">
        <v>1392</v>
      </c>
      <c r="E25" s="276">
        <v>2.3E-2</v>
      </c>
      <c r="F25" s="276" t="s">
        <v>1170</v>
      </c>
      <c r="G25" s="410" t="s">
        <v>5496</v>
      </c>
      <c r="H25" s="278">
        <v>5.35</v>
      </c>
      <c r="I25" s="278">
        <v>0.89</v>
      </c>
      <c r="J25" s="278">
        <v>0</v>
      </c>
      <c r="K25" s="278">
        <v>6.2399999999999993</v>
      </c>
      <c r="L25" s="278">
        <v>5.35</v>
      </c>
      <c r="M25" s="278">
        <v>0.89</v>
      </c>
      <c r="N25" s="278">
        <v>0</v>
      </c>
      <c r="O25" s="278">
        <v>6.24</v>
      </c>
      <c r="P25" s="278">
        <v>5.85</v>
      </c>
      <c r="Q25" s="278">
        <v>1.45</v>
      </c>
      <c r="R25" s="278">
        <v>0</v>
      </c>
      <c r="S25" s="278">
        <v>7.3</v>
      </c>
      <c r="T25" s="278">
        <v>5.85</v>
      </c>
      <c r="U25" s="278">
        <v>1.45</v>
      </c>
      <c r="V25" s="278">
        <v>0</v>
      </c>
      <c r="W25" s="278">
        <v>7.3</v>
      </c>
      <c r="X25" s="276" t="s">
        <v>70</v>
      </c>
    </row>
    <row r="26" spans="1:48" ht="15" customHeight="1" x14ac:dyDescent="0.2">
      <c r="A26" s="272" t="s">
        <v>3412</v>
      </c>
      <c r="B26" s="272" t="s">
        <v>1297</v>
      </c>
      <c r="C26" s="272" t="s">
        <v>1224</v>
      </c>
      <c r="D26" s="272">
        <v>1152</v>
      </c>
      <c r="E26" s="272">
        <v>2.8000000000000001E-2</v>
      </c>
      <c r="F26" s="272" t="s">
        <v>1170</v>
      </c>
      <c r="G26" s="409" t="s">
        <v>5496</v>
      </c>
      <c r="H26" s="274">
        <v>6.4</v>
      </c>
      <c r="I26" s="274">
        <v>1.07</v>
      </c>
      <c r="J26" s="274">
        <v>0</v>
      </c>
      <c r="K26" s="274">
        <v>7.4700000000000006</v>
      </c>
      <c r="L26" s="274">
        <v>6.4</v>
      </c>
      <c r="M26" s="274">
        <v>1.07</v>
      </c>
      <c r="N26" s="274">
        <v>0</v>
      </c>
      <c r="O26" s="274">
        <v>7.47</v>
      </c>
      <c r="P26" s="274">
        <v>7</v>
      </c>
      <c r="Q26" s="274">
        <v>1.75</v>
      </c>
      <c r="R26" s="274">
        <v>0</v>
      </c>
      <c r="S26" s="274">
        <v>8.75</v>
      </c>
      <c r="T26" s="274">
        <v>7</v>
      </c>
      <c r="U26" s="274">
        <v>1.75</v>
      </c>
      <c r="V26" s="274">
        <v>0</v>
      </c>
      <c r="W26" s="274">
        <v>8.75</v>
      </c>
      <c r="X26" s="272" t="s">
        <v>70</v>
      </c>
    </row>
    <row r="27" spans="1:48" ht="15" customHeight="1" x14ac:dyDescent="0.2">
      <c r="A27" s="276" t="s">
        <v>3412</v>
      </c>
      <c r="B27" s="276" t="s">
        <v>1298</v>
      </c>
      <c r="C27" s="276" t="s">
        <v>1224</v>
      </c>
      <c r="D27" s="276">
        <v>1200</v>
      </c>
      <c r="E27" s="276">
        <v>2.7E-2</v>
      </c>
      <c r="F27" s="276" t="s">
        <v>1170</v>
      </c>
      <c r="G27" s="410" t="s">
        <v>5496</v>
      </c>
      <c r="H27" s="278">
        <v>5.8</v>
      </c>
      <c r="I27" s="278">
        <v>1.03</v>
      </c>
      <c r="J27" s="278">
        <v>0</v>
      </c>
      <c r="K27" s="278">
        <v>6.83</v>
      </c>
      <c r="L27" s="278">
        <v>5.8</v>
      </c>
      <c r="M27" s="278">
        <v>1.03</v>
      </c>
      <c r="N27" s="278">
        <v>0</v>
      </c>
      <c r="O27" s="278">
        <v>6.83</v>
      </c>
      <c r="P27" s="278">
        <v>6.4</v>
      </c>
      <c r="Q27" s="278">
        <v>1.68</v>
      </c>
      <c r="R27" s="278">
        <v>0</v>
      </c>
      <c r="S27" s="278">
        <v>8.08</v>
      </c>
      <c r="T27" s="278">
        <v>6.4</v>
      </c>
      <c r="U27" s="278">
        <v>1.68</v>
      </c>
      <c r="V27" s="278">
        <v>0</v>
      </c>
      <c r="W27" s="278">
        <v>8.08</v>
      </c>
      <c r="X27" s="276" t="s">
        <v>70</v>
      </c>
    </row>
    <row r="28" spans="1:48" ht="15" customHeight="1" x14ac:dyDescent="0.2">
      <c r="A28" s="272" t="s">
        <v>3412</v>
      </c>
      <c r="B28" s="272" t="s">
        <v>1291</v>
      </c>
      <c r="C28" s="272" t="s">
        <v>1224</v>
      </c>
      <c r="D28" s="272">
        <v>688</v>
      </c>
      <c r="E28" s="272">
        <v>4.7E-2</v>
      </c>
      <c r="F28" s="272" t="s">
        <v>1170</v>
      </c>
      <c r="G28" s="409" t="s">
        <v>5496</v>
      </c>
      <c r="H28" s="274">
        <v>5</v>
      </c>
      <c r="I28" s="274">
        <v>1.8</v>
      </c>
      <c r="J28" s="274">
        <v>0</v>
      </c>
      <c r="K28" s="274">
        <v>6.8</v>
      </c>
      <c r="L28" s="274">
        <v>5</v>
      </c>
      <c r="M28" s="274">
        <v>1.8</v>
      </c>
      <c r="N28" s="274">
        <v>0</v>
      </c>
      <c r="O28" s="274">
        <v>6.8</v>
      </c>
      <c r="P28" s="274">
        <v>5.5</v>
      </c>
      <c r="Q28" s="274">
        <v>2.93</v>
      </c>
      <c r="R28" s="274">
        <v>0</v>
      </c>
      <c r="S28" s="274">
        <v>8.43</v>
      </c>
      <c r="T28" s="274">
        <v>5.5</v>
      </c>
      <c r="U28" s="274">
        <v>2.93</v>
      </c>
      <c r="V28" s="274">
        <v>0</v>
      </c>
      <c r="W28" s="274">
        <v>8.43</v>
      </c>
      <c r="X28" s="272" t="s">
        <v>70</v>
      </c>
    </row>
    <row r="29" spans="1:48" ht="15" customHeight="1" x14ac:dyDescent="0.2">
      <c r="A29" s="276" t="s">
        <v>3412</v>
      </c>
      <c r="B29" s="276" t="s">
        <v>1302</v>
      </c>
      <c r="C29" s="276" t="s">
        <v>1224</v>
      </c>
      <c r="D29" s="276">
        <v>1324</v>
      </c>
      <c r="E29" s="276">
        <v>2.4E-2</v>
      </c>
      <c r="F29" s="276" t="s">
        <v>1170</v>
      </c>
      <c r="G29" s="410" t="s">
        <v>5496</v>
      </c>
      <c r="H29" s="278">
        <v>13.05</v>
      </c>
      <c r="I29" s="278">
        <v>0.93</v>
      </c>
      <c r="J29" s="278">
        <v>0</v>
      </c>
      <c r="K29" s="278">
        <v>13.98</v>
      </c>
      <c r="L29" s="278">
        <v>13.05</v>
      </c>
      <c r="M29" s="278">
        <v>0.93</v>
      </c>
      <c r="N29" s="278">
        <v>0</v>
      </c>
      <c r="O29" s="278">
        <v>13.98</v>
      </c>
      <c r="P29" s="278">
        <v>14.4</v>
      </c>
      <c r="Q29" s="278">
        <v>1.52</v>
      </c>
      <c r="R29" s="278">
        <v>0</v>
      </c>
      <c r="S29" s="278">
        <v>15.92</v>
      </c>
      <c r="T29" s="278">
        <v>14.4</v>
      </c>
      <c r="U29" s="278">
        <v>1.52</v>
      </c>
      <c r="V29" s="278">
        <v>0</v>
      </c>
      <c r="W29" s="278">
        <v>15.92</v>
      </c>
      <c r="X29" s="276" t="s">
        <v>70</v>
      </c>
    </row>
    <row r="30" spans="1:48" ht="15" customHeight="1" x14ac:dyDescent="0.2">
      <c r="A30" s="272" t="s">
        <v>3412</v>
      </c>
      <c r="B30" s="272" t="s">
        <v>1303</v>
      </c>
      <c r="C30" s="272" t="s">
        <v>1224</v>
      </c>
      <c r="D30" s="272">
        <v>500</v>
      </c>
      <c r="E30" s="272">
        <v>6.4000000000000001E-2</v>
      </c>
      <c r="F30" s="272" t="s">
        <v>1170</v>
      </c>
      <c r="G30" s="409" t="s">
        <v>5496</v>
      </c>
      <c r="H30" s="274">
        <v>7.55</v>
      </c>
      <c r="I30" s="274">
        <v>2.4700000000000002</v>
      </c>
      <c r="J30" s="274">
        <v>0</v>
      </c>
      <c r="K30" s="274">
        <v>10.02</v>
      </c>
      <c r="L30" s="274">
        <v>7.55</v>
      </c>
      <c r="M30" s="274">
        <v>2.4700000000000002</v>
      </c>
      <c r="N30" s="274">
        <v>0</v>
      </c>
      <c r="O30" s="274">
        <v>10.02</v>
      </c>
      <c r="P30" s="274">
        <v>8.3000000000000007</v>
      </c>
      <c r="Q30" s="274">
        <v>4.03</v>
      </c>
      <c r="R30" s="274">
        <v>0</v>
      </c>
      <c r="S30" s="274">
        <v>12.330000000000002</v>
      </c>
      <c r="T30" s="274">
        <v>8.3000000000000007</v>
      </c>
      <c r="U30" s="274">
        <v>4.03</v>
      </c>
      <c r="V30" s="274">
        <v>0</v>
      </c>
      <c r="W30" s="274">
        <v>12.33</v>
      </c>
      <c r="X30" s="272" t="s">
        <v>70</v>
      </c>
    </row>
    <row r="31" spans="1:48" ht="15" customHeight="1" x14ac:dyDescent="0.2">
      <c r="A31" s="276" t="s">
        <v>3412</v>
      </c>
      <c r="B31" s="276" t="s">
        <v>1304</v>
      </c>
      <c r="C31" s="276" t="s">
        <v>1224</v>
      </c>
      <c r="D31" s="276">
        <v>1712</v>
      </c>
      <c r="E31" s="276">
        <v>1.9E-2</v>
      </c>
      <c r="F31" s="276" t="s">
        <v>1170</v>
      </c>
      <c r="G31" s="410" t="s">
        <v>5496</v>
      </c>
      <c r="H31" s="278">
        <v>13.2</v>
      </c>
      <c r="I31" s="278">
        <v>0.72</v>
      </c>
      <c r="J31" s="278">
        <v>0</v>
      </c>
      <c r="K31" s="278">
        <v>13.92</v>
      </c>
      <c r="L31" s="278">
        <v>13.2</v>
      </c>
      <c r="M31" s="278">
        <v>0.72</v>
      </c>
      <c r="N31" s="278">
        <v>0</v>
      </c>
      <c r="O31" s="278">
        <v>13.92</v>
      </c>
      <c r="P31" s="278">
        <v>14.5</v>
      </c>
      <c r="Q31" s="278">
        <v>1.18</v>
      </c>
      <c r="R31" s="278">
        <v>0</v>
      </c>
      <c r="S31" s="278">
        <v>15.68</v>
      </c>
      <c r="T31" s="278">
        <v>14.5</v>
      </c>
      <c r="U31" s="278">
        <v>1.18</v>
      </c>
      <c r="V31" s="278">
        <v>0</v>
      </c>
      <c r="W31" s="278">
        <v>15.68</v>
      </c>
      <c r="X31" s="276" t="s">
        <v>70</v>
      </c>
    </row>
    <row r="32" spans="1:48" ht="15" customHeight="1" x14ac:dyDescent="0.2">
      <c r="A32" s="272" t="s">
        <v>3412</v>
      </c>
      <c r="B32" s="272" t="s">
        <v>1305</v>
      </c>
      <c r="C32" s="272" t="s">
        <v>1224</v>
      </c>
      <c r="D32" s="272">
        <v>1600</v>
      </c>
      <c r="E32" s="272">
        <v>0.02</v>
      </c>
      <c r="F32" s="272" t="s">
        <v>1170</v>
      </c>
      <c r="G32" s="409" t="s">
        <v>5496</v>
      </c>
      <c r="H32" s="274">
        <v>7.55</v>
      </c>
      <c r="I32" s="274">
        <v>0.77</v>
      </c>
      <c r="J32" s="274">
        <v>0</v>
      </c>
      <c r="K32" s="274">
        <v>8.32</v>
      </c>
      <c r="L32" s="274">
        <v>7.55</v>
      </c>
      <c r="M32" s="274">
        <v>0.77</v>
      </c>
      <c r="N32" s="274">
        <v>0</v>
      </c>
      <c r="O32" s="274">
        <v>8.32</v>
      </c>
      <c r="P32" s="274">
        <v>8.3000000000000007</v>
      </c>
      <c r="Q32" s="274">
        <v>1.26</v>
      </c>
      <c r="R32" s="274">
        <v>0</v>
      </c>
      <c r="S32" s="274">
        <v>9.56</v>
      </c>
      <c r="T32" s="274">
        <v>8.3000000000000007</v>
      </c>
      <c r="U32" s="274">
        <v>1.26</v>
      </c>
      <c r="V32" s="274">
        <v>0</v>
      </c>
      <c r="W32" s="274">
        <v>9.56</v>
      </c>
      <c r="X32" s="272" t="s">
        <v>70</v>
      </c>
    </row>
    <row r="33" spans="1:48" ht="15" customHeight="1" x14ac:dyDescent="0.2">
      <c r="A33" s="276" t="s">
        <v>3412</v>
      </c>
      <c r="B33" s="276" t="s">
        <v>1306</v>
      </c>
      <c r="C33" s="276" t="s">
        <v>1224</v>
      </c>
      <c r="D33" s="276">
        <v>192</v>
      </c>
      <c r="E33" s="276">
        <v>0.16700000000000001</v>
      </c>
      <c r="F33" s="276" t="s">
        <v>1170</v>
      </c>
      <c r="G33" s="410" t="s">
        <v>5496</v>
      </c>
      <c r="H33" s="278">
        <v>8.5500000000000007</v>
      </c>
      <c r="I33" s="278">
        <v>6.45</v>
      </c>
      <c r="J33" s="278">
        <v>0</v>
      </c>
      <c r="K33" s="278">
        <v>15</v>
      </c>
      <c r="L33" s="278">
        <v>8.5500000000000007</v>
      </c>
      <c r="M33" s="278">
        <v>6.45</v>
      </c>
      <c r="N33" s="278">
        <v>0</v>
      </c>
      <c r="O33" s="278">
        <v>15</v>
      </c>
      <c r="P33" s="278">
        <v>9.4</v>
      </c>
      <c r="Q33" s="278">
        <v>10.5</v>
      </c>
      <c r="R33" s="278">
        <v>0</v>
      </c>
      <c r="S33" s="278">
        <v>19.899999999999999</v>
      </c>
      <c r="T33" s="278">
        <v>9.4</v>
      </c>
      <c r="U33" s="278">
        <v>10.5</v>
      </c>
      <c r="V33" s="278">
        <v>0</v>
      </c>
      <c r="W33" s="278">
        <v>19.899999999999999</v>
      </c>
      <c r="X33" s="276" t="s">
        <v>70</v>
      </c>
    </row>
    <row r="34" spans="1:48" ht="15" customHeight="1" x14ac:dyDescent="0.2">
      <c r="A34" s="272" t="s">
        <v>3412</v>
      </c>
      <c r="B34" s="272" t="s">
        <v>1307</v>
      </c>
      <c r="C34" s="272" t="s">
        <v>1224</v>
      </c>
      <c r="D34" s="272">
        <v>2400</v>
      </c>
      <c r="E34" s="272">
        <v>1.2999999999999999E-2</v>
      </c>
      <c r="F34" s="272" t="s">
        <v>1170</v>
      </c>
      <c r="G34" s="409" t="s">
        <v>5496</v>
      </c>
      <c r="H34" s="274">
        <v>7.95</v>
      </c>
      <c r="I34" s="274">
        <v>0.52</v>
      </c>
      <c r="J34" s="274">
        <v>0</v>
      </c>
      <c r="K34" s="274">
        <v>8.4700000000000006</v>
      </c>
      <c r="L34" s="274">
        <v>7.95</v>
      </c>
      <c r="M34" s="274">
        <v>0.52</v>
      </c>
      <c r="N34" s="274">
        <v>0</v>
      </c>
      <c r="O34" s="274">
        <v>8.4700000000000006</v>
      </c>
      <c r="P34" s="274">
        <v>8.75</v>
      </c>
      <c r="Q34" s="274">
        <v>0.84</v>
      </c>
      <c r="R34" s="274">
        <v>0</v>
      </c>
      <c r="S34" s="274">
        <v>9.59</v>
      </c>
      <c r="T34" s="274">
        <v>8.75</v>
      </c>
      <c r="U34" s="274">
        <v>0.84</v>
      </c>
      <c r="V34" s="274">
        <v>0</v>
      </c>
      <c r="W34" s="274">
        <v>9.59</v>
      </c>
      <c r="X34" s="272" t="s">
        <v>70</v>
      </c>
    </row>
    <row r="35" spans="1:48" ht="15" customHeight="1" x14ac:dyDescent="0.2">
      <c r="A35" s="276" t="s">
        <v>3412</v>
      </c>
      <c r="B35" s="276" t="s">
        <v>1308</v>
      </c>
      <c r="C35" s="276" t="s">
        <v>1224</v>
      </c>
      <c r="D35" s="276">
        <v>1880</v>
      </c>
      <c r="E35" s="276">
        <v>1.7000000000000001E-2</v>
      </c>
      <c r="F35" s="276" t="s">
        <v>1170</v>
      </c>
      <c r="G35" s="410" t="s">
        <v>5496</v>
      </c>
      <c r="H35" s="278">
        <v>6.1</v>
      </c>
      <c r="I35" s="278">
        <v>0.66</v>
      </c>
      <c r="J35" s="278">
        <v>0</v>
      </c>
      <c r="K35" s="278">
        <v>6.76</v>
      </c>
      <c r="L35" s="278">
        <v>6.1</v>
      </c>
      <c r="M35" s="278">
        <v>0.66</v>
      </c>
      <c r="N35" s="278">
        <v>0</v>
      </c>
      <c r="O35" s="278">
        <v>6.76</v>
      </c>
      <c r="P35" s="278">
        <v>6.7</v>
      </c>
      <c r="Q35" s="278">
        <v>1.07</v>
      </c>
      <c r="R35" s="278">
        <v>0</v>
      </c>
      <c r="S35" s="278">
        <v>7.7700000000000005</v>
      </c>
      <c r="T35" s="278">
        <v>6.7</v>
      </c>
      <c r="U35" s="278">
        <v>1.07</v>
      </c>
      <c r="V35" s="278">
        <v>0</v>
      </c>
      <c r="W35" s="278">
        <v>7.77</v>
      </c>
      <c r="X35" s="276" t="s">
        <v>70</v>
      </c>
    </row>
    <row r="36" spans="1:48" ht="15" customHeight="1" x14ac:dyDescent="0.2">
      <c r="A36" s="272" t="s">
        <v>3412</v>
      </c>
      <c r="B36" s="272" t="s">
        <v>1309</v>
      </c>
      <c r="C36" s="272" t="s">
        <v>1224</v>
      </c>
      <c r="D36" s="272">
        <v>1152</v>
      </c>
      <c r="E36" s="272">
        <v>2.8000000000000001E-2</v>
      </c>
      <c r="F36" s="272" t="s">
        <v>1170</v>
      </c>
      <c r="G36" s="409" t="s">
        <v>5496</v>
      </c>
      <c r="H36" s="274">
        <v>8.0500000000000007</v>
      </c>
      <c r="I36" s="274">
        <v>1.07</v>
      </c>
      <c r="J36" s="274">
        <v>0</v>
      </c>
      <c r="K36" s="274">
        <v>9.120000000000001</v>
      </c>
      <c r="L36" s="274">
        <v>8.0500000000000007</v>
      </c>
      <c r="M36" s="274">
        <v>1.07</v>
      </c>
      <c r="N36" s="274">
        <v>0</v>
      </c>
      <c r="O36" s="274">
        <v>9.1199999999999992</v>
      </c>
      <c r="P36" s="274">
        <v>8.9</v>
      </c>
      <c r="Q36" s="274">
        <v>1.75</v>
      </c>
      <c r="R36" s="274">
        <v>0</v>
      </c>
      <c r="S36" s="274">
        <v>10.65</v>
      </c>
      <c r="T36" s="274">
        <v>8.9</v>
      </c>
      <c r="U36" s="274">
        <v>1.75</v>
      </c>
      <c r="V36" s="274">
        <v>0</v>
      </c>
      <c r="W36" s="274">
        <v>10.65</v>
      </c>
      <c r="X36" s="272" t="s">
        <v>70</v>
      </c>
    </row>
    <row r="37" spans="1:48" ht="15" customHeight="1" x14ac:dyDescent="0.2">
      <c r="A37" s="276" t="s">
        <v>3412</v>
      </c>
      <c r="B37" s="276" t="s">
        <v>1310</v>
      </c>
      <c r="C37" s="276" t="s">
        <v>1224</v>
      </c>
      <c r="D37" s="276">
        <v>987</v>
      </c>
      <c r="E37" s="276">
        <v>3.2000000000000001E-2</v>
      </c>
      <c r="F37" s="276" t="s">
        <v>1170</v>
      </c>
      <c r="G37" s="410" t="s">
        <v>5496</v>
      </c>
      <c r="H37" s="278">
        <v>14.5</v>
      </c>
      <c r="I37" s="278">
        <v>1.25</v>
      </c>
      <c r="J37" s="278">
        <v>0</v>
      </c>
      <c r="K37" s="278">
        <v>15.75</v>
      </c>
      <c r="L37" s="278">
        <v>14.5</v>
      </c>
      <c r="M37" s="278">
        <v>1.25</v>
      </c>
      <c r="N37" s="278">
        <v>0</v>
      </c>
      <c r="O37" s="278">
        <v>15.75</v>
      </c>
      <c r="P37" s="278">
        <v>15.95</v>
      </c>
      <c r="Q37" s="278">
        <v>2.04</v>
      </c>
      <c r="R37" s="278">
        <v>0</v>
      </c>
      <c r="S37" s="278">
        <v>17.989999999999998</v>
      </c>
      <c r="T37" s="278">
        <v>15.95</v>
      </c>
      <c r="U37" s="278">
        <v>2.04</v>
      </c>
      <c r="V37" s="278">
        <v>0</v>
      </c>
      <c r="W37" s="278">
        <v>17.989999999999998</v>
      </c>
      <c r="X37" s="276" t="s">
        <v>70</v>
      </c>
    </row>
    <row r="38" spans="1:48" ht="15" customHeight="1" x14ac:dyDescent="0.2">
      <c r="A38" s="272" t="s">
        <v>3412</v>
      </c>
      <c r="B38" s="272" t="s">
        <v>1311</v>
      </c>
      <c r="C38" s="272" t="s">
        <v>1224</v>
      </c>
      <c r="D38" s="272">
        <v>884</v>
      </c>
      <c r="E38" s="272">
        <v>3.5999999999999997E-2</v>
      </c>
      <c r="F38" s="272" t="s">
        <v>1170</v>
      </c>
      <c r="G38" s="409" t="s">
        <v>5496</v>
      </c>
      <c r="H38" s="274">
        <v>14.15</v>
      </c>
      <c r="I38" s="274">
        <v>1.4</v>
      </c>
      <c r="J38" s="274">
        <v>0</v>
      </c>
      <c r="K38" s="274">
        <v>15.55</v>
      </c>
      <c r="L38" s="274">
        <v>14.15</v>
      </c>
      <c r="M38" s="274">
        <v>1.4</v>
      </c>
      <c r="N38" s="274">
        <v>0</v>
      </c>
      <c r="O38" s="274">
        <v>15.55</v>
      </c>
      <c r="P38" s="274">
        <v>15.6</v>
      </c>
      <c r="Q38" s="274">
        <v>2.2799999999999998</v>
      </c>
      <c r="R38" s="274">
        <v>0</v>
      </c>
      <c r="S38" s="274">
        <v>17.88</v>
      </c>
      <c r="T38" s="274">
        <v>15.6</v>
      </c>
      <c r="U38" s="274">
        <v>2.2799999999999998</v>
      </c>
      <c r="V38" s="274">
        <v>0</v>
      </c>
      <c r="W38" s="274">
        <v>17.88</v>
      </c>
      <c r="X38" s="272" t="s">
        <v>70</v>
      </c>
    </row>
    <row r="39" spans="1:48" ht="15" customHeight="1" x14ac:dyDescent="0.2">
      <c r="A39" s="276" t="s">
        <v>3412</v>
      </c>
      <c r="B39" s="276" t="s">
        <v>1312</v>
      </c>
      <c r="C39" s="276" t="s">
        <v>1224</v>
      </c>
      <c r="D39" s="276">
        <v>1325</v>
      </c>
      <c r="E39" s="276">
        <v>2.4E-2</v>
      </c>
      <c r="F39" s="276" t="s">
        <v>1170</v>
      </c>
      <c r="G39" s="410" t="s">
        <v>5496</v>
      </c>
      <c r="H39" s="278">
        <v>6.5</v>
      </c>
      <c r="I39" s="278">
        <v>0.93</v>
      </c>
      <c r="J39" s="278">
        <v>0</v>
      </c>
      <c r="K39" s="278">
        <v>7.43</v>
      </c>
      <c r="L39" s="278">
        <v>6.5</v>
      </c>
      <c r="M39" s="278">
        <v>0.93</v>
      </c>
      <c r="N39" s="278">
        <v>0</v>
      </c>
      <c r="O39" s="278">
        <v>7.43</v>
      </c>
      <c r="P39" s="278">
        <v>7.15</v>
      </c>
      <c r="Q39" s="278">
        <v>1.52</v>
      </c>
      <c r="R39" s="278">
        <v>0</v>
      </c>
      <c r="S39" s="278">
        <v>8.67</v>
      </c>
      <c r="T39" s="278">
        <v>7.15</v>
      </c>
      <c r="U39" s="278">
        <v>1.52</v>
      </c>
      <c r="V39" s="278">
        <v>0</v>
      </c>
      <c r="W39" s="278">
        <v>8.67</v>
      </c>
      <c r="X39" s="276" t="s">
        <v>70</v>
      </c>
      <c r="AL39" s="397" t="s">
        <v>1260</v>
      </c>
      <c r="AM39" s="398" t="s">
        <v>1261</v>
      </c>
      <c r="AN39" s="398" t="s">
        <v>1262</v>
      </c>
      <c r="AO39" s="399" t="s">
        <v>1263</v>
      </c>
      <c r="AP39" s="399" t="s">
        <v>1264</v>
      </c>
      <c r="AQ39" s="400" t="s">
        <v>1265</v>
      </c>
      <c r="AR39" s="401"/>
      <c r="AS39" s="152"/>
      <c r="AT39" s="153"/>
      <c r="AU39" s="153"/>
      <c r="AV39" s="401" t="s">
        <v>1266</v>
      </c>
    </row>
    <row r="40" spans="1:48" ht="15" customHeight="1" x14ac:dyDescent="0.2">
      <c r="A40" s="272" t="s">
        <v>3412</v>
      </c>
      <c r="B40" s="272" t="s">
        <v>1313</v>
      </c>
      <c r="C40" s="272" t="s">
        <v>1224</v>
      </c>
      <c r="D40" s="272">
        <v>1880</v>
      </c>
      <c r="E40" s="272">
        <v>1.7000000000000001E-2</v>
      </c>
      <c r="F40" s="272" t="s">
        <v>1170</v>
      </c>
      <c r="G40" s="409" t="s">
        <v>5496</v>
      </c>
      <c r="H40" s="274">
        <v>13.65</v>
      </c>
      <c r="I40" s="274">
        <v>0.66</v>
      </c>
      <c r="J40" s="274">
        <v>0</v>
      </c>
      <c r="K40" s="274">
        <v>14.31</v>
      </c>
      <c r="L40" s="274">
        <v>13.65</v>
      </c>
      <c r="M40" s="274">
        <v>0.66</v>
      </c>
      <c r="N40" s="274">
        <v>0</v>
      </c>
      <c r="O40" s="274">
        <v>14.31</v>
      </c>
      <c r="P40" s="274">
        <v>15</v>
      </c>
      <c r="Q40" s="274">
        <v>1.07</v>
      </c>
      <c r="R40" s="274">
        <v>0</v>
      </c>
      <c r="S40" s="274">
        <v>16.07</v>
      </c>
      <c r="T40" s="274">
        <v>15</v>
      </c>
      <c r="U40" s="274">
        <v>1.07</v>
      </c>
      <c r="V40" s="274">
        <v>0</v>
      </c>
      <c r="W40" s="274">
        <v>16.07</v>
      </c>
      <c r="X40" s="272" t="s">
        <v>70</v>
      </c>
    </row>
    <row r="41" spans="1:48" ht="15" customHeight="1" x14ac:dyDescent="0.2">
      <c r="A41" s="276" t="s">
        <v>3412</v>
      </c>
      <c r="B41" s="276" t="s">
        <v>1314</v>
      </c>
      <c r="C41" s="276" t="s">
        <v>1224</v>
      </c>
      <c r="D41" s="276">
        <v>1536</v>
      </c>
      <c r="E41" s="276">
        <v>2.1000000000000001E-2</v>
      </c>
      <c r="F41" s="276" t="s">
        <v>1170</v>
      </c>
      <c r="G41" s="410" t="s">
        <v>5496</v>
      </c>
      <c r="H41" s="278">
        <v>6.8</v>
      </c>
      <c r="I41" s="278">
        <v>0.81</v>
      </c>
      <c r="J41" s="278">
        <v>0</v>
      </c>
      <c r="K41" s="278">
        <v>7.6099999999999994</v>
      </c>
      <c r="L41" s="278">
        <v>6.8</v>
      </c>
      <c r="M41" s="278">
        <v>0.81</v>
      </c>
      <c r="N41" s="278">
        <v>0</v>
      </c>
      <c r="O41" s="278">
        <v>7.61</v>
      </c>
      <c r="P41" s="278">
        <v>7.45</v>
      </c>
      <c r="Q41" s="278">
        <v>1.31</v>
      </c>
      <c r="R41" s="278">
        <v>0</v>
      </c>
      <c r="S41" s="278">
        <v>8.76</v>
      </c>
      <c r="T41" s="278">
        <v>7.45</v>
      </c>
      <c r="U41" s="278">
        <v>1.31</v>
      </c>
      <c r="V41" s="278">
        <v>0</v>
      </c>
      <c r="W41" s="278">
        <v>8.76</v>
      </c>
      <c r="X41" s="276" t="s">
        <v>70</v>
      </c>
      <c r="AL41" s="397" t="s">
        <v>1269</v>
      </c>
      <c r="AM41" s="398" t="s">
        <v>1270</v>
      </c>
      <c r="AN41" s="398"/>
      <c r="AO41" s="399"/>
      <c r="AP41" s="399"/>
      <c r="AQ41" s="400" t="s">
        <v>1271</v>
      </c>
      <c r="AR41" s="401"/>
      <c r="AS41" s="152"/>
      <c r="AT41" s="153"/>
      <c r="AU41" s="153"/>
      <c r="AV41" s="401" t="s">
        <v>1272</v>
      </c>
    </row>
    <row r="42" spans="1:48" ht="15" customHeight="1" x14ac:dyDescent="0.2">
      <c r="A42" s="272" t="s">
        <v>3412</v>
      </c>
      <c r="B42" s="272" t="s">
        <v>1315</v>
      </c>
      <c r="C42" s="272" t="s">
        <v>1224</v>
      </c>
      <c r="D42" s="272">
        <v>1984</v>
      </c>
      <c r="E42" s="272">
        <v>1.6E-2</v>
      </c>
      <c r="F42" s="272" t="s">
        <v>1170</v>
      </c>
      <c r="G42" s="409" t="s">
        <v>5496</v>
      </c>
      <c r="H42" s="274">
        <v>6.35</v>
      </c>
      <c r="I42" s="274">
        <v>0.62</v>
      </c>
      <c r="J42" s="274">
        <v>0</v>
      </c>
      <c r="K42" s="274">
        <v>6.97</v>
      </c>
      <c r="L42" s="274">
        <v>6.35</v>
      </c>
      <c r="M42" s="274">
        <v>0.62</v>
      </c>
      <c r="N42" s="274">
        <v>0</v>
      </c>
      <c r="O42" s="274">
        <v>6.97</v>
      </c>
      <c r="P42" s="274">
        <v>7</v>
      </c>
      <c r="Q42" s="274">
        <v>1.02</v>
      </c>
      <c r="R42" s="274">
        <v>0</v>
      </c>
      <c r="S42" s="274">
        <v>8.02</v>
      </c>
      <c r="T42" s="274">
        <v>7</v>
      </c>
      <c r="U42" s="274">
        <v>1.02</v>
      </c>
      <c r="V42" s="274">
        <v>0</v>
      </c>
      <c r="W42" s="274">
        <v>8.02</v>
      </c>
      <c r="X42" s="272" t="s">
        <v>70</v>
      </c>
    </row>
    <row r="43" spans="1:48" ht="15" customHeight="1" x14ac:dyDescent="0.2">
      <c r="A43" s="276" t="s">
        <v>3412</v>
      </c>
      <c r="B43" s="276" t="s">
        <v>1316</v>
      </c>
      <c r="C43" s="276" t="s">
        <v>1224</v>
      </c>
      <c r="D43" s="276">
        <v>1708</v>
      </c>
      <c r="E43" s="276">
        <v>1.9E-2</v>
      </c>
      <c r="F43" s="276" t="s">
        <v>1170</v>
      </c>
      <c r="G43" s="410" t="s">
        <v>5496</v>
      </c>
      <c r="H43" s="278">
        <v>5.85</v>
      </c>
      <c r="I43" s="278">
        <v>0.72</v>
      </c>
      <c r="J43" s="278">
        <v>0</v>
      </c>
      <c r="K43" s="278">
        <v>6.5699999999999994</v>
      </c>
      <c r="L43" s="278">
        <v>5.85</v>
      </c>
      <c r="M43" s="278">
        <v>0.72</v>
      </c>
      <c r="N43" s="278">
        <v>0</v>
      </c>
      <c r="O43" s="278">
        <v>6.57</v>
      </c>
      <c r="P43" s="278">
        <v>6.4</v>
      </c>
      <c r="Q43" s="278">
        <v>1.18</v>
      </c>
      <c r="R43" s="278">
        <v>0</v>
      </c>
      <c r="S43" s="278">
        <v>7.58</v>
      </c>
      <c r="T43" s="278">
        <v>6.4</v>
      </c>
      <c r="U43" s="278">
        <v>1.18</v>
      </c>
      <c r="V43" s="278">
        <v>0</v>
      </c>
      <c r="W43" s="278">
        <v>7.58</v>
      </c>
      <c r="X43" s="276" t="s">
        <v>70</v>
      </c>
      <c r="AL43" s="397" t="s">
        <v>1275</v>
      </c>
      <c r="AM43" s="398" t="s">
        <v>1276</v>
      </c>
      <c r="AN43" s="398" t="s">
        <v>1277</v>
      </c>
      <c r="AO43" s="399" t="s">
        <v>1278</v>
      </c>
      <c r="AP43" s="399" t="s">
        <v>1279</v>
      </c>
      <c r="AQ43" s="400"/>
      <c r="AR43" s="401"/>
      <c r="AS43" s="152"/>
      <c r="AT43" s="153"/>
      <c r="AU43" s="153"/>
      <c r="AV43" s="401" t="s">
        <v>1280</v>
      </c>
    </row>
    <row r="44" spans="1:48" ht="15" customHeight="1" x14ac:dyDescent="0.2">
      <c r="A44" s="272" t="s">
        <v>3412</v>
      </c>
      <c r="B44" s="272" t="s">
        <v>1317</v>
      </c>
      <c r="C44" s="272" t="s">
        <v>1224</v>
      </c>
      <c r="D44" s="272">
        <v>1808</v>
      </c>
      <c r="E44" s="272">
        <v>1.7999999999999999E-2</v>
      </c>
      <c r="F44" s="272" t="s">
        <v>1170</v>
      </c>
      <c r="G44" s="409" t="s">
        <v>5496</v>
      </c>
      <c r="H44" s="274">
        <v>6.2</v>
      </c>
      <c r="I44" s="274">
        <v>0.68</v>
      </c>
      <c r="J44" s="274">
        <v>0</v>
      </c>
      <c r="K44" s="274">
        <v>6.88</v>
      </c>
      <c r="L44" s="274">
        <v>6.2</v>
      </c>
      <c r="M44" s="274">
        <v>0.68</v>
      </c>
      <c r="N44" s="274">
        <v>0</v>
      </c>
      <c r="O44" s="274">
        <v>6.88</v>
      </c>
      <c r="P44" s="274">
        <v>6.8</v>
      </c>
      <c r="Q44" s="274">
        <v>1.1100000000000001</v>
      </c>
      <c r="R44" s="274">
        <v>0</v>
      </c>
      <c r="S44" s="274">
        <v>7.91</v>
      </c>
      <c r="T44" s="274">
        <v>6.8</v>
      </c>
      <c r="U44" s="274">
        <v>1.1100000000000001</v>
      </c>
      <c r="V44" s="274">
        <v>0</v>
      </c>
      <c r="W44" s="274">
        <v>7.91</v>
      </c>
      <c r="X44" s="272" t="s">
        <v>70</v>
      </c>
    </row>
    <row r="45" spans="1:48" ht="15" customHeight="1" x14ac:dyDescent="0.2">
      <c r="A45" s="276" t="s">
        <v>3412</v>
      </c>
      <c r="B45" s="276" t="s">
        <v>1214</v>
      </c>
      <c r="C45" s="276"/>
      <c r="D45" s="276"/>
      <c r="E45" s="276"/>
      <c r="F45" s="276"/>
      <c r="G45" s="410" t="s">
        <v>1213</v>
      </c>
      <c r="H45" s="278">
        <v>6.3125</v>
      </c>
      <c r="I45" s="278"/>
      <c r="J45" s="278"/>
      <c r="K45" s="278"/>
      <c r="L45" s="278"/>
      <c r="M45" s="278"/>
      <c r="N45" s="278"/>
      <c r="O45" s="278"/>
      <c r="P45" s="278"/>
      <c r="Q45" s="278"/>
      <c r="R45" s="278"/>
      <c r="S45" s="278"/>
      <c r="T45" s="278"/>
      <c r="U45" s="278"/>
      <c r="V45" s="278"/>
      <c r="W45" s="278"/>
      <c r="X45" s="129" t="s">
        <v>1212</v>
      </c>
      <c r="AL45" s="397" t="s">
        <v>1283</v>
      </c>
      <c r="AM45" s="398" t="s">
        <v>1284</v>
      </c>
      <c r="AN45" s="398" t="s">
        <v>1285</v>
      </c>
      <c r="AO45" s="399" t="s">
        <v>1286</v>
      </c>
      <c r="AP45" s="399"/>
      <c r="AQ45" s="400"/>
      <c r="AR45" s="401"/>
      <c r="AS45" s="152"/>
      <c r="AT45" s="153"/>
      <c r="AU45" s="153"/>
      <c r="AV45" s="401" t="s">
        <v>1287</v>
      </c>
    </row>
    <row r="46" spans="1:48" ht="15" customHeight="1" x14ac:dyDescent="0.2">
      <c r="A46" s="272" t="s">
        <v>3412</v>
      </c>
      <c r="B46" s="272" t="s">
        <v>1219</v>
      </c>
      <c r="C46" s="272"/>
      <c r="D46" s="272"/>
      <c r="E46" s="272"/>
      <c r="F46" s="272"/>
      <c r="G46" s="409" t="s">
        <v>1213</v>
      </c>
      <c r="H46" s="274">
        <v>5.6111111111111107</v>
      </c>
      <c r="I46" s="274"/>
      <c r="J46" s="274"/>
      <c r="K46" s="274"/>
      <c r="L46" s="274"/>
      <c r="M46" s="274"/>
      <c r="N46" s="274"/>
      <c r="O46" s="274"/>
      <c r="P46" s="274"/>
      <c r="Q46" s="274"/>
      <c r="R46" s="274"/>
      <c r="S46" s="274"/>
      <c r="T46" s="274"/>
      <c r="U46" s="274"/>
      <c r="V46" s="274"/>
      <c r="W46" s="274"/>
      <c r="X46" s="129" t="s">
        <v>1212</v>
      </c>
    </row>
    <row r="47" spans="1:48" ht="15" customHeight="1" x14ac:dyDescent="0.2">
      <c r="A47" s="276" t="s">
        <v>3412</v>
      </c>
      <c r="B47" s="276" t="s">
        <v>1221</v>
      </c>
      <c r="C47" s="276"/>
      <c r="D47" s="276"/>
      <c r="E47" s="276"/>
      <c r="F47" s="276"/>
      <c r="G47" s="410" t="s">
        <v>1213</v>
      </c>
      <c r="H47" s="278">
        <v>6.3125</v>
      </c>
      <c r="I47" s="278"/>
      <c r="J47" s="278"/>
      <c r="K47" s="278"/>
      <c r="L47" s="278"/>
      <c r="M47" s="278"/>
      <c r="N47" s="278"/>
      <c r="O47" s="278"/>
      <c r="P47" s="278"/>
      <c r="Q47" s="278"/>
      <c r="R47" s="278"/>
      <c r="S47" s="278"/>
      <c r="T47" s="278"/>
      <c r="U47" s="278"/>
      <c r="V47" s="278"/>
      <c r="W47" s="278"/>
      <c r="X47" s="129" t="s">
        <v>1212</v>
      </c>
      <c r="AL47" s="397"/>
      <c r="AM47" s="398"/>
      <c r="AN47" s="398"/>
      <c r="AO47" s="399"/>
      <c r="AP47" s="399"/>
      <c r="AQ47" s="400"/>
      <c r="AR47" s="401"/>
      <c r="AS47" s="152"/>
      <c r="AT47" s="153"/>
      <c r="AU47" s="153"/>
      <c r="AV47" s="401"/>
    </row>
    <row r="48" spans="1:48" ht="15" customHeight="1" x14ac:dyDescent="0.2">
      <c r="A48" s="272" t="s">
        <v>3412</v>
      </c>
      <c r="B48" s="272" t="s">
        <v>1222</v>
      </c>
      <c r="C48" s="272"/>
      <c r="D48" s="272"/>
      <c r="E48" s="272"/>
      <c r="F48" s="272"/>
      <c r="G48" s="409" t="s">
        <v>1213</v>
      </c>
      <c r="H48" s="274">
        <v>5.2241379310344831</v>
      </c>
      <c r="I48" s="274"/>
      <c r="J48" s="274"/>
      <c r="K48" s="274"/>
      <c r="L48" s="274"/>
      <c r="M48" s="274"/>
      <c r="N48" s="274"/>
      <c r="O48" s="274"/>
      <c r="P48" s="274"/>
      <c r="Q48" s="274"/>
      <c r="R48" s="274"/>
      <c r="S48" s="274"/>
      <c r="T48" s="274"/>
      <c r="U48" s="274"/>
      <c r="V48" s="274"/>
      <c r="W48" s="274"/>
      <c r="X48" s="129" t="s">
        <v>1212</v>
      </c>
    </row>
    <row r="49" spans="1:48" ht="15" customHeight="1" x14ac:dyDescent="0.2">
      <c r="A49" s="276" t="s">
        <v>3412</v>
      </c>
      <c r="B49" s="276" t="s">
        <v>1227</v>
      </c>
      <c r="C49" s="276"/>
      <c r="D49" s="276"/>
      <c r="E49" s="276"/>
      <c r="F49" s="276"/>
      <c r="G49" s="410" t="s">
        <v>1226</v>
      </c>
      <c r="H49" s="278">
        <v>5.8659375000000002</v>
      </c>
      <c r="I49" s="278"/>
      <c r="J49" s="278"/>
      <c r="K49" s="278"/>
      <c r="L49" s="278"/>
      <c r="M49" s="278"/>
      <c r="N49" s="278"/>
      <c r="O49" s="278"/>
      <c r="P49" s="278"/>
      <c r="Q49" s="278"/>
      <c r="R49" s="278"/>
      <c r="S49" s="278"/>
      <c r="T49" s="278"/>
      <c r="U49" s="278"/>
      <c r="V49" s="278"/>
      <c r="W49" s="278"/>
      <c r="X49" s="129" t="s">
        <v>1225</v>
      </c>
      <c r="AL49" s="397"/>
      <c r="AM49" s="398"/>
      <c r="AN49" s="398"/>
      <c r="AO49" s="399"/>
      <c r="AP49" s="399"/>
      <c r="AQ49" s="400"/>
      <c r="AR49" s="401"/>
      <c r="AS49" s="152"/>
      <c r="AT49" s="153"/>
      <c r="AU49" s="153"/>
      <c r="AV49" s="401"/>
    </row>
    <row r="50" spans="1:48" ht="15" customHeight="1" x14ac:dyDescent="0.2">
      <c r="A50" s="272" t="s">
        <v>3412</v>
      </c>
      <c r="B50" s="272" t="s">
        <v>1227</v>
      </c>
      <c r="C50" s="272"/>
      <c r="D50" s="272"/>
      <c r="E50" s="272"/>
      <c r="F50" s="272"/>
      <c r="G50" s="409" t="s">
        <v>1226</v>
      </c>
      <c r="H50" s="274">
        <v>5.8659375000000002</v>
      </c>
      <c r="I50" s="274"/>
      <c r="J50" s="274"/>
      <c r="K50" s="274"/>
      <c r="L50" s="274"/>
      <c r="M50" s="274"/>
      <c r="N50" s="274"/>
      <c r="O50" s="274"/>
      <c r="P50" s="274"/>
      <c r="Q50" s="274"/>
      <c r="R50" s="274"/>
      <c r="S50" s="274"/>
      <c r="T50" s="274"/>
      <c r="U50" s="274"/>
      <c r="V50" s="274"/>
      <c r="W50" s="274"/>
      <c r="X50" s="129" t="s">
        <v>1225</v>
      </c>
    </row>
    <row r="51" spans="1:48" ht="15" customHeight="1" x14ac:dyDescent="0.2">
      <c r="A51" s="276" t="s">
        <v>3412</v>
      </c>
      <c r="B51" s="276" t="s">
        <v>1227</v>
      </c>
      <c r="C51" s="276"/>
      <c r="D51" s="276"/>
      <c r="E51" s="276"/>
      <c r="F51" s="276"/>
      <c r="G51" s="410" t="s">
        <v>1226</v>
      </c>
      <c r="H51" s="278">
        <v>5.1293750000000005</v>
      </c>
      <c r="I51" s="278"/>
      <c r="J51" s="278"/>
      <c r="K51" s="278"/>
      <c r="L51" s="278"/>
      <c r="M51" s="278"/>
      <c r="N51" s="278"/>
      <c r="O51" s="278"/>
      <c r="P51" s="278"/>
      <c r="Q51" s="278"/>
      <c r="R51" s="278"/>
      <c r="S51" s="278"/>
      <c r="T51" s="278"/>
      <c r="U51" s="278"/>
      <c r="V51" s="278"/>
      <c r="W51" s="278"/>
      <c r="X51" s="129" t="s">
        <v>1225</v>
      </c>
      <c r="AL51" s="397"/>
      <c r="AM51" s="398"/>
      <c r="AN51" s="398"/>
      <c r="AO51" s="399"/>
      <c r="AP51" s="399"/>
      <c r="AQ51" s="400"/>
      <c r="AR51" s="401"/>
      <c r="AS51" s="152"/>
      <c r="AT51" s="153"/>
      <c r="AU51" s="153"/>
      <c r="AV51" s="401"/>
    </row>
    <row r="52" spans="1:48" ht="15" customHeight="1" x14ac:dyDescent="0.2">
      <c r="A52" s="272" t="s">
        <v>3412</v>
      </c>
      <c r="B52" s="272" t="s">
        <v>1227</v>
      </c>
      <c r="C52" s="272"/>
      <c r="D52" s="272"/>
      <c r="E52" s="272"/>
      <c r="F52" s="272"/>
      <c r="G52" s="409" t="s">
        <v>1226</v>
      </c>
      <c r="H52" s="274">
        <v>5.4140625</v>
      </c>
      <c r="I52" s="274"/>
      <c r="J52" s="274"/>
      <c r="K52" s="274"/>
      <c r="L52" s="274"/>
      <c r="M52" s="274"/>
      <c r="N52" s="274"/>
      <c r="O52" s="274"/>
      <c r="P52" s="274"/>
      <c r="Q52" s="274"/>
      <c r="R52" s="274"/>
      <c r="S52" s="274"/>
      <c r="T52" s="274"/>
      <c r="U52" s="274"/>
      <c r="V52" s="274"/>
      <c r="W52" s="274"/>
      <c r="X52" s="129" t="s">
        <v>1225</v>
      </c>
      <c r="AL52" t="s">
        <v>1294</v>
      </c>
      <c r="AM52" t="s">
        <v>1295</v>
      </c>
      <c r="AV52" t="s">
        <v>1296</v>
      </c>
    </row>
    <row r="53" spans="1:48" ht="15" customHeight="1" x14ac:dyDescent="0.2">
      <c r="A53" s="276" t="s">
        <v>3412</v>
      </c>
      <c r="B53" s="276" t="s">
        <v>1227</v>
      </c>
      <c r="C53" s="276"/>
      <c r="D53" s="276"/>
      <c r="E53" s="276"/>
      <c r="F53" s="276"/>
      <c r="G53" s="410" t="s">
        <v>1226</v>
      </c>
      <c r="H53" s="278">
        <v>5.5043750000000005</v>
      </c>
      <c r="I53" s="278"/>
      <c r="J53" s="278"/>
      <c r="K53" s="278"/>
      <c r="L53" s="278"/>
      <c r="M53" s="278"/>
      <c r="N53" s="278"/>
      <c r="O53" s="278"/>
      <c r="P53" s="278"/>
      <c r="Q53" s="278"/>
      <c r="R53" s="278"/>
      <c r="S53" s="278"/>
      <c r="T53" s="278"/>
      <c r="U53" s="278"/>
      <c r="V53" s="278"/>
      <c r="W53" s="278"/>
      <c r="X53" s="129" t="s">
        <v>1225</v>
      </c>
      <c r="AL53" s="397"/>
      <c r="AM53" s="398"/>
      <c r="AN53" s="398"/>
      <c r="AO53" s="399"/>
      <c r="AP53" s="399"/>
      <c r="AQ53" s="400"/>
      <c r="AR53" s="401"/>
      <c r="AS53" s="152"/>
      <c r="AT53" s="153"/>
      <c r="AU53" s="153"/>
      <c r="AV53" s="401"/>
    </row>
    <row r="54" spans="1:48" ht="15" customHeight="1" x14ac:dyDescent="0.2">
      <c r="A54" s="272" t="s">
        <v>3412</v>
      </c>
      <c r="B54" s="272" t="s">
        <v>1237</v>
      </c>
      <c r="C54" s="272"/>
      <c r="D54" s="272"/>
      <c r="E54" s="272"/>
      <c r="F54" s="272"/>
      <c r="G54" s="409" t="s">
        <v>1226</v>
      </c>
      <c r="H54" s="274">
        <v>5.0075046904315199</v>
      </c>
      <c r="I54" s="274"/>
      <c r="J54" s="274"/>
      <c r="K54" s="274"/>
      <c r="L54" s="274"/>
      <c r="M54" s="274"/>
      <c r="N54" s="274"/>
      <c r="O54" s="274"/>
      <c r="P54" s="274"/>
      <c r="Q54" s="274"/>
      <c r="R54" s="274"/>
      <c r="S54" s="274"/>
      <c r="T54" s="274"/>
      <c r="U54" s="274"/>
      <c r="V54" s="274"/>
      <c r="W54" s="274"/>
      <c r="X54" s="129" t="s">
        <v>1236</v>
      </c>
      <c r="AL54" t="s">
        <v>1299</v>
      </c>
      <c r="AM54" t="s">
        <v>1300</v>
      </c>
      <c r="AQ54" t="s">
        <v>1301</v>
      </c>
      <c r="AV54" t="s">
        <v>1300</v>
      </c>
    </row>
    <row r="55" spans="1:48" ht="15" customHeight="1" x14ac:dyDescent="0.2">
      <c r="A55" s="276" t="s">
        <v>3412</v>
      </c>
      <c r="B55" s="276" t="s">
        <v>5296</v>
      </c>
      <c r="C55" s="276"/>
      <c r="D55" s="276"/>
      <c r="E55" s="276"/>
      <c r="F55" s="276"/>
      <c r="G55" s="410" t="s">
        <v>5295</v>
      </c>
      <c r="H55" s="278">
        <v>4.8405253283302061</v>
      </c>
      <c r="I55" s="278"/>
      <c r="J55" s="278"/>
      <c r="K55" s="278"/>
      <c r="L55" s="278"/>
      <c r="M55" s="278"/>
      <c r="N55" s="278"/>
      <c r="O55" s="278"/>
      <c r="P55" s="278"/>
      <c r="Q55" s="278"/>
      <c r="R55" s="278"/>
      <c r="S55" s="278"/>
      <c r="T55" s="278"/>
      <c r="U55" s="278"/>
      <c r="V55" s="278"/>
      <c r="W55" s="278"/>
      <c r="X55" s="129" t="s">
        <v>1236</v>
      </c>
      <c r="AL55" s="397"/>
      <c r="AM55" s="398"/>
      <c r="AN55" s="398"/>
      <c r="AO55" s="399"/>
      <c r="AP55" s="399"/>
      <c r="AQ55" s="400"/>
      <c r="AR55" s="401"/>
      <c r="AS55" s="152"/>
      <c r="AT55" s="153"/>
      <c r="AU55" s="153"/>
      <c r="AV55" s="401"/>
    </row>
    <row r="56" spans="1:48" ht="15" customHeight="1" x14ac:dyDescent="0.2">
      <c r="A56" s="272" t="s">
        <v>3412</v>
      </c>
      <c r="B56" s="272" t="s">
        <v>1242</v>
      </c>
      <c r="C56" s="272"/>
      <c r="D56" s="272"/>
      <c r="E56" s="272"/>
      <c r="F56" s="272"/>
      <c r="G56" s="409" t="s">
        <v>5496</v>
      </c>
      <c r="H56" s="274">
        <v>8.6735459662288932</v>
      </c>
      <c r="I56" s="274"/>
      <c r="J56" s="274"/>
      <c r="K56" s="274"/>
      <c r="L56" s="274"/>
      <c r="M56" s="274"/>
      <c r="N56" s="274"/>
      <c r="O56" s="274"/>
      <c r="P56" s="274"/>
      <c r="Q56" s="274"/>
      <c r="R56" s="274"/>
      <c r="S56" s="274"/>
      <c r="T56" s="274"/>
      <c r="U56" s="274"/>
      <c r="V56" s="274"/>
      <c r="W56" s="274"/>
      <c r="X56" s="129" t="s">
        <v>1240</v>
      </c>
    </row>
    <row r="57" spans="1:48" ht="15" customHeight="1" x14ac:dyDescent="0.2">
      <c r="A57" s="276" t="s">
        <v>3412</v>
      </c>
      <c r="B57" s="276" t="s">
        <v>1246</v>
      </c>
      <c r="C57" s="276"/>
      <c r="D57" s="276"/>
      <c r="E57" s="276"/>
      <c r="F57" s="276"/>
      <c r="G57" s="410" t="s">
        <v>5496</v>
      </c>
      <c r="H57" s="278">
        <v>2.1028045977011494</v>
      </c>
      <c r="I57" s="278"/>
      <c r="J57" s="278"/>
      <c r="K57" s="278"/>
      <c r="L57" s="278"/>
      <c r="M57" s="278"/>
      <c r="N57" s="278"/>
      <c r="O57" s="278"/>
      <c r="P57" s="278"/>
      <c r="Q57" s="278"/>
      <c r="R57" s="278"/>
      <c r="S57" s="278"/>
      <c r="T57" s="278"/>
      <c r="U57" s="278"/>
      <c r="V57" s="278"/>
      <c r="W57" s="278"/>
      <c r="X57" s="129" t="s">
        <v>99</v>
      </c>
      <c r="AL57" s="397"/>
      <c r="AM57" s="398"/>
      <c r="AN57" s="398"/>
      <c r="AO57" s="399"/>
      <c r="AP57" s="399"/>
      <c r="AQ57" s="400"/>
      <c r="AR57" s="401"/>
      <c r="AS57" s="152"/>
      <c r="AT57" s="153"/>
      <c r="AU57" s="153"/>
      <c r="AV57" s="401"/>
    </row>
  </sheetData>
  <mergeCells count="1">
    <mergeCell ref="AE3:AF3"/>
  </mergeCells>
  <hyperlinks>
    <hyperlink ref="AL22" r:id="rId1" xr:uid="{59B6B439-2C0B-4E2E-9470-993DCF57CD1E}"/>
    <hyperlink ref="AL52" r:id="rId2" xr:uid="{B4FA6EA0-6F5C-4B14-AAAD-A18E0406B1C4}"/>
    <hyperlink ref="AL9" r:id="rId3" xr:uid="{8290606F-1C17-4FF5-B3E2-728201EE1FF3}"/>
    <hyperlink ref="AL5" r:id="rId4" xr:uid="{71598BBD-8F1B-42AD-915A-6506D17F8637}"/>
    <hyperlink ref="AL6" r:id="rId5" xr:uid="{59D2B883-35CE-4514-814A-C3A83F132F61}"/>
    <hyperlink ref="AL7" r:id="rId6" xr:uid="{E9549301-1A66-4C8F-B7D9-68FC78600BA0}"/>
    <hyperlink ref="AL8" r:id="rId7" xr:uid="{C098F8A8-4E87-474F-A47B-E65661D8F9A0}"/>
    <hyperlink ref="AL10" r:id="rId8" xr:uid="{76CA70D2-6079-4457-911B-44CCB5EB2A58}"/>
    <hyperlink ref="AL11" r:id="rId9" xr:uid="{5008A006-4061-4152-860C-FCA8EB4225CD}"/>
    <hyperlink ref="AL12" r:id="rId10" xr:uid="{C53D663C-A658-4257-AA0A-055BAECC3EEF}"/>
    <hyperlink ref="AL13" r:id="rId11" xr:uid="{91810451-B90C-4364-92BF-7BB53FC3B8FA}"/>
    <hyperlink ref="AL14" r:id="rId12" xr:uid="{0D3550C3-8F66-437A-AFD7-5833340EE789}"/>
    <hyperlink ref="AL16" r:id="rId13" xr:uid="{4F239718-9377-447E-BAE2-C73EE3043CFB}"/>
    <hyperlink ref="AL17" r:id="rId14" xr:uid="{0FAFEA46-D7D5-4071-948E-5554EA15FDD8}"/>
    <hyperlink ref="AL15" r:id="rId15" xr:uid="{A0195AE3-88E5-4CAD-9CD3-B97BD463AD6C}"/>
    <hyperlink ref="AR15" r:id="rId16" display="https://www.menards.com/main/building-materials/concrete-cement-masonry/concrete-forms/liteform-reg-6-straight-block-insulated-concrete-form/lf06/p-4221069730789628-c-5653.htm?tid=c6c47deb-c918-4a64-8eef-b7085e9ed0c4&amp;ipos=2&amp;exp=false" xr:uid="{3CFBC4F6-E654-4452-B823-18E565881851}"/>
    <hyperlink ref="A1" location="'Table of Contents'!A1" display="Table of Contents" xr:uid="{970621DE-6951-4689-80B9-F0829BFB3AF0}"/>
    <hyperlink ref="X49" r:id="rId17" xr:uid="{90C2B184-9719-4197-80E4-5118C87B01CD}"/>
    <hyperlink ref="X45" r:id="rId18" xr:uid="{17984104-FF57-43A7-A23C-19998D6E18B6}"/>
    <hyperlink ref="X46" r:id="rId19" xr:uid="{72E20539-A18A-4A4E-BB6C-3CF09D6EDCDB}"/>
    <hyperlink ref="X47" r:id="rId20" xr:uid="{71E518C1-94BB-4187-817D-F74FB60D187E}"/>
    <hyperlink ref="X48" r:id="rId21" xr:uid="{8A575716-0725-4E12-AF4C-74B32EFCA63D}"/>
    <hyperlink ref="X50" r:id="rId22" xr:uid="{17E67E05-CDBC-488F-B2B4-16FD52708DD5}"/>
    <hyperlink ref="X51" r:id="rId23" xr:uid="{09898EB8-B06A-44CD-A99D-38D405DCC7AF}"/>
    <hyperlink ref="X52" r:id="rId24" xr:uid="{8D4FD3FD-4C58-4824-96B0-A59D1F1DFE90}"/>
    <hyperlink ref="X53" r:id="rId25" xr:uid="{6D4B1AE9-2D0E-4147-82A1-D0E5E2FC92AC}"/>
    <hyperlink ref="X54" r:id="rId26" xr:uid="{FEECA99A-B8C2-4664-9FC0-6B6DB4CDE40A}"/>
    <hyperlink ref="X56" r:id="rId27" xr:uid="{77BEFC5B-9443-42E9-B619-5C40188960F7}"/>
    <hyperlink ref="X57" r:id="rId28" xr:uid="{77F84DAB-B462-4C59-A430-66731DEF0F11}"/>
    <hyperlink ref="X55" r:id="rId29" xr:uid="{9CB5D8B1-01C4-4FBB-9C7F-6BB4820E0510}"/>
  </hyperlinks>
  <pageMargins left="0.7" right="0.7" top="0.75" bottom="0.75" header="0.3" footer="0.3"/>
  <pageSetup orientation="portrait" r:id="rId30"/>
  <drawing r:id="rId31"/>
  <legacyDrawing r:id="rId3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ADF35-FBC2-4195-8AE1-8314518DD99A}">
  <dimension ref="A1:AC66"/>
  <sheetViews>
    <sheetView showGridLines="0" workbookViewId="0"/>
  </sheetViews>
  <sheetFormatPr baseColWidth="10" defaultColWidth="8.83203125" defaultRowHeight="15" x14ac:dyDescent="0.2"/>
  <cols>
    <col min="1" max="1" width="18.33203125" customWidth="1"/>
    <col min="2" max="2" width="16.6640625" bestFit="1" customWidth="1"/>
    <col min="3" max="3" width="13.83203125" bestFit="1" customWidth="1"/>
    <col min="4" max="4" width="15.33203125" customWidth="1"/>
    <col min="5" max="6" width="14.5" bestFit="1" customWidth="1"/>
    <col min="7" max="7" width="15.6640625" customWidth="1"/>
    <col min="8" max="8" width="6.5" bestFit="1" customWidth="1"/>
    <col min="10" max="10" width="12" bestFit="1" customWidth="1"/>
    <col min="11" max="11" width="12.33203125" bestFit="1" customWidth="1"/>
    <col min="12" max="13" width="14.5" bestFit="1" customWidth="1"/>
    <col min="14" max="14" width="15" bestFit="1" customWidth="1"/>
    <col min="17" max="17" width="12" bestFit="1" customWidth="1"/>
    <col min="18" max="18" width="12.33203125" bestFit="1" customWidth="1"/>
    <col min="19" max="19" width="12.5" customWidth="1"/>
    <col min="20" max="20" width="11.33203125" customWidth="1"/>
    <col min="21" max="21" width="16.33203125" bestFit="1" customWidth="1"/>
    <col min="22" max="22" width="7.5" bestFit="1" customWidth="1"/>
    <col min="23" max="23" width="17" bestFit="1" customWidth="1"/>
    <col min="24" max="24" width="7.6640625" bestFit="1" customWidth="1"/>
    <col min="25" max="25" width="8.5" bestFit="1" customWidth="1"/>
    <col min="26" max="26" width="27.6640625" bestFit="1" customWidth="1"/>
    <col min="27" max="27" width="12.33203125" bestFit="1" customWidth="1"/>
    <col min="28" max="28" width="16.5" bestFit="1" customWidth="1"/>
    <col min="29" max="29" width="6.33203125" bestFit="1" customWidth="1"/>
    <col min="30" max="30" width="15.5" bestFit="1" customWidth="1"/>
  </cols>
  <sheetData>
    <row r="1" spans="1:29" x14ac:dyDescent="0.2">
      <c r="A1" s="4" t="s">
        <v>21</v>
      </c>
    </row>
    <row r="2" spans="1:29" ht="16" thickBot="1" x14ac:dyDescent="0.25">
      <c r="A2" s="41" t="s">
        <v>342</v>
      </c>
    </row>
    <row r="3" spans="1:29" x14ac:dyDescent="0.2">
      <c r="A3" s="434" t="s">
        <v>343</v>
      </c>
      <c r="B3" s="435"/>
      <c r="C3" s="436"/>
      <c r="D3" s="437" t="s">
        <v>344</v>
      </c>
      <c r="E3" s="437"/>
      <c r="F3" s="437"/>
      <c r="G3" s="437"/>
      <c r="H3" s="437"/>
      <c r="I3" s="437"/>
      <c r="J3" s="438"/>
      <c r="K3" s="439" t="s">
        <v>345</v>
      </c>
      <c r="L3" s="440"/>
      <c r="M3" s="440"/>
      <c r="N3" s="440"/>
      <c r="O3" s="440"/>
      <c r="P3" s="440"/>
      <c r="Q3" s="441"/>
      <c r="R3" s="442" t="s">
        <v>346</v>
      </c>
      <c r="S3" s="443"/>
      <c r="T3" s="448"/>
      <c r="U3" s="430" t="s">
        <v>4571</v>
      </c>
      <c r="V3" s="444"/>
      <c r="W3" s="430" t="s">
        <v>4572</v>
      </c>
      <c r="X3" s="430"/>
      <c r="Y3" s="417" t="s">
        <v>347</v>
      </c>
      <c r="Z3" s="418"/>
      <c r="AA3" s="418"/>
      <c r="AB3" s="418"/>
      <c r="AC3" s="447"/>
    </row>
    <row r="4" spans="1:29" ht="16" thickBot="1" x14ac:dyDescent="0.25">
      <c r="A4" s="106" t="s">
        <v>0</v>
      </c>
      <c r="B4" s="107" t="s">
        <v>348</v>
      </c>
      <c r="C4" s="108" t="s">
        <v>349</v>
      </c>
      <c r="D4" s="109" t="s">
        <v>350</v>
      </c>
      <c r="E4" s="110" t="s">
        <v>351</v>
      </c>
      <c r="F4" s="110" t="s">
        <v>352</v>
      </c>
      <c r="G4" s="110" t="s">
        <v>353</v>
      </c>
      <c r="H4" s="110" t="s">
        <v>354</v>
      </c>
      <c r="I4" s="110" t="s">
        <v>355</v>
      </c>
      <c r="J4" s="110" t="s">
        <v>356</v>
      </c>
      <c r="K4" s="111" t="s">
        <v>350</v>
      </c>
      <c r="L4" s="112" t="s">
        <v>351</v>
      </c>
      <c r="M4" s="112" t="s">
        <v>352</v>
      </c>
      <c r="N4" s="112" t="s">
        <v>353</v>
      </c>
      <c r="O4" s="112" t="s">
        <v>354</v>
      </c>
      <c r="P4" s="112" t="s">
        <v>355</v>
      </c>
      <c r="Q4" s="119" t="s">
        <v>356</v>
      </c>
      <c r="R4" s="113" t="s">
        <v>357</v>
      </c>
      <c r="S4" s="114" t="s">
        <v>358</v>
      </c>
      <c r="T4" s="115" t="s">
        <v>359</v>
      </c>
      <c r="U4" s="116" t="s">
        <v>360</v>
      </c>
      <c r="V4" s="212" t="s">
        <v>361</v>
      </c>
      <c r="W4" s="116" t="s">
        <v>360</v>
      </c>
      <c r="X4" s="116" t="s">
        <v>361</v>
      </c>
      <c r="Y4" s="45" t="s">
        <v>39</v>
      </c>
      <c r="Z4" s="46" t="s">
        <v>5321</v>
      </c>
      <c r="AA4" s="46" t="s">
        <v>362</v>
      </c>
      <c r="AB4" s="46" t="s">
        <v>5385</v>
      </c>
      <c r="AC4" s="117" t="s">
        <v>41</v>
      </c>
    </row>
    <row r="5" spans="1:29" s="104" customFormat="1" ht="16" thickBot="1" x14ac:dyDescent="0.25">
      <c r="A5" s="345" t="s">
        <v>5394</v>
      </c>
      <c r="B5" s="192" t="s">
        <v>5453</v>
      </c>
      <c r="C5" s="346" t="s">
        <v>5304</v>
      </c>
      <c r="D5" s="192" t="s">
        <v>366</v>
      </c>
      <c r="E5" s="192" t="s">
        <v>366</v>
      </c>
      <c r="F5" s="192" t="s">
        <v>366</v>
      </c>
      <c r="G5" s="192" t="s">
        <v>366</v>
      </c>
      <c r="H5" s="192" t="s">
        <v>366</v>
      </c>
      <c r="I5" s="192" t="s">
        <v>366</v>
      </c>
      <c r="J5" s="192" t="s">
        <v>366</v>
      </c>
      <c r="K5" s="345" t="s">
        <v>366</v>
      </c>
      <c r="L5" s="192" t="s">
        <v>366</v>
      </c>
      <c r="M5" s="192" t="s">
        <v>366</v>
      </c>
      <c r="N5" s="192" t="s">
        <v>366</v>
      </c>
      <c r="O5" s="192" t="s">
        <v>366</v>
      </c>
      <c r="P5" s="192" t="s">
        <v>366</v>
      </c>
      <c r="Q5" s="192" t="s">
        <v>366</v>
      </c>
      <c r="R5" s="347">
        <v>4.343</v>
      </c>
      <c r="S5" s="347">
        <v>6.3125</v>
      </c>
      <c r="T5" s="347">
        <v>12.99</v>
      </c>
      <c r="U5" s="348">
        <v>1.19</v>
      </c>
      <c r="V5" s="349" t="s">
        <v>366</v>
      </c>
      <c r="W5" s="350" t="s">
        <v>366</v>
      </c>
      <c r="X5" s="349" t="s">
        <v>366</v>
      </c>
      <c r="Y5" s="192">
        <v>999</v>
      </c>
      <c r="Z5" s="192" t="s">
        <v>5442</v>
      </c>
      <c r="AA5" s="192" t="s">
        <v>3407</v>
      </c>
      <c r="AB5" s="192" t="s">
        <v>5395</v>
      </c>
      <c r="AC5" s="346" t="s">
        <v>5452</v>
      </c>
    </row>
    <row r="8" spans="1:29" ht="16" thickBot="1" x14ac:dyDescent="0.25"/>
    <row r="9" spans="1:29" ht="16" thickBot="1" x14ac:dyDescent="0.25">
      <c r="A9" s="124" t="s">
        <v>0</v>
      </c>
      <c r="B9" s="125" t="s">
        <v>4767</v>
      </c>
      <c r="C9" s="125" t="s">
        <v>1148</v>
      </c>
      <c r="D9" s="125" t="s">
        <v>1149</v>
      </c>
      <c r="E9" s="126" t="s">
        <v>1150</v>
      </c>
    </row>
    <row r="10" spans="1:29" s="41" customFormat="1" x14ac:dyDescent="0.2">
      <c r="A10" t="s">
        <v>3412</v>
      </c>
      <c r="B10">
        <v>54</v>
      </c>
      <c r="C10" s="39">
        <f>_xlfn.PERCENTILE.INC('ICF Data '!$H$4:$H$57, 0.1)</f>
        <v>4.343</v>
      </c>
      <c r="D10" s="39">
        <f>_xlfn.PERCENTILE.INC('ICF Data '!$H$4:$H$57, 0.5)</f>
        <v>6.3125</v>
      </c>
      <c r="E10" s="39">
        <f>_xlfn.PERCENTILE.INC('ICF Data '!$H$4:$H$57, 0.9)</f>
        <v>12.99</v>
      </c>
    </row>
    <row r="13" spans="1:29" s="41" customFormat="1" x14ac:dyDescent="0.2">
      <c r="A13"/>
      <c r="B13"/>
      <c r="C13"/>
      <c r="D13"/>
      <c r="E13"/>
      <c r="F13"/>
    </row>
    <row r="18" spans="1:14" s="41" customFormat="1" x14ac:dyDescent="0.2">
      <c r="A18"/>
      <c r="B18"/>
      <c r="C18"/>
      <c r="D18"/>
      <c r="E18"/>
      <c r="F18"/>
    </row>
    <row r="22" spans="1:14" x14ac:dyDescent="0.2">
      <c r="K22" s="41"/>
    </row>
    <row r="23" spans="1:14" s="41" customFormat="1" x14ac:dyDescent="0.2">
      <c r="A23"/>
      <c r="B23"/>
      <c r="C23"/>
      <c r="D23"/>
      <c r="E23"/>
      <c r="F23"/>
      <c r="I23"/>
      <c r="J23"/>
      <c r="K23"/>
      <c r="L23"/>
      <c r="M23"/>
      <c r="N23"/>
    </row>
    <row r="24" spans="1:14" s="41" customFormat="1" x14ac:dyDescent="0.2">
      <c r="A24"/>
      <c r="B24"/>
      <c r="C24"/>
      <c r="D24"/>
      <c r="E24"/>
      <c r="F24"/>
      <c r="I24"/>
      <c r="J24"/>
      <c r="K24"/>
      <c r="L24"/>
      <c r="M24"/>
      <c r="N24"/>
    </row>
    <row r="27" spans="1:14" s="257" customFormat="1" x14ac:dyDescent="0.2"/>
    <row r="28" spans="1:14" s="41" customFormat="1" x14ac:dyDescent="0.2"/>
    <row r="32" spans="1:14" s="41" customFormat="1" x14ac:dyDescent="0.2"/>
    <row r="36" spans="1:6" s="41" customFormat="1" x14ac:dyDescent="0.2"/>
    <row r="39" spans="1:6" x14ac:dyDescent="0.2">
      <c r="A39" s="257"/>
      <c r="B39" s="257"/>
      <c r="C39" s="257"/>
      <c r="D39" s="258"/>
      <c r="E39" s="258"/>
      <c r="F39" s="258"/>
    </row>
    <row r="40" spans="1:6" x14ac:dyDescent="0.2">
      <c r="A40" s="97"/>
      <c r="B40" s="97"/>
      <c r="C40" s="97"/>
      <c r="D40" s="259"/>
      <c r="E40" s="259"/>
      <c r="F40" s="259"/>
    </row>
    <row r="41" spans="1:6" x14ac:dyDescent="0.2">
      <c r="A41" s="97"/>
      <c r="B41" s="97"/>
      <c r="C41" s="97"/>
      <c r="D41" s="259"/>
      <c r="E41" s="259"/>
      <c r="F41" s="259"/>
    </row>
    <row r="42" spans="1:6" x14ac:dyDescent="0.2">
      <c r="A42" s="41"/>
      <c r="B42" s="41"/>
      <c r="C42" s="41"/>
      <c r="D42" s="42"/>
      <c r="E42" s="42"/>
      <c r="F42" s="42"/>
    </row>
    <row r="43" spans="1:6" x14ac:dyDescent="0.2">
      <c r="A43" s="97"/>
      <c r="B43" s="97"/>
      <c r="C43" s="97"/>
      <c r="D43" s="259"/>
      <c r="E43" s="259"/>
      <c r="F43" s="259"/>
    </row>
    <row r="44" spans="1:6" x14ac:dyDescent="0.2">
      <c r="A44" s="104"/>
      <c r="B44" s="104"/>
      <c r="C44" s="104"/>
      <c r="D44" s="260"/>
      <c r="E44" s="260"/>
      <c r="F44" s="260"/>
    </row>
    <row r="45" spans="1:6" x14ac:dyDescent="0.2">
      <c r="A45" s="97"/>
      <c r="B45" s="97"/>
      <c r="C45" s="97"/>
      <c r="D45" s="259"/>
      <c r="E45" s="259"/>
      <c r="F45" s="259"/>
    </row>
    <row r="46" spans="1:6" x14ac:dyDescent="0.2">
      <c r="A46" s="97"/>
      <c r="B46" s="97"/>
      <c r="C46" s="97"/>
      <c r="D46" s="259"/>
      <c r="E46" s="259"/>
      <c r="F46" s="259"/>
    </row>
    <row r="47" spans="1:6" x14ac:dyDescent="0.2">
      <c r="A47" s="127"/>
      <c r="B47" s="41"/>
      <c r="C47" s="41"/>
      <c r="D47" s="42"/>
      <c r="E47" s="42"/>
      <c r="F47" s="42"/>
    </row>
    <row r="48" spans="1:6" x14ac:dyDescent="0.2">
      <c r="A48" s="104"/>
      <c r="D48" s="39"/>
      <c r="E48" s="39"/>
      <c r="F48" s="39"/>
    </row>
    <row r="49" spans="1:6" x14ac:dyDescent="0.2">
      <c r="A49" s="104"/>
      <c r="D49" s="39"/>
      <c r="E49" s="39"/>
      <c r="F49" s="39"/>
    </row>
    <row r="50" spans="1:6" x14ac:dyDescent="0.2">
      <c r="A50" s="104"/>
      <c r="D50" s="39"/>
      <c r="E50" s="39"/>
      <c r="F50" s="39"/>
    </row>
    <row r="51" spans="1:6" x14ac:dyDescent="0.2">
      <c r="A51" s="97"/>
      <c r="B51" s="97"/>
      <c r="C51" s="97"/>
      <c r="D51" s="259"/>
      <c r="E51" s="259"/>
      <c r="F51" s="259"/>
    </row>
    <row r="52" spans="1:6" x14ac:dyDescent="0.2">
      <c r="A52" s="257"/>
      <c r="B52" s="257"/>
      <c r="C52" s="257"/>
      <c r="D52" s="258"/>
      <c r="E52" s="258"/>
      <c r="F52" s="258"/>
    </row>
    <row r="53" spans="1:6" x14ac:dyDescent="0.2">
      <c r="A53" s="257"/>
      <c r="B53" s="257"/>
      <c r="C53" s="257"/>
      <c r="D53" s="258"/>
      <c r="E53" s="258"/>
      <c r="F53" s="258"/>
    </row>
    <row r="54" spans="1:6" x14ac:dyDescent="0.2">
      <c r="A54" s="97"/>
      <c r="B54" s="97"/>
      <c r="C54" s="97"/>
      <c r="D54" s="259"/>
      <c r="E54" s="259"/>
      <c r="F54" s="259"/>
    </row>
    <row r="55" spans="1:6" x14ac:dyDescent="0.2">
      <c r="A55" s="97"/>
      <c r="B55" s="97"/>
      <c r="C55" s="97"/>
      <c r="D55" s="259"/>
      <c r="E55" s="259"/>
      <c r="F55" s="259"/>
    </row>
    <row r="56" spans="1:6" x14ac:dyDescent="0.2">
      <c r="A56" s="257"/>
      <c r="B56" s="257"/>
      <c r="C56" s="257"/>
      <c r="D56" s="258"/>
      <c r="E56" s="258"/>
      <c r="F56" s="258"/>
    </row>
    <row r="57" spans="1:6" x14ac:dyDescent="0.2">
      <c r="A57" s="127"/>
      <c r="B57" s="41"/>
      <c r="C57" s="41"/>
      <c r="D57" s="42"/>
      <c r="E57" s="42"/>
      <c r="F57" s="42"/>
    </row>
    <row r="58" spans="1:6" x14ac:dyDescent="0.2">
      <c r="A58" s="97"/>
      <c r="B58" s="97"/>
      <c r="C58" s="97"/>
      <c r="D58" s="259"/>
      <c r="E58" s="259"/>
      <c r="F58" s="259"/>
    </row>
    <row r="59" spans="1:6" x14ac:dyDescent="0.2">
      <c r="A59" s="104"/>
      <c r="D59" s="39"/>
      <c r="E59" s="39"/>
      <c r="F59" s="39"/>
    </row>
    <row r="60" spans="1:6" x14ac:dyDescent="0.2">
      <c r="A60" s="97"/>
      <c r="B60" s="97"/>
      <c r="C60" s="97"/>
      <c r="D60" s="259"/>
      <c r="E60" s="259"/>
      <c r="F60" s="259"/>
    </row>
    <row r="61" spans="1:6" x14ac:dyDescent="0.2">
      <c r="A61" s="127"/>
      <c r="B61" s="41"/>
      <c r="C61" s="41"/>
      <c r="D61" s="42"/>
      <c r="E61" s="42"/>
      <c r="F61" s="42"/>
    </row>
    <row r="62" spans="1:6" x14ac:dyDescent="0.2">
      <c r="A62" s="104"/>
      <c r="D62" s="39"/>
      <c r="E62" s="39"/>
      <c r="F62" s="39"/>
    </row>
    <row r="63" spans="1:6" x14ac:dyDescent="0.2">
      <c r="A63" s="104"/>
      <c r="D63" s="39"/>
      <c r="E63" s="39"/>
      <c r="F63" s="39"/>
    </row>
    <row r="64" spans="1:6" x14ac:dyDescent="0.2">
      <c r="A64" s="104"/>
      <c r="D64" s="39"/>
      <c r="E64" s="39"/>
      <c r="F64" s="39"/>
    </row>
    <row r="65" spans="1:6" x14ac:dyDescent="0.2">
      <c r="A65" s="41"/>
      <c r="B65" s="41"/>
      <c r="C65" s="41"/>
      <c r="D65" s="42"/>
      <c r="E65" s="42"/>
      <c r="F65" s="42"/>
    </row>
    <row r="66" spans="1:6" x14ac:dyDescent="0.2">
      <c r="A66" s="127"/>
    </row>
  </sheetData>
  <mergeCells count="7">
    <mergeCell ref="Y3:AC3"/>
    <mergeCell ref="A3:C3"/>
    <mergeCell ref="D3:J3"/>
    <mergeCell ref="K3:Q3"/>
    <mergeCell ref="R3:T3"/>
    <mergeCell ref="U3:V3"/>
    <mergeCell ref="W3:X3"/>
  </mergeCells>
  <hyperlinks>
    <hyperlink ref="A1" location="'Table of Contents'!A1" display="Table of Contents" xr:uid="{426169FF-4F0C-4517-A9B8-7C583FCACAAC}"/>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C7E6-F1D2-4103-9B7D-F1E26952FDE7}">
  <dimension ref="A1:AX919"/>
  <sheetViews>
    <sheetView topLeftCell="AG1" zoomScaleNormal="100" workbookViewId="0">
      <pane ySplit="3" topLeftCell="A4" activePane="bottomLeft" state="frozen"/>
      <selection pane="bottomLeft" activeCell="AM8" sqref="AM8"/>
    </sheetView>
  </sheetViews>
  <sheetFormatPr baseColWidth="10" defaultColWidth="8.5" defaultRowHeight="15" x14ac:dyDescent="0.2"/>
  <cols>
    <col min="1" max="1" width="20.5" style="95" bestFit="1" customWidth="1"/>
    <col min="2" max="2" width="13" style="95" customWidth="1"/>
    <col min="3" max="3" width="21.5" style="95" bestFit="1" customWidth="1"/>
    <col min="4" max="4" width="20.6640625" style="95" customWidth="1"/>
    <col min="5" max="5" width="19.5" style="95" bestFit="1" customWidth="1"/>
    <col min="6" max="6" width="15.5" style="95" customWidth="1"/>
    <col min="7" max="7" width="19.6640625" style="95" bestFit="1" customWidth="1"/>
    <col min="8" max="9" width="17.5" style="95" customWidth="1"/>
    <col min="10" max="10" width="19.5" style="95" customWidth="1"/>
    <col min="11" max="11" width="13.5" style="95" customWidth="1"/>
    <col min="12" max="12" width="25.5" style="95" customWidth="1"/>
    <col min="13" max="14" width="21.5" style="95" customWidth="1"/>
    <col min="15" max="15" width="10.5" style="95" customWidth="1"/>
    <col min="16" max="16" width="7.5" style="95" customWidth="1"/>
    <col min="17" max="17" width="20" style="95" customWidth="1"/>
    <col min="18" max="18" width="18.5" style="95" customWidth="1"/>
    <col min="19" max="19" width="16.33203125" style="95" customWidth="1"/>
    <col min="20" max="20" width="13.5" style="95" customWidth="1"/>
    <col min="21" max="21" width="19" style="95" hidden="1" customWidth="1"/>
    <col min="22" max="22" width="18.5" style="95" hidden="1" customWidth="1"/>
    <col min="23" max="23" width="25.5" style="95" hidden="1" customWidth="1"/>
    <col min="24" max="24" width="28.5" style="95" hidden="1" customWidth="1"/>
    <col min="25" max="25" width="30.5" style="95" hidden="1" customWidth="1"/>
    <col min="26" max="26" width="26" style="95" hidden="1" customWidth="1"/>
    <col min="27" max="27" width="28" style="95" hidden="1" customWidth="1"/>
    <col min="28" max="28" width="23.5" style="95" hidden="1" customWidth="1"/>
    <col min="29" max="29" width="25.5" style="95" hidden="1" customWidth="1"/>
    <col min="30" max="30" width="15.5" style="95" bestFit="1" customWidth="1"/>
    <col min="31" max="31" width="19.33203125" style="95" bestFit="1" customWidth="1"/>
    <col min="32" max="32" width="21.33203125" style="95" bestFit="1" customWidth="1"/>
    <col min="33" max="33" width="7.5" style="95" bestFit="1" customWidth="1"/>
    <col min="34" max="34" width="11.33203125" style="95" bestFit="1" customWidth="1"/>
    <col min="35" max="35" width="8.33203125" style="95" bestFit="1" customWidth="1"/>
    <col min="36" max="36" width="12.6640625" style="95" bestFit="1" customWidth="1"/>
    <col min="37" max="37" width="12" style="95" customWidth="1"/>
    <col min="38" max="38" width="8.5" style="95"/>
    <col min="39" max="39" width="21.5" style="95" bestFit="1" customWidth="1"/>
    <col min="40" max="40" width="13.5" style="95" customWidth="1"/>
    <col min="41" max="41" width="8.5" style="95"/>
    <col min="42" max="42" width="9.5" style="95" customWidth="1"/>
    <col min="43" max="43" width="20.5" style="95" customWidth="1"/>
    <col min="44" max="44" width="12.5" style="95" customWidth="1"/>
    <col min="45" max="45" width="22.33203125" style="95" customWidth="1"/>
    <col min="46" max="48" width="20.5" style="95" customWidth="1"/>
    <col min="49" max="49" width="11.5" style="95" customWidth="1"/>
    <col min="50" max="50" width="15.5" style="95" bestFit="1" customWidth="1"/>
    <col min="51" max="16384" width="8.5" style="95"/>
  </cols>
  <sheetData>
    <row r="1" spans="1:50" customFormat="1" x14ac:dyDescent="0.2">
      <c r="A1" s="4" t="s">
        <v>21</v>
      </c>
      <c r="K1" s="39"/>
      <c r="L1" s="39"/>
    </row>
    <row r="2" spans="1:50" customFormat="1" ht="19" x14ac:dyDescent="0.25">
      <c r="A2" s="24" t="s">
        <v>22</v>
      </c>
      <c r="G2" s="40" t="s">
        <v>1152</v>
      </c>
      <c r="I2" s="40" t="s">
        <v>5305</v>
      </c>
      <c r="K2" s="39"/>
      <c r="L2" s="39"/>
      <c r="AM2" s="169" t="s">
        <v>23</v>
      </c>
      <c r="AN2" s="64"/>
      <c r="AO2" s="170"/>
      <c r="AP2" s="170"/>
      <c r="AQ2" s="170"/>
      <c r="AR2" s="170"/>
      <c r="AS2" s="415" t="s">
        <v>24</v>
      </c>
      <c r="AT2" s="415"/>
      <c r="AU2" s="364"/>
      <c r="AV2" s="364"/>
      <c r="AW2" s="170"/>
      <c r="AX2" s="170"/>
    </row>
    <row r="3" spans="1:50" s="96" customFormat="1" ht="38.75" customHeight="1" x14ac:dyDescent="0.2">
      <c r="A3" s="96" t="s">
        <v>25</v>
      </c>
      <c r="B3" s="96" t="s">
        <v>26</v>
      </c>
      <c r="C3" s="96" t="s">
        <v>27</v>
      </c>
      <c r="D3" s="96" t="s">
        <v>28</v>
      </c>
      <c r="E3" s="96" t="s">
        <v>29</v>
      </c>
      <c r="F3" s="96" t="s">
        <v>30</v>
      </c>
      <c r="G3" s="96" t="s">
        <v>31</v>
      </c>
      <c r="H3" s="96" t="s">
        <v>32</v>
      </c>
      <c r="I3" s="96" t="s">
        <v>33</v>
      </c>
      <c r="J3" s="96" t="s">
        <v>34</v>
      </c>
      <c r="K3" s="96" t="s">
        <v>35</v>
      </c>
      <c r="L3" s="96" t="s">
        <v>36</v>
      </c>
      <c r="M3" s="96" t="s">
        <v>37</v>
      </c>
      <c r="N3" s="96" t="s">
        <v>38</v>
      </c>
      <c r="O3" s="96" t="s">
        <v>39</v>
      </c>
      <c r="P3" s="96" t="s">
        <v>40</v>
      </c>
      <c r="Q3" s="96" t="s">
        <v>41</v>
      </c>
      <c r="R3" s="96" t="s">
        <v>42</v>
      </c>
      <c r="S3" s="96" t="s">
        <v>43</v>
      </c>
      <c r="T3" s="96" t="s">
        <v>44</v>
      </c>
      <c r="U3" s="96" t="s">
        <v>45</v>
      </c>
      <c r="V3" s="96" t="s">
        <v>46</v>
      </c>
      <c r="W3" s="96" t="s">
        <v>47</v>
      </c>
      <c r="X3" s="96" t="s">
        <v>48</v>
      </c>
      <c r="Y3" s="96" t="s">
        <v>49</v>
      </c>
      <c r="Z3" s="96" t="s">
        <v>50</v>
      </c>
      <c r="AA3" s="96" t="s">
        <v>51</v>
      </c>
      <c r="AB3" s="96" t="s">
        <v>52</v>
      </c>
      <c r="AC3" s="96" t="s">
        <v>53</v>
      </c>
      <c r="AD3" s="96" t="s">
        <v>15</v>
      </c>
      <c r="AE3" s="96" t="s">
        <v>54</v>
      </c>
      <c r="AF3" s="96" t="s">
        <v>55</v>
      </c>
      <c r="AG3" s="96" t="s">
        <v>17</v>
      </c>
      <c r="AH3" s="96" t="s">
        <v>18</v>
      </c>
      <c r="AI3" s="96" t="s">
        <v>56</v>
      </c>
      <c r="AJ3" s="96" t="s">
        <v>5433</v>
      </c>
      <c r="AK3" s="96" t="s">
        <v>57</v>
      </c>
      <c r="AM3" s="191" t="s">
        <v>0</v>
      </c>
      <c r="AN3" s="191" t="s">
        <v>25</v>
      </c>
      <c r="AO3" s="191" t="s">
        <v>58</v>
      </c>
      <c r="AP3" s="191" t="s">
        <v>59</v>
      </c>
      <c r="AQ3" s="191" t="s">
        <v>60</v>
      </c>
      <c r="AR3" s="191" t="s">
        <v>61</v>
      </c>
      <c r="AS3" s="191" t="s">
        <v>62</v>
      </c>
      <c r="AT3" s="191" t="s">
        <v>63</v>
      </c>
      <c r="AU3" s="191" t="s">
        <v>5500</v>
      </c>
      <c r="AV3" s="191" t="s">
        <v>5501</v>
      </c>
      <c r="AW3" s="191" t="s">
        <v>64</v>
      </c>
      <c r="AX3" s="191" t="s">
        <v>43</v>
      </c>
    </row>
    <row r="4" spans="1:50" x14ac:dyDescent="0.2">
      <c r="A4" s="95" t="s">
        <v>65</v>
      </c>
      <c r="B4" s="95" t="s">
        <v>66</v>
      </c>
      <c r="C4" s="95" t="s">
        <v>67</v>
      </c>
      <c r="D4" s="95" t="s">
        <v>68</v>
      </c>
      <c r="E4" s="95" t="s">
        <v>68</v>
      </c>
      <c r="F4" s="95">
        <v>1</v>
      </c>
      <c r="G4" s="95">
        <v>4.0999999999999996</v>
      </c>
      <c r="I4" s="95">
        <v>0.42</v>
      </c>
      <c r="J4" s="95">
        <v>8.0000000000000002E-3</v>
      </c>
      <c r="K4" s="95">
        <v>0.31</v>
      </c>
      <c r="L4" s="95">
        <v>0.96</v>
      </c>
      <c r="O4" s="95">
        <v>999</v>
      </c>
      <c r="P4" s="95">
        <v>2023</v>
      </c>
      <c r="R4" s="95" t="s">
        <v>69</v>
      </c>
      <c r="S4" s="95" t="s">
        <v>70</v>
      </c>
      <c r="U4" s="95" t="s">
        <v>71</v>
      </c>
      <c r="V4" s="95" t="s">
        <v>71</v>
      </c>
      <c r="W4" s="95" t="s">
        <v>72</v>
      </c>
      <c r="X4" s="95" t="s">
        <v>71</v>
      </c>
      <c r="Y4" s="95" t="s">
        <v>72</v>
      </c>
      <c r="Z4" s="95" t="s">
        <v>71</v>
      </c>
      <c r="AA4" s="95" t="s">
        <v>72</v>
      </c>
      <c r="AB4" s="95" t="s">
        <v>72</v>
      </c>
      <c r="AC4" s="95" t="s">
        <v>72</v>
      </c>
      <c r="AD4" s="95" t="s">
        <v>72</v>
      </c>
      <c r="AE4" s="95" t="s">
        <v>71</v>
      </c>
      <c r="AF4" s="95" t="s">
        <v>72</v>
      </c>
      <c r="AG4" s="95" t="s">
        <v>71</v>
      </c>
      <c r="AH4" s="95" t="s">
        <v>71</v>
      </c>
      <c r="AI4" s="95" t="s">
        <v>71</v>
      </c>
      <c r="AK4" s="95" t="s">
        <v>72</v>
      </c>
      <c r="AM4" s="180" t="s">
        <v>73</v>
      </c>
      <c r="AN4" s="180" t="s">
        <v>69</v>
      </c>
      <c r="AO4" s="199">
        <f>AVERAGE(K37:K57,K330:K349)</f>
        <v>0.58609756097560994</v>
      </c>
      <c r="AP4" s="199">
        <v>0.17</v>
      </c>
      <c r="AQ4" s="199">
        <f>Table9[[#This Row],[Install]]</f>
        <v>0.58609756097560994</v>
      </c>
      <c r="AR4" s="202">
        <f>Table9[[#This Row],[Total New Construction]]+Table9[[#This Row],[Removal]]</f>
        <v>0.75609756097560998</v>
      </c>
      <c r="AS4" s="204"/>
      <c r="AT4" s="204"/>
      <c r="AU4" s="365">
        <v>0.58609756097560994</v>
      </c>
      <c r="AV4" s="365">
        <v>0.75609756097560998</v>
      </c>
      <c r="AW4" s="180">
        <v>2023</v>
      </c>
      <c r="AX4" s="180" t="s">
        <v>74</v>
      </c>
    </row>
    <row r="5" spans="1:50" x14ac:dyDescent="0.2">
      <c r="A5" s="95" t="s">
        <v>65</v>
      </c>
      <c r="B5" s="95" t="s">
        <v>66</v>
      </c>
      <c r="C5" s="95" t="s">
        <v>67</v>
      </c>
      <c r="D5" s="95" t="s">
        <v>68</v>
      </c>
      <c r="E5" s="95" t="s">
        <v>68</v>
      </c>
      <c r="F5" s="95">
        <v>1.5</v>
      </c>
      <c r="G5" s="95">
        <v>6.2</v>
      </c>
      <c r="I5" s="95">
        <v>1.32</v>
      </c>
      <c r="J5" s="95">
        <v>8.0000000000000002E-3</v>
      </c>
      <c r="K5" s="95">
        <v>0.31</v>
      </c>
      <c r="L5" s="95">
        <v>1.95</v>
      </c>
      <c r="O5" s="95">
        <v>999</v>
      </c>
      <c r="P5" s="95">
        <v>2023</v>
      </c>
      <c r="R5" s="95" t="s">
        <v>69</v>
      </c>
      <c r="S5" s="95" t="s">
        <v>70</v>
      </c>
      <c r="U5" s="95" t="s">
        <v>71</v>
      </c>
      <c r="V5" s="95" t="s">
        <v>71</v>
      </c>
      <c r="W5" s="95" t="s">
        <v>72</v>
      </c>
      <c r="X5" s="95" t="s">
        <v>71</v>
      </c>
      <c r="Y5" s="95" t="s">
        <v>72</v>
      </c>
      <c r="Z5" s="95" t="s">
        <v>71</v>
      </c>
      <c r="AA5" s="95" t="s">
        <v>72</v>
      </c>
      <c r="AB5" s="95" t="s">
        <v>72</v>
      </c>
      <c r="AC5" s="95" t="s">
        <v>72</v>
      </c>
      <c r="AD5" s="95" t="s">
        <v>72</v>
      </c>
      <c r="AE5" s="95" t="s">
        <v>71</v>
      </c>
      <c r="AF5" s="95" t="s">
        <v>72</v>
      </c>
      <c r="AG5" s="95" t="s">
        <v>71</v>
      </c>
      <c r="AH5" s="95" t="s">
        <v>71</v>
      </c>
      <c r="AI5" s="95" t="s">
        <v>71</v>
      </c>
      <c r="AK5" s="95" t="s">
        <v>72</v>
      </c>
      <c r="AM5" s="179" t="s">
        <v>73</v>
      </c>
      <c r="AN5" s="180" t="s">
        <v>75</v>
      </c>
      <c r="AO5" s="201">
        <f>AVERAGE(K29:K36,K53:K57,K310:K329)</f>
        <v>0.8036363636363637</v>
      </c>
      <c r="AP5" s="200">
        <v>0.17</v>
      </c>
      <c r="AQ5" s="201">
        <f>Table9[[#This Row],[Install]]</f>
        <v>0.8036363636363637</v>
      </c>
      <c r="AR5" s="203">
        <f>Table9[[#This Row],[Total New Construction]]+Table9[[#This Row],[Removal]]</f>
        <v>0.97363636363636374</v>
      </c>
      <c r="AS5" s="203"/>
      <c r="AT5" s="203"/>
      <c r="AU5" s="366">
        <v>0.8036363636363637</v>
      </c>
      <c r="AV5" s="366">
        <v>0.97363636363636374</v>
      </c>
      <c r="AW5" s="180">
        <v>2023</v>
      </c>
      <c r="AX5" s="180" t="s">
        <v>74</v>
      </c>
    </row>
    <row r="6" spans="1:50" x14ac:dyDescent="0.2">
      <c r="A6" s="95" t="s">
        <v>65</v>
      </c>
      <c r="B6" s="95" t="s">
        <v>66</v>
      </c>
      <c r="C6" s="95" t="s">
        <v>67</v>
      </c>
      <c r="D6" s="95" t="s">
        <v>68</v>
      </c>
      <c r="E6" s="95" t="s">
        <v>68</v>
      </c>
      <c r="F6" s="95">
        <v>2</v>
      </c>
      <c r="G6" s="95">
        <v>8.3000000000000007</v>
      </c>
      <c r="I6" s="95">
        <v>0.67</v>
      </c>
      <c r="J6" s="95">
        <v>8.0000000000000002E-3</v>
      </c>
      <c r="K6" s="95">
        <v>0.31</v>
      </c>
      <c r="L6" s="95">
        <v>1.24</v>
      </c>
      <c r="O6" s="95">
        <v>999</v>
      </c>
      <c r="P6" s="95">
        <v>2023</v>
      </c>
      <c r="R6" s="95" t="s">
        <v>69</v>
      </c>
      <c r="S6" s="95" t="s">
        <v>70</v>
      </c>
      <c r="U6" s="95" t="s">
        <v>71</v>
      </c>
      <c r="V6" s="95" t="s">
        <v>71</v>
      </c>
      <c r="W6" s="95" t="s">
        <v>72</v>
      </c>
      <c r="X6" s="95" t="s">
        <v>71</v>
      </c>
      <c r="Y6" s="95" t="s">
        <v>72</v>
      </c>
      <c r="Z6" s="95" t="s">
        <v>71</v>
      </c>
      <c r="AA6" s="95" t="s">
        <v>72</v>
      </c>
      <c r="AB6" s="95" t="s">
        <v>72</v>
      </c>
      <c r="AC6" s="95" t="s">
        <v>72</v>
      </c>
      <c r="AD6" s="95" t="s">
        <v>72</v>
      </c>
      <c r="AE6" s="95" t="s">
        <v>71</v>
      </c>
      <c r="AF6" s="95" t="s">
        <v>72</v>
      </c>
      <c r="AG6" s="95" t="s">
        <v>71</v>
      </c>
      <c r="AH6" s="95" t="s">
        <v>71</v>
      </c>
      <c r="AI6" s="95" t="s">
        <v>71</v>
      </c>
      <c r="AK6" s="95" t="s">
        <v>72</v>
      </c>
      <c r="AM6" s="179" t="s">
        <v>76</v>
      </c>
      <c r="AN6" s="180" t="s">
        <v>69</v>
      </c>
      <c r="AO6" s="201">
        <f>AVERAGE(K71:K80,K410:K429)</f>
        <v>0.73666666666666658</v>
      </c>
      <c r="AP6" s="201">
        <v>0.08</v>
      </c>
      <c r="AQ6" s="201">
        <f>Table9[[#This Row],[Install]]</f>
        <v>0.73666666666666658</v>
      </c>
      <c r="AR6" s="203">
        <f>Table9[[#This Row],[Total New Construction]]+Table9[[#This Row],[Removal]]</f>
        <v>0.81666666666666654</v>
      </c>
      <c r="AS6" s="209">
        <f>1+Table9[[#This Row],[Install]]/AVERAGE(I71:I80,I410:I429)</f>
        <v>1.7305785123966939</v>
      </c>
      <c r="AT6" s="209">
        <f>Table9[[#This Row],[New Construction (%)]]+Table9[[#This Row],[Removal]]/AVERAGE(I71:I80,I410:I429)</f>
        <v>1.8099173553719006</v>
      </c>
      <c r="AU6" s="367"/>
      <c r="AV6" s="367"/>
      <c r="AW6" s="180">
        <v>2023</v>
      </c>
      <c r="AX6" s="180" t="s">
        <v>74</v>
      </c>
    </row>
    <row r="7" spans="1:50" x14ac:dyDescent="0.2">
      <c r="A7" s="95" t="s">
        <v>65</v>
      </c>
      <c r="B7" s="95" t="s">
        <v>66</v>
      </c>
      <c r="C7" s="95" t="s">
        <v>67</v>
      </c>
      <c r="D7" s="95" t="s">
        <v>68</v>
      </c>
      <c r="E7" s="95" t="s">
        <v>68</v>
      </c>
      <c r="F7" s="95">
        <v>3</v>
      </c>
      <c r="G7" s="95">
        <v>12.4</v>
      </c>
      <c r="I7" s="95">
        <v>0.89</v>
      </c>
      <c r="J7" s="95">
        <v>0.01</v>
      </c>
      <c r="K7" s="95">
        <v>0.39</v>
      </c>
      <c r="L7" s="95">
        <v>1.61</v>
      </c>
      <c r="O7" s="95">
        <v>999</v>
      </c>
      <c r="P7" s="95">
        <v>2023</v>
      </c>
      <c r="R7" s="95" t="s">
        <v>69</v>
      </c>
      <c r="S7" s="95" t="s">
        <v>70</v>
      </c>
      <c r="U7" s="95" t="s">
        <v>71</v>
      </c>
      <c r="V7" s="95" t="s">
        <v>71</v>
      </c>
      <c r="W7" s="95" t="s">
        <v>72</v>
      </c>
      <c r="X7" s="95" t="s">
        <v>71</v>
      </c>
      <c r="Y7" s="95" t="s">
        <v>72</v>
      </c>
      <c r="Z7" s="95" t="s">
        <v>71</v>
      </c>
      <c r="AA7" s="95" t="s">
        <v>72</v>
      </c>
      <c r="AB7" s="95" t="s">
        <v>72</v>
      </c>
      <c r="AC7" s="95" t="s">
        <v>72</v>
      </c>
      <c r="AD7" s="95" t="s">
        <v>72</v>
      </c>
      <c r="AE7" s="95" t="s">
        <v>71</v>
      </c>
      <c r="AF7" s="95" t="s">
        <v>72</v>
      </c>
      <c r="AG7" s="95" t="s">
        <v>71</v>
      </c>
      <c r="AH7" s="95" t="s">
        <v>71</v>
      </c>
      <c r="AI7" s="95" t="s">
        <v>71</v>
      </c>
      <c r="AK7" s="95" t="s">
        <v>72</v>
      </c>
      <c r="AM7" s="179" t="s">
        <v>76</v>
      </c>
      <c r="AN7" s="180" t="s">
        <v>75</v>
      </c>
      <c r="AO7" s="201">
        <f>AVERAGE(K58:K80,K410:K429)</f>
        <v>0.62744186046511619</v>
      </c>
      <c r="AP7" s="201">
        <v>0.08</v>
      </c>
      <c r="AQ7" s="201">
        <f>Table9[[#This Row],[Install]]</f>
        <v>0.62744186046511619</v>
      </c>
      <c r="AR7" s="203">
        <f>Table9[[#This Row],[Total New Construction]]+Table9[[#This Row],[Removal]]</f>
        <v>0.70744186046511615</v>
      </c>
      <c r="AS7" s="209">
        <f>1+Table9[[#This Row],[Install]]/AVERAGE(I58:I80,I410:I429)</f>
        <v>1.7148913619501853</v>
      </c>
      <c r="AT7" s="209">
        <f>Table9[[#This Row],[New Construction (%)]]+Table9[[#This Row],[Removal]]/AVERAGE(I58:I80,I410:I429)</f>
        <v>1.8060413354531</v>
      </c>
      <c r="AU7" s="367"/>
      <c r="AV7" s="367"/>
      <c r="AW7" s="180">
        <v>2023</v>
      </c>
      <c r="AX7" s="180" t="s">
        <v>74</v>
      </c>
    </row>
    <row r="8" spans="1:50" x14ac:dyDescent="0.2">
      <c r="A8" s="95" t="s">
        <v>65</v>
      </c>
      <c r="B8" s="95" t="s">
        <v>66</v>
      </c>
      <c r="C8" s="95" t="s">
        <v>67</v>
      </c>
      <c r="D8" s="95" t="s">
        <v>68</v>
      </c>
      <c r="E8" s="95" t="s">
        <v>68</v>
      </c>
      <c r="F8" s="95">
        <v>1</v>
      </c>
      <c r="G8" s="95">
        <v>4.3</v>
      </c>
      <c r="I8" s="95">
        <v>0.87</v>
      </c>
      <c r="J8" s="95">
        <v>8.0000000000000002E-3</v>
      </c>
      <c r="K8" s="95">
        <v>0.31</v>
      </c>
      <c r="L8" s="95">
        <v>1.46</v>
      </c>
      <c r="O8" s="95">
        <v>999</v>
      </c>
      <c r="P8" s="95">
        <v>2023</v>
      </c>
      <c r="R8" s="95" t="s">
        <v>69</v>
      </c>
      <c r="S8" s="95" t="s">
        <v>70</v>
      </c>
      <c r="U8" s="95" t="s">
        <v>71</v>
      </c>
      <c r="V8" s="95" t="s">
        <v>71</v>
      </c>
      <c r="W8" s="95" t="s">
        <v>72</v>
      </c>
      <c r="X8" s="95" t="s">
        <v>71</v>
      </c>
      <c r="Y8" s="95" t="s">
        <v>72</v>
      </c>
      <c r="Z8" s="95" t="s">
        <v>71</v>
      </c>
      <c r="AA8" s="95" t="s">
        <v>72</v>
      </c>
      <c r="AB8" s="95" t="s">
        <v>72</v>
      </c>
      <c r="AC8" s="95" t="s">
        <v>72</v>
      </c>
      <c r="AD8" s="95" t="s">
        <v>72</v>
      </c>
      <c r="AE8" s="95" t="s">
        <v>71</v>
      </c>
      <c r="AF8" s="95" t="s">
        <v>72</v>
      </c>
      <c r="AG8" s="95" t="s">
        <v>71</v>
      </c>
      <c r="AH8" s="95" t="s">
        <v>71</v>
      </c>
      <c r="AI8" s="95" t="s">
        <v>71</v>
      </c>
      <c r="AK8" s="95" t="s">
        <v>72</v>
      </c>
      <c r="AM8" s="179" t="s">
        <v>77</v>
      </c>
      <c r="AN8" s="180" t="s">
        <v>69</v>
      </c>
      <c r="AO8" s="201">
        <f>AVERAGE(K17:K24)</f>
        <v>0.40875</v>
      </c>
      <c r="AP8" s="201">
        <v>7.0000000000000007E-2</v>
      </c>
      <c r="AQ8" s="201">
        <f>Table9[[#This Row],[Install]]</f>
        <v>0.40875</v>
      </c>
      <c r="AR8" s="203">
        <f>Table9[[#This Row],[Total New Construction]]+Table9[[#This Row],[Removal]]</f>
        <v>0.47875000000000001</v>
      </c>
      <c r="AS8" s="209"/>
      <c r="AT8" s="209"/>
      <c r="AU8" s="367"/>
      <c r="AV8" s="367"/>
      <c r="AW8" s="180">
        <v>2023</v>
      </c>
      <c r="AX8" s="180" t="s">
        <v>74</v>
      </c>
    </row>
    <row r="9" spans="1:50" x14ac:dyDescent="0.2">
      <c r="A9" s="95" t="s">
        <v>65</v>
      </c>
      <c r="B9" s="95" t="s">
        <v>66</v>
      </c>
      <c r="C9" s="95" t="s">
        <v>67</v>
      </c>
      <c r="D9" s="95" t="s">
        <v>68</v>
      </c>
      <c r="E9" s="95" t="s">
        <v>68</v>
      </c>
      <c r="F9" s="95">
        <v>2</v>
      </c>
      <c r="G9" s="95">
        <v>8.6999999999999993</v>
      </c>
      <c r="I9" s="95">
        <v>1.78</v>
      </c>
      <c r="J9" s="95">
        <v>8.9999999999999993E-3</v>
      </c>
      <c r="K9" s="95">
        <v>0.35</v>
      </c>
      <c r="L9" s="95">
        <v>2.5299999999999998</v>
      </c>
      <c r="O9" s="95">
        <v>999</v>
      </c>
      <c r="P9" s="95">
        <v>2023</v>
      </c>
      <c r="R9" s="95" t="s">
        <v>69</v>
      </c>
      <c r="S9" s="95" t="s">
        <v>70</v>
      </c>
      <c r="U9" s="95" t="s">
        <v>71</v>
      </c>
      <c r="V9" s="95" t="s">
        <v>71</v>
      </c>
      <c r="W9" s="95" t="s">
        <v>72</v>
      </c>
      <c r="X9" s="95" t="s">
        <v>71</v>
      </c>
      <c r="Y9" s="95" t="s">
        <v>72</v>
      </c>
      <c r="Z9" s="95" t="s">
        <v>71</v>
      </c>
      <c r="AA9" s="95" t="s">
        <v>72</v>
      </c>
      <c r="AB9" s="95" t="s">
        <v>72</v>
      </c>
      <c r="AC9" s="95" t="s">
        <v>72</v>
      </c>
      <c r="AD9" s="95" t="s">
        <v>72</v>
      </c>
      <c r="AE9" s="95" t="s">
        <v>71</v>
      </c>
      <c r="AF9" s="95" t="s">
        <v>72</v>
      </c>
      <c r="AG9" s="95" t="s">
        <v>71</v>
      </c>
      <c r="AH9" s="95" t="s">
        <v>71</v>
      </c>
      <c r="AI9" s="95" t="s">
        <v>71</v>
      </c>
      <c r="AK9" s="95" t="s">
        <v>72</v>
      </c>
      <c r="AM9" s="179" t="s">
        <v>78</v>
      </c>
      <c r="AN9" s="180" t="s">
        <v>69</v>
      </c>
      <c r="AO9" s="201">
        <f>AVERAGE(K27:K28)</f>
        <v>0.45500000000000002</v>
      </c>
      <c r="AP9" s="201">
        <v>7.0000000000000007E-2</v>
      </c>
      <c r="AQ9" s="201">
        <f>Table9[[#This Row],[Install]]</f>
        <v>0.45500000000000002</v>
      </c>
      <c r="AR9" s="203">
        <f>Table9[[#This Row],[Total New Construction]]+Table9[[#This Row],[Removal]]</f>
        <v>0.52500000000000002</v>
      </c>
      <c r="AS9" s="209"/>
      <c r="AT9" s="209"/>
      <c r="AU9" s="367"/>
      <c r="AV9" s="367"/>
      <c r="AW9" s="180">
        <v>2023</v>
      </c>
      <c r="AX9" s="180" t="s">
        <v>74</v>
      </c>
    </row>
    <row r="10" spans="1:50" x14ac:dyDescent="0.2">
      <c r="A10" s="95" t="s">
        <v>65</v>
      </c>
      <c r="B10" s="95" t="s">
        <v>66</v>
      </c>
      <c r="C10" s="95" t="s">
        <v>67</v>
      </c>
      <c r="D10" s="95" t="s">
        <v>68</v>
      </c>
      <c r="E10" s="95" t="s">
        <v>68</v>
      </c>
      <c r="F10" s="95">
        <v>2.5</v>
      </c>
      <c r="G10" s="95">
        <v>10.9</v>
      </c>
      <c r="I10" s="95">
        <v>1.57</v>
      </c>
      <c r="J10" s="95">
        <v>0.01</v>
      </c>
      <c r="K10" s="95">
        <v>0.39</v>
      </c>
      <c r="L10" s="95">
        <v>2.36</v>
      </c>
      <c r="O10" s="95">
        <v>999</v>
      </c>
      <c r="P10" s="95">
        <v>2023</v>
      </c>
      <c r="R10" s="95" t="s">
        <v>69</v>
      </c>
      <c r="S10" s="95" t="s">
        <v>70</v>
      </c>
      <c r="U10" s="95" t="s">
        <v>71</v>
      </c>
      <c r="V10" s="95" t="s">
        <v>71</v>
      </c>
      <c r="W10" s="95" t="s">
        <v>72</v>
      </c>
      <c r="X10" s="95" t="s">
        <v>71</v>
      </c>
      <c r="Y10" s="95" t="s">
        <v>72</v>
      </c>
      <c r="Z10" s="95" t="s">
        <v>71</v>
      </c>
      <c r="AA10" s="95" t="s">
        <v>72</v>
      </c>
      <c r="AB10" s="95" t="s">
        <v>72</v>
      </c>
      <c r="AC10" s="95" t="s">
        <v>72</v>
      </c>
      <c r="AD10" s="95" t="s">
        <v>72</v>
      </c>
      <c r="AE10" s="95" t="s">
        <v>71</v>
      </c>
      <c r="AF10" s="95" t="s">
        <v>72</v>
      </c>
      <c r="AG10" s="95" t="s">
        <v>71</v>
      </c>
      <c r="AH10" s="95" t="s">
        <v>71</v>
      </c>
      <c r="AI10" s="95" t="s">
        <v>71</v>
      </c>
      <c r="AK10" s="95" t="s">
        <v>72</v>
      </c>
      <c r="AM10" s="179" t="s">
        <v>79</v>
      </c>
      <c r="AN10" s="180" t="s">
        <v>69</v>
      </c>
      <c r="AO10" s="201">
        <f>AVERAGE(K25:K26)</f>
        <v>0.45500000000000002</v>
      </c>
      <c r="AP10" s="201">
        <v>7.0000000000000007E-2</v>
      </c>
      <c r="AQ10" s="201">
        <f>Table9[[#This Row],[Install]]</f>
        <v>0.45500000000000002</v>
      </c>
      <c r="AR10" s="203">
        <f>Table9[[#This Row],[Total New Construction]]+Table9[[#This Row],[Removal]]</f>
        <v>0.52500000000000002</v>
      </c>
      <c r="AS10" s="209"/>
      <c r="AT10" s="209"/>
      <c r="AU10" s="367">
        <v>0.45500000000000002</v>
      </c>
      <c r="AV10" s="367">
        <v>0.52500000000000002</v>
      </c>
      <c r="AW10" s="180">
        <v>2023</v>
      </c>
      <c r="AX10" s="180" t="s">
        <v>74</v>
      </c>
    </row>
    <row r="11" spans="1:50" x14ac:dyDescent="0.2">
      <c r="A11" s="95" t="s">
        <v>65</v>
      </c>
      <c r="B11" s="95" t="s">
        <v>66</v>
      </c>
      <c r="C11" s="95" t="s">
        <v>67</v>
      </c>
      <c r="D11" s="95" t="s">
        <v>68</v>
      </c>
      <c r="E11" s="95" t="s">
        <v>68</v>
      </c>
      <c r="F11" s="95">
        <v>3</v>
      </c>
      <c r="G11" s="95">
        <v>13</v>
      </c>
      <c r="I11" s="95">
        <v>0.59</v>
      </c>
      <c r="J11" s="95">
        <v>0.01</v>
      </c>
      <c r="K11" s="95">
        <v>0.39</v>
      </c>
      <c r="L11" s="95">
        <v>1.28</v>
      </c>
      <c r="O11" s="95">
        <v>999</v>
      </c>
      <c r="P11" s="95">
        <v>2023</v>
      </c>
      <c r="R11" s="95" t="s">
        <v>69</v>
      </c>
      <c r="S11" s="95" t="s">
        <v>70</v>
      </c>
      <c r="U11" s="95" t="s">
        <v>71</v>
      </c>
      <c r="V11" s="95" t="s">
        <v>71</v>
      </c>
      <c r="W11" s="95" t="s">
        <v>72</v>
      </c>
      <c r="X11" s="95" t="s">
        <v>71</v>
      </c>
      <c r="Y11" s="95" t="s">
        <v>72</v>
      </c>
      <c r="Z11" s="95" t="s">
        <v>71</v>
      </c>
      <c r="AA11" s="95" t="s">
        <v>72</v>
      </c>
      <c r="AB11" s="95" t="s">
        <v>72</v>
      </c>
      <c r="AC11" s="95" t="s">
        <v>72</v>
      </c>
      <c r="AD11" s="95" t="s">
        <v>72</v>
      </c>
      <c r="AE11" s="95" t="s">
        <v>71</v>
      </c>
      <c r="AF11" s="95" t="s">
        <v>72</v>
      </c>
      <c r="AG11" s="95" t="s">
        <v>71</v>
      </c>
      <c r="AH11" s="95" t="s">
        <v>71</v>
      </c>
      <c r="AI11" s="95" t="s">
        <v>71</v>
      </c>
      <c r="AK11" s="95" t="s">
        <v>72</v>
      </c>
      <c r="AM11" s="179" t="s">
        <v>80</v>
      </c>
      <c r="AN11" s="180"/>
      <c r="AO11" s="201">
        <f>AVERAGE(K81:K88)</f>
        <v>0.44249999999999995</v>
      </c>
      <c r="AP11" s="201">
        <v>0.48</v>
      </c>
      <c r="AQ11" s="201">
        <f>Table9[[#This Row],[Install]]</f>
        <v>0.44249999999999995</v>
      </c>
      <c r="AR11" s="203">
        <f>Table9[[#This Row],[Total New Construction]]+Table9[[#This Row],[Removal]]</f>
        <v>0.92249999999999988</v>
      </c>
      <c r="AS11" s="209">
        <f>1+Table9[[#This Row],[Install]]/AVERAGE(I81:I88)</f>
        <v>1.1366795366795368</v>
      </c>
      <c r="AT11" s="209">
        <f>Table9[[#This Row],[New Construction (%)]]+Table9[[#This Row],[Removal]]/AVERAGE(I81:I88)</f>
        <v>1.2849420849420852</v>
      </c>
      <c r="AU11" s="367"/>
      <c r="AV11" s="367"/>
      <c r="AW11" s="180">
        <v>2023</v>
      </c>
      <c r="AX11" s="180" t="s">
        <v>74</v>
      </c>
    </row>
    <row r="12" spans="1:50" x14ac:dyDescent="0.2">
      <c r="A12" s="95" t="s">
        <v>65</v>
      </c>
      <c r="B12" s="95" t="s">
        <v>66</v>
      </c>
      <c r="C12" s="95" t="s">
        <v>67</v>
      </c>
      <c r="D12" s="95" t="s">
        <v>81</v>
      </c>
      <c r="E12" s="95" t="s">
        <v>82</v>
      </c>
      <c r="F12" s="95">
        <v>0.5</v>
      </c>
      <c r="G12" s="95">
        <v>4.3</v>
      </c>
      <c r="I12" s="95">
        <v>1.21</v>
      </c>
      <c r="J12" s="95">
        <v>8.0000000000000002E-3</v>
      </c>
      <c r="K12" s="95">
        <v>0.31</v>
      </c>
      <c r="L12" s="95">
        <v>1.83</v>
      </c>
      <c r="O12" s="95">
        <v>999</v>
      </c>
      <c r="P12" s="95">
        <v>2023</v>
      </c>
      <c r="R12" s="95" t="s">
        <v>69</v>
      </c>
      <c r="S12" s="95" t="s">
        <v>70</v>
      </c>
      <c r="U12" s="95" t="s">
        <v>71</v>
      </c>
      <c r="V12" s="95" t="s">
        <v>71</v>
      </c>
      <c r="W12" s="95" t="s">
        <v>72</v>
      </c>
      <c r="X12" s="95" t="s">
        <v>71</v>
      </c>
      <c r="Y12" s="95" t="s">
        <v>72</v>
      </c>
      <c r="Z12" s="95" t="s">
        <v>71</v>
      </c>
      <c r="AA12" s="95" t="s">
        <v>72</v>
      </c>
      <c r="AB12" s="95" t="s">
        <v>72</v>
      </c>
      <c r="AC12" s="95" t="s">
        <v>72</v>
      </c>
      <c r="AD12" s="95" t="s">
        <v>72</v>
      </c>
      <c r="AE12" s="95" t="s">
        <v>71</v>
      </c>
      <c r="AF12" s="95" t="s">
        <v>72</v>
      </c>
      <c r="AG12" s="95" t="s">
        <v>71</v>
      </c>
      <c r="AH12" s="95" t="s">
        <v>71</v>
      </c>
      <c r="AI12" s="95" t="s">
        <v>71</v>
      </c>
      <c r="AK12" s="95" t="s">
        <v>72</v>
      </c>
      <c r="AM12" s="179" t="s">
        <v>83</v>
      </c>
      <c r="AN12" s="180"/>
      <c r="AO12" s="201">
        <f>AVERAGE(K81:K88)</f>
        <v>0.44249999999999995</v>
      </c>
      <c r="AP12" s="201">
        <v>0.48</v>
      </c>
      <c r="AQ12" s="201">
        <f>Table9[[#This Row],[Install]]</f>
        <v>0.44249999999999995</v>
      </c>
      <c r="AR12" s="203">
        <f>Table9[[#This Row],[Total New Construction]]+Table9[[#This Row],[Removal]]</f>
        <v>0.92249999999999988</v>
      </c>
      <c r="AS12" s="209">
        <f>1+Table9[[#This Row],[Install]]/AVERAGE(I81:I88)</f>
        <v>1.1366795366795368</v>
      </c>
      <c r="AT12" s="209">
        <f>Table9[[#This Row],[New Construction (%)]]+Table9[[#This Row],[Removal]]/AVERAGE(I82:I89)</f>
        <v>1.2853438804658319</v>
      </c>
      <c r="AU12" s="367"/>
      <c r="AV12" s="367"/>
      <c r="AW12" s="180">
        <v>2023</v>
      </c>
      <c r="AX12" s="180" t="s">
        <v>74</v>
      </c>
    </row>
    <row r="13" spans="1:50" x14ac:dyDescent="0.2">
      <c r="A13" s="95" t="s">
        <v>65</v>
      </c>
      <c r="B13" s="95" t="s">
        <v>66</v>
      </c>
      <c r="C13" s="95" t="s">
        <v>67</v>
      </c>
      <c r="D13" s="95" t="s">
        <v>81</v>
      </c>
      <c r="E13" s="95" t="s">
        <v>82</v>
      </c>
      <c r="F13" s="95">
        <v>0.625</v>
      </c>
      <c r="G13" s="95">
        <v>6.5</v>
      </c>
      <c r="I13" s="95">
        <v>1.68</v>
      </c>
      <c r="J13" s="95">
        <v>8.0000000000000002E-3</v>
      </c>
      <c r="K13" s="95">
        <v>0.31</v>
      </c>
      <c r="L13" s="95">
        <v>2.35</v>
      </c>
      <c r="O13" s="95">
        <v>999</v>
      </c>
      <c r="P13" s="95">
        <v>2023</v>
      </c>
      <c r="R13" s="95" t="s">
        <v>69</v>
      </c>
      <c r="S13" s="95" t="s">
        <v>70</v>
      </c>
      <c r="U13" s="95" t="s">
        <v>71</v>
      </c>
      <c r="V13" s="95" t="s">
        <v>71</v>
      </c>
      <c r="W13" s="95" t="s">
        <v>72</v>
      </c>
      <c r="X13" s="95" t="s">
        <v>71</v>
      </c>
      <c r="Y13" s="95" t="s">
        <v>72</v>
      </c>
      <c r="Z13" s="95" t="s">
        <v>71</v>
      </c>
      <c r="AA13" s="95" t="s">
        <v>72</v>
      </c>
      <c r="AB13" s="95" t="s">
        <v>72</v>
      </c>
      <c r="AC13" s="95" t="s">
        <v>72</v>
      </c>
      <c r="AD13" s="95" t="s">
        <v>72</v>
      </c>
      <c r="AE13" s="95" t="s">
        <v>71</v>
      </c>
      <c r="AF13" s="95" t="s">
        <v>72</v>
      </c>
      <c r="AG13" s="95" t="s">
        <v>71</v>
      </c>
      <c r="AH13" s="95" t="s">
        <v>71</v>
      </c>
      <c r="AI13" s="95" t="s">
        <v>71</v>
      </c>
      <c r="AK13" s="95" t="s">
        <v>72</v>
      </c>
    </row>
    <row r="14" spans="1:50" ht="19" x14ac:dyDescent="0.25">
      <c r="A14" s="95" t="s">
        <v>65</v>
      </c>
      <c r="B14" s="95" t="s">
        <v>66</v>
      </c>
      <c r="C14" s="95" t="s">
        <v>67</v>
      </c>
      <c r="D14" s="95" t="s">
        <v>81</v>
      </c>
      <c r="E14" s="95" t="s">
        <v>82</v>
      </c>
      <c r="F14" s="95">
        <v>0.75</v>
      </c>
      <c r="G14" s="95">
        <v>8.6999999999999993</v>
      </c>
      <c r="I14" s="95">
        <v>2.27</v>
      </c>
      <c r="J14" s="95">
        <v>8.9999999999999993E-3</v>
      </c>
      <c r="K14" s="95">
        <v>0.35</v>
      </c>
      <c r="L14" s="95">
        <v>3.07</v>
      </c>
      <c r="O14" s="95">
        <v>999</v>
      </c>
      <c r="P14" s="95">
        <v>2023</v>
      </c>
      <c r="R14" s="95" t="s">
        <v>69</v>
      </c>
      <c r="S14" s="95" t="s">
        <v>70</v>
      </c>
      <c r="U14" s="95" t="s">
        <v>71</v>
      </c>
      <c r="V14" s="95" t="s">
        <v>71</v>
      </c>
      <c r="W14" s="95" t="s">
        <v>72</v>
      </c>
      <c r="X14" s="95" t="s">
        <v>71</v>
      </c>
      <c r="Y14" s="95" t="s">
        <v>72</v>
      </c>
      <c r="Z14" s="95" t="s">
        <v>71</v>
      </c>
      <c r="AA14" s="95" t="s">
        <v>72</v>
      </c>
      <c r="AB14" s="95" t="s">
        <v>72</v>
      </c>
      <c r="AC14" s="95" t="s">
        <v>72</v>
      </c>
      <c r="AD14" s="95" t="s">
        <v>72</v>
      </c>
      <c r="AE14" s="95" t="s">
        <v>71</v>
      </c>
      <c r="AF14" s="95" t="s">
        <v>72</v>
      </c>
      <c r="AG14" s="95" t="s">
        <v>71</v>
      </c>
      <c r="AH14" s="95" t="s">
        <v>71</v>
      </c>
      <c r="AI14" s="95" t="s">
        <v>71</v>
      </c>
      <c r="AK14" s="95" t="s">
        <v>72</v>
      </c>
      <c r="AM14" s="169"/>
    </row>
    <row r="15" spans="1:50" x14ac:dyDescent="0.2">
      <c r="A15" s="95" t="s">
        <v>65</v>
      </c>
      <c r="B15" s="95" t="s">
        <v>66</v>
      </c>
      <c r="C15" s="95" t="s">
        <v>67</v>
      </c>
      <c r="D15" s="95" t="s">
        <v>81</v>
      </c>
      <c r="E15" s="95" t="s">
        <v>82</v>
      </c>
      <c r="F15" s="95">
        <v>1</v>
      </c>
      <c r="G15" s="95">
        <v>10.9</v>
      </c>
      <c r="I15" s="95">
        <v>2.64</v>
      </c>
      <c r="J15" s="95">
        <v>0.01</v>
      </c>
      <c r="K15" s="95">
        <v>0.39</v>
      </c>
      <c r="L15" s="95">
        <v>3.53</v>
      </c>
      <c r="O15" s="95">
        <v>999</v>
      </c>
      <c r="P15" s="95">
        <v>2023</v>
      </c>
      <c r="R15" s="95" t="s">
        <v>69</v>
      </c>
      <c r="S15" s="95" t="s">
        <v>70</v>
      </c>
      <c r="U15" s="95" t="s">
        <v>71</v>
      </c>
      <c r="V15" s="95" t="s">
        <v>71</v>
      </c>
      <c r="W15" s="95" t="s">
        <v>72</v>
      </c>
      <c r="X15" s="95" t="s">
        <v>71</v>
      </c>
      <c r="Y15" s="95" t="s">
        <v>72</v>
      </c>
      <c r="Z15" s="95" t="s">
        <v>71</v>
      </c>
      <c r="AA15" s="95" t="s">
        <v>72</v>
      </c>
      <c r="AB15" s="95" t="s">
        <v>72</v>
      </c>
      <c r="AC15" s="95" t="s">
        <v>72</v>
      </c>
      <c r="AD15" s="95" t="s">
        <v>72</v>
      </c>
      <c r="AE15" s="95" t="s">
        <v>71</v>
      </c>
      <c r="AF15" s="95" t="s">
        <v>72</v>
      </c>
      <c r="AG15" s="95" t="s">
        <v>71</v>
      </c>
      <c r="AH15" s="95" t="s">
        <v>71</v>
      </c>
      <c r="AI15" s="95" t="s">
        <v>71</v>
      </c>
      <c r="AK15" s="95" t="s">
        <v>72</v>
      </c>
    </row>
    <row r="16" spans="1:50" x14ac:dyDescent="0.2">
      <c r="A16" s="95" t="s">
        <v>65</v>
      </c>
      <c r="B16" s="95" t="s">
        <v>66</v>
      </c>
      <c r="C16" s="95" t="s">
        <v>67</v>
      </c>
      <c r="D16" s="95" t="s">
        <v>81</v>
      </c>
      <c r="E16" s="95" t="s">
        <v>82</v>
      </c>
      <c r="F16" s="95">
        <v>1.5</v>
      </c>
      <c r="G16" s="95">
        <v>13</v>
      </c>
      <c r="I16" s="95">
        <v>0.56999999999999995</v>
      </c>
      <c r="J16" s="95">
        <v>0.01</v>
      </c>
      <c r="K16" s="95">
        <v>0.39</v>
      </c>
      <c r="L16" s="95">
        <v>1.26</v>
      </c>
      <c r="O16" s="95">
        <v>999</v>
      </c>
      <c r="P16" s="95">
        <v>2023</v>
      </c>
      <c r="R16" s="95" t="s">
        <v>69</v>
      </c>
      <c r="S16" s="95" t="s">
        <v>70</v>
      </c>
      <c r="U16" s="95" t="s">
        <v>71</v>
      </c>
      <c r="V16" s="95" t="s">
        <v>71</v>
      </c>
      <c r="W16" s="95" t="s">
        <v>72</v>
      </c>
      <c r="X16" s="95" t="s">
        <v>71</v>
      </c>
      <c r="Y16" s="95" t="s">
        <v>72</v>
      </c>
      <c r="Z16" s="95" t="s">
        <v>71</v>
      </c>
      <c r="AA16" s="95" t="s">
        <v>72</v>
      </c>
      <c r="AB16" s="95" t="s">
        <v>72</v>
      </c>
      <c r="AC16" s="95" t="s">
        <v>72</v>
      </c>
      <c r="AD16" s="95" t="s">
        <v>72</v>
      </c>
      <c r="AE16" s="95" t="s">
        <v>71</v>
      </c>
      <c r="AF16" s="95" t="s">
        <v>72</v>
      </c>
      <c r="AG16" s="95" t="s">
        <v>71</v>
      </c>
      <c r="AH16" s="95" t="s">
        <v>71</v>
      </c>
      <c r="AI16" s="95" t="s">
        <v>71</v>
      </c>
      <c r="AK16" s="95" t="s">
        <v>72</v>
      </c>
    </row>
    <row r="17" spans="1:40" x14ac:dyDescent="0.2">
      <c r="A17" s="95" t="s">
        <v>65</v>
      </c>
      <c r="B17" s="95" t="s">
        <v>66</v>
      </c>
      <c r="C17" s="95" t="s">
        <v>84</v>
      </c>
      <c r="D17" s="95" t="s">
        <v>81</v>
      </c>
      <c r="E17" s="95" t="s">
        <v>82</v>
      </c>
      <c r="F17" s="95">
        <v>1</v>
      </c>
      <c r="G17" s="95">
        <v>6</v>
      </c>
      <c r="H17" s="95">
        <v>6</v>
      </c>
      <c r="I17" s="95">
        <v>0.71</v>
      </c>
      <c r="J17" s="95">
        <v>0.01</v>
      </c>
      <c r="K17" s="95">
        <v>0.39</v>
      </c>
      <c r="L17" s="95">
        <v>1.41</v>
      </c>
      <c r="O17" s="95">
        <v>999</v>
      </c>
      <c r="P17" s="95">
        <v>2023</v>
      </c>
      <c r="Q17" s="95" t="s">
        <v>5034</v>
      </c>
      <c r="R17" s="95" t="s">
        <v>69</v>
      </c>
      <c r="S17" s="95" t="s">
        <v>70</v>
      </c>
      <c r="U17" s="95" t="s">
        <v>71</v>
      </c>
      <c r="V17" s="95" t="s">
        <v>71</v>
      </c>
      <c r="W17" s="95" t="s">
        <v>72</v>
      </c>
      <c r="X17" s="95" t="s">
        <v>71</v>
      </c>
      <c r="Y17" s="95" t="s">
        <v>72</v>
      </c>
      <c r="Z17" s="95" t="s">
        <v>71</v>
      </c>
      <c r="AA17" s="95" t="s">
        <v>72</v>
      </c>
      <c r="AB17" s="95" t="s">
        <v>72</v>
      </c>
      <c r="AC17" s="95" t="s">
        <v>72</v>
      </c>
      <c r="AD17" s="95" t="s">
        <v>72</v>
      </c>
      <c r="AE17" s="95" t="s">
        <v>71</v>
      </c>
      <c r="AF17" s="95" t="s">
        <v>72</v>
      </c>
      <c r="AG17" s="95" t="s">
        <v>71</v>
      </c>
      <c r="AH17" s="95" t="s">
        <v>71</v>
      </c>
      <c r="AI17" s="95" t="s">
        <v>71</v>
      </c>
      <c r="AK17" s="95" t="s">
        <v>71</v>
      </c>
      <c r="AN17" s="351"/>
    </row>
    <row r="18" spans="1:40" x14ac:dyDescent="0.2">
      <c r="A18" s="95" t="s">
        <v>65</v>
      </c>
      <c r="B18" s="95" t="s">
        <v>66</v>
      </c>
      <c r="C18" s="95" t="s">
        <v>84</v>
      </c>
      <c r="D18" s="95" t="s">
        <v>81</v>
      </c>
      <c r="E18" s="95" t="s">
        <v>82</v>
      </c>
      <c r="F18" s="95">
        <v>2</v>
      </c>
      <c r="G18" s="95">
        <v>12</v>
      </c>
      <c r="H18" s="95">
        <v>6</v>
      </c>
      <c r="I18" s="95">
        <v>1.26</v>
      </c>
      <c r="J18" s="95">
        <v>1.0999999999999999E-2</v>
      </c>
      <c r="K18" s="95">
        <v>0.42</v>
      </c>
      <c r="L18" s="95">
        <v>2.08</v>
      </c>
      <c r="O18" s="95">
        <v>999</v>
      </c>
      <c r="P18" s="95">
        <v>2023</v>
      </c>
      <c r="Q18" s="95" t="s">
        <v>5034</v>
      </c>
      <c r="R18" s="95" t="s">
        <v>69</v>
      </c>
      <c r="S18" s="95" t="s">
        <v>70</v>
      </c>
      <c r="U18" s="95" t="s">
        <v>71</v>
      </c>
      <c r="V18" s="95" t="s">
        <v>71</v>
      </c>
      <c r="W18" s="95" t="s">
        <v>72</v>
      </c>
      <c r="X18" s="95" t="s">
        <v>71</v>
      </c>
      <c r="Y18" s="95" t="s">
        <v>72</v>
      </c>
      <c r="Z18" s="95" t="s">
        <v>71</v>
      </c>
      <c r="AA18" s="95" t="s">
        <v>72</v>
      </c>
      <c r="AB18" s="95" t="s">
        <v>72</v>
      </c>
      <c r="AC18" s="95" t="s">
        <v>72</v>
      </c>
      <c r="AD18" s="95" t="s">
        <v>72</v>
      </c>
      <c r="AE18" s="95" t="s">
        <v>71</v>
      </c>
      <c r="AF18" s="95" t="s">
        <v>72</v>
      </c>
      <c r="AG18" s="95" t="s">
        <v>71</v>
      </c>
      <c r="AH18" s="95" t="s">
        <v>71</v>
      </c>
      <c r="AI18" s="95" t="s">
        <v>71</v>
      </c>
      <c r="AK18" s="95" t="s">
        <v>71</v>
      </c>
    </row>
    <row r="19" spans="1:40" x14ac:dyDescent="0.2">
      <c r="A19" s="95" t="s">
        <v>65</v>
      </c>
      <c r="B19" s="95" t="s">
        <v>66</v>
      </c>
      <c r="C19" s="95" t="s">
        <v>84</v>
      </c>
      <c r="D19" s="95" t="s">
        <v>81</v>
      </c>
      <c r="E19" s="95" t="s">
        <v>82</v>
      </c>
      <c r="F19" s="95">
        <v>1</v>
      </c>
      <c r="G19" s="95">
        <v>6</v>
      </c>
      <c r="H19" s="95">
        <v>6</v>
      </c>
      <c r="I19" s="95">
        <v>1.26</v>
      </c>
      <c r="J19" s="95">
        <v>0.01</v>
      </c>
      <c r="K19" s="95">
        <v>0.39</v>
      </c>
      <c r="L19" s="95">
        <v>2.02</v>
      </c>
      <c r="O19" s="95">
        <v>999</v>
      </c>
      <c r="P19" s="95">
        <v>2023</v>
      </c>
      <c r="Q19" s="95" t="s">
        <v>5034</v>
      </c>
      <c r="R19" s="95" t="s">
        <v>69</v>
      </c>
      <c r="S19" s="95" t="s">
        <v>70</v>
      </c>
      <c r="U19" s="95" t="s">
        <v>71</v>
      </c>
      <c r="V19" s="95" t="s">
        <v>71</v>
      </c>
      <c r="W19" s="95" t="s">
        <v>72</v>
      </c>
      <c r="X19" s="95" t="s">
        <v>71</v>
      </c>
      <c r="Y19" s="95" t="s">
        <v>72</v>
      </c>
      <c r="Z19" s="95" t="s">
        <v>71</v>
      </c>
      <c r="AA19" s="95" t="s">
        <v>72</v>
      </c>
      <c r="AB19" s="95" t="s">
        <v>72</v>
      </c>
      <c r="AC19" s="95" t="s">
        <v>72</v>
      </c>
      <c r="AD19" s="95" t="s">
        <v>72</v>
      </c>
      <c r="AE19" s="95" t="s">
        <v>71</v>
      </c>
      <c r="AF19" s="95" t="s">
        <v>72</v>
      </c>
      <c r="AG19" s="95" t="s">
        <v>71</v>
      </c>
      <c r="AH19" s="95" t="s">
        <v>71</v>
      </c>
      <c r="AI19" s="95" t="s">
        <v>71</v>
      </c>
      <c r="AK19" s="95" t="s">
        <v>71</v>
      </c>
    </row>
    <row r="20" spans="1:40" x14ac:dyDescent="0.2">
      <c r="A20" s="95" t="s">
        <v>65</v>
      </c>
      <c r="B20" s="95" t="s">
        <v>66</v>
      </c>
      <c r="C20" s="95" t="s">
        <v>84</v>
      </c>
      <c r="D20" s="95" t="s">
        <v>81</v>
      </c>
      <c r="E20" s="95" t="s">
        <v>82</v>
      </c>
      <c r="F20" s="95">
        <v>2</v>
      </c>
      <c r="G20" s="95">
        <v>12</v>
      </c>
      <c r="H20" s="95">
        <v>6</v>
      </c>
      <c r="I20" s="95">
        <v>1.91</v>
      </c>
      <c r="J20" s="95">
        <v>1.0999999999999999E-2</v>
      </c>
      <c r="K20" s="95">
        <v>0.42</v>
      </c>
      <c r="L20" s="95">
        <v>2.79</v>
      </c>
      <c r="O20" s="95">
        <v>999</v>
      </c>
      <c r="P20" s="95">
        <v>2023</v>
      </c>
      <c r="Q20" s="95" t="s">
        <v>5034</v>
      </c>
      <c r="R20" s="95" t="s">
        <v>69</v>
      </c>
      <c r="S20" s="95" t="s">
        <v>70</v>
      </c>
      <c r="U20" s="95" t="s">
        <v>71</v>
      </c>
      <c r="V20" s="95" t="s">
        <v>71</v>
      </c>
      <c r="W20" s="95" t="s">
        <v>72</v>
      </c>
      <c r="X20" s="95" t="s">
        <v>71</v>
      </c>
      <c r="Y20" s="95" t="s">
        <v>72</v>
      </c>
      <c r="Z20" s="95" t="s">
        <v>71</v>
      </c>
      <c r="AA20" s="95" t="s">
        <v>72</v>
      </c>
      <c r="AB20" s="95" t="s">
        <v>72</v>
      </c>
      <c r="AC20" s="95" t="s">
        <v>72</v>
      </c>
      <c r="AD20" s="95" t="s">
        <v>72</v>
      </c>
      <c r="AE20" s="95" t="s">
        <v>71</v>
      </c>
      <c r="AF20" s="95" t="s">
        <v>72</v>
      </c>
      <c r="AG20" s="95" t="s">
        <v>71</v>
      </c>
      <c r="AH20" s="95" t="s">
        <v>71</v>
      </c>
      <c r="AI20" s="95" t="s">
        <v>71</v>
      </c>
      <c r="AK20" s="95" t="s">
        <v>71</v>
      </c>
    </row>
    <row r="21" spans="1:40" x14ac:dyDescent="0.2">
      <c r="A21" s="95" t="s">
        <v>65</v>
      </c>
      <c r="B21" s="95" t="s">
        <v>66</v>
      </c>
      <c r="C21" s="95" t="s">
        <v>84</v>
      </c>
      <c r="D21" s="95" t="s">
        <v>81</v>
      </c>
      <c r="E21" s="95" t="s">
        <v>82</v>
      </c>
      <c r="F21" s="95">
        <v>3</v>
      </c>
      <c r="G21" s="95">
        <v>18</v>
      </c>
      <c r="H21" s="95">
        <v>6</v>
      </c>
      <c r="I21" s="95">
        <v>3.05</v>
      </c>
      <c r="J21" s="95">
        <v>1.0999999999999999E-2</v>
      </c>
      <c r="K21" s="95">
        <v>0.42</v>
      </c>
      <c r="L21" s="95">
        <v>4.05</v>
      </c>
      <c r="O21" s="95">
        <v>999</v>
      </c>
      <c r="P21" s="95">
        <v>2023</v>
      </c>
      <c r="Q21" s="95" t="s">
        <v>5034</v>
      </c>
      <c r="R21" s="95" t="s">
        <v>69</v>
      </c>
      <c r="S21" s="95" t="s">
        <v>70</v>
      </c>
      <c r="U21" s="95" t="s">
        <v>71</v>
      </c>
      <c r="V21" s="95" t="s">
        <v>71</v>
      </c>
      <c r="W21" s="95" t="s">
        <v>72</v>
      </c>
      <c r="X21" s="95" t="s">
        <v>71</v>
      </c>
      <c r="Y21" s="95" t="s">
        <v>72</v>
      </c>
      <c r="Z21" s="95" t="s">
        <v>71</v>
      </c>
      <c r="AA21" s="95" t="s">
        <v>72</v>
      </c>
      <c r="AB21" s="95" t="s">
        <v>72</v>
      </c>
      <c r="AC21" s="95" t="s">
        <v>72</v>
      </c>
      <c r="AD21" s="95" t="s">
        <v>72</v>
      </c>
      <c r="AE21" s="95" t="s">
        <v>71</v>
      </c>
      <c r="AF21" s="95" t="s">
        <v>72</v>
      </c>
      <c r="AG21" s="95" t="s">
        <v>71</v>
      </c>
      <c r="AH21" s="95" t="s">
        <v>71</v>
      </c>
      <c r="AI21" s="95" t="s">
        <v>71</v>
      </c>
      <c r="AK21" s="95" t="s">
        <v>71</v>
      </c>
    </row>
    <row r="22" spans="1:40" x14ac:dyDescent="0.2">
      <c r="A22" s="95" t="s">
        <v>65</v>
      </c>
      <c r="B22" s="95" t="s">
        <v>66</v>
      </c>
      <c r="C22" s="95" t="s">
        <v>84</v>
      </c>
      <c r="D22" s="95" t="s">
        <v>81</v>
      </c>
      <c r="E22" s="95" t="s">
        <v>82</v>
      </c>
      <c r="F22" s="95">
        <v>1</v>
      </c>
      <c r="G22" s="95">
        <v>6</v>
      </c>
      <c r="H22" s="95">
        <v>6</v>
      </c>
      <c r="I22" s="95">
        <v>0.34</v>
      </c>
      <c r="J22" s="95">
        <v>0.01</v>
      </c>
      <c r="K22" s="95">
        <v>0.39</v>
      </c>
      <c r="L22" s="95">
        <v>1</v>
      </c>
      <c r="O22" s="95">
        <v>999</v>
      </c>
      <c r="P22" s="95">
        <v>2023</v>
      </c>
      <c r="Q22" s="95" t="s">
        <v>5034</v>
      </c>
      <c r="R22" s="95" t="s">
        <v>69</v>
      </c>
      <c r="S22" s="95" t="s">
        <v>70</v>
      </c>
      <c r="U22" s="95" t="s">
        <v>71</v>
      </c>
      <c r="V22" s="95" t="s">
        <v>71</v>
      </c>
      <c r="W22" s="95" t="s">
        <v>72</v>
      </c>
      <c r="X22" s="95" t="s">
        <v>71</v>
      </c>
      <c r="Y22" s="95" t="s">
        <v>72</v>
      </c>
      <c r="Z22" s="95" t="s">
        <v>71</v>
      </c>
      <c r="AA22" s="95" t="s">
        <v>72</v>
      </c>
      <c r="AB22" s="95" t="s">
        <v>72</v>
      </c>
      <c r="AC22" s="95" t="s">
        <v>72</v>
      </c>
      <c r="AD22" s="95" t="s">
        <v>72</v>
      </c>
      <c r="AE22" s="95" t="s">
        <v>71</v>
      </c>
      <c r="AF22" s="95" t="s">
        <v>72</v>
      </c>
      <c r="AG22" s="95" t="s">
        <v>71</v>
      </c>
      <c r="AH22" s="95" t="s">
        <v>71</v>
      </c>
      <c r="AI22" s="95" t="s">
        <v>71</v>
      </c>
      <c r="AK22" s="95" t="s">
        <v>71</v>
      </c>
    </row>
    <row r="23" spans="1:40" x14ac:dyDescent="0.2">
      <c r="A23" s="95" t="s">
        <v>65</v>
      </c>
      <c r="B23" s="95" t="s">
        <v>66</v>
      </c>
      <c r="C23" s="95" t="s">
        <v>84</v>
      </c>
      <c r="D23" s="95" t="s">
        <v>81</v>
      </c>
      <c r="E23" s="95" t="s">
        <v>82</v>
      </c>
      <c r="F23" s="95">
        <v>2</v>
      </c>
      <c r="G23" s="95">
        <v>12</v>
      </c>
      <c r="H23" s="95">
        <v>6</v>
      </c>
      <c r="I23" s="95">
        <v>0.68</v>
      </c>
      <c r="J23" s="95">
        <v>1.0999999999999999E-2</v>
      </c>
      <c r="K23" s="95">
        <v>0.42</v>
      </c>
      <c r="L23" s="95">
        <v>1.44</v>
      </c>
      <c r="O23" s="95">
        <v>999</v>
      </c>
      <c r="P23" s="95">
        <v>2023</v>
      </c>
      <c r="Q23" s="95" t="s">
        <v>5034</v>
      </c>
      <c r="R23" s="95" t="s">
        <v>69</v>
      </c>
      <c r="S23" s="95" t="s">
        <v>70</v>
      </c>
      <c r="U23" s="95" t="s">
        <v>71</v>
      </c>
      <c r="V23" s="95" t="s">
        <v>71</v>
      </c>
      <c r="W23" s="95" t="s">
        <v>72</v>
      </c>
      <c r="X23" s="95" t="s">
        <v>71</v>
      </c>
      <c r="Y23" s="95" t="s">
        <v>72</v>
      </c>
      <c r="Z23" s="95" t="s">
        <v>71</v>
      </c>
      <c r="AA23" s="95" t="s">
        <v>72</v>
      </c>
      <c r="AB23" s="95" t="s">
        <v>72</v>
      </c>
      <c r="AC23" s="95" t="s">
        <v>72</v>
      </c>
      <c r="AD23" s="95" t="s">
        <v>72</v>
      </c>
      <c r="AE23" s="95" t="s">
        <v>71</v>
      </c>
      <c r="AF23" s="95" t="s">
        <v>72</v>
      </c>
      <c r="AG23" s="95" t="s">
        <v>71</v>
      </c>
      <c r="AH23" s="95" t="s">
        <v>71</v>
      </c>
      <c r="AI23" s="95" t="s">
        <v>71</v>
      </c>
      <c r="AK23" s="95" t="s">
        <v>71</v>
      </c>
    </row>
    <row r="24" spans="1:40" x14ac:dyDescent="0.2">
      <c r="A24" s="95" t="s">
        <v>65</v>
      </c>
      <c r="B24" s="95" t="s">
        <v>66</v>
      </c>
      <c r="C24" s="95" t="s">
        <v>84</v>
      </c>
      <c r="D24" s="95" t="s">
        <v>81</v>
      </c>
      <c r="E24" s="95" t="s">
        <v>82</v>
      </c>
      <c r="F24" s="95">
        <v>3</v>
      </c>
      <c r="G24" s="95">
        <v>18</v>
      </c>
      <c r="H24" s="95">
        <v>6</v>
      </c>
      <c r="I24" s="95">
        <v>1.02</v>
      </c>
      <c r="J24" s="95">
        <v>1.0999999999999999E-2</v>
      </c>
      <c r="K24" s="95">
        <v>0.42</v>
      </c>
      <c r="L24" s="95">
        <v>1.81</v>
      </c>
      <c r="O24" s="95">
        <v>999</v>
      </c>
      <c r="P24" s="95">
        <v>2023</v>
      </c>
      <c r="Q24" s="95" t="s">
        <v>5034</v>
      </c>
      <c r="R24" s="95" t="s">
        <v>69</v>
      </c>
      <c r="S24" s="95" t="s">
        <v>70</v>
      </c>
      <c r="U24" s="95" t="s">
        <v>71</v>
      </c>
      <c r="V24" s="95" t="s">
        <v>71</v>
      </c>
      <c r="W24" s="95" t="s">
        <v>72</v>
      </c>
      <c r="X24" s="95" t="s">
        <v>71</v>
      </c>
      <c r="Y24" s="95" t="s">
        <v>72</v>
      </c>
      <c r="Z24" s="95" t="s">
        <v>71</v>
      </c>
      <c r="AA24" s="95" t="s">
        <v>72</v>
      </c>
      <c r="AB24" s="95" t="s">
        <v>72</v>
      </c>
      <c r="AC24" s="95" t="s">
        <v>72</v>
      </c>
      <c r="AD24" s="95" t="s">
        <v>72</v>
      </c>
      <c r="AE24" s="95" t="s">
        <v>71</v>
      </c>
      <c r="AF24" s="95" t="s">
        <v>72</v>
      </c>
      <c r="AG24" s="95" t="s">
        <v>71</v>
      </c>
      <c r="AH24" s="95" t="s">
        <v>71</v>
      </c>
      <c r="AI24" s="95" t="s">
        <v>71</v>
      </c>
      <c r="AK24" s="95" t="s">
        <v>71</v>
      </c>
    </row>
    <row r="25" spans="1:40" x14ac:dyDescent="0.2">
      <c r="A25" s="95" t="s">
        <v>65</v>
      </c>
      <c r="B25" s="95" t="s">
        <v>66</v>
      </c>
      <c r="C25" s="95" t="s">
        <v>85</v>
      </c>
      <c r="F25" s="255">
        <v>0.375</v>
      </c>
      <c r="G25" s="95">
        <v>1.44</v>
      </c>
      <c r="H25" s="250"/>
      <c r="I25" s="101">
        <f>57.82/200</f>
        <v>0.28910000000000002</v>
      </c>
      <c r="J25" s="95">
        <v>1.2E-2</v>
      </c>
      <c r="K25" s="95">
        <v>0.45</v>
      </c>
      <c r="L25" s="95">
        <v>1.1100000000000001</v>
      </c>
      <c r="O25" s="95">
        <v>999</v>
      </c>
      <c r="P25" s="95">
        <v>2023</v>
      </c>
      <c r="R25" s="95" t="s">
        <v>69</v>
      </c>
      <c r="S25" s="95" t="s">
        <v>70</v>
      </c>
      <c r="T25" s="4"/>
      <c r="U25" s="95" t="s">
        <v>71</v>
      </c>
      <c r="V25" s="95" t="s">
        <v>71</v>
      </c>
      <c r="W25" s="95" t="s">
        <v>72</v>
      </c>
      <c r="X25" s="95" t="s">
        <v>71</v>
      </c>
      <c r="Y25" s="95" t="s">
        <v>72</v>
      </c>
      <c r="Z25" s="95" t="s">
        <v>71</v>
      </c>
      <c r="AA25" s="95" t="s">
        <v>72</v>
      </c>
      <c r="AB25" s="95" t="s">
        <v>72</v>
      </c>
      <c r="AC25" s="95" t="s">
        <v>72</v>
      </c>
      <c r="AD25" s="95" t="s">
        <v>72</v>
      </c>
      <c r="AE25" s="95" t="s">
        <v>71</v>
      </c>
      <c r="AF25" s="95" t="s">
        <v>72</v>
      </c>
      <c r="AG25" s="95" t="s">
        <v>71</v>
      </c>
      <c r="AH25" s="95" t="s">
        <v>71</v>
      </c>
      <c r="AI25" s="95" t="s">
        <v>71</v>
      </c>
      <c r="AK25" s="95" t="s">
        <v>71</v>
      </c>
    </row>
    <row r="26" spans="1:40" x14ac:dyDescent="0.2">
      <c r="A26" s="95" t="s">
        <v>65</v>
      </c>
      <c r="B26" s="95" t="s">
        <v>69</v>
      </c>
      <c r="C26" s="95" t="s">
        <v>85</v>
      </c>
      <c r="F26" s="95">
        <v>0.5</v>
      </c>
      <c r="G26" s="95">
        <v>1.9</v>
      </c>
      <c r="H26" s="250"/>
      <c r="I26" s="101">
        <f>6.11/16</f>
        <v>0.38187500000000002</v>
      </c>
      <c r="J26" s="95">
        <v>1.2E-2</v>
      </c>
      <c r="K26" s="95">
        <v>0.46</v>
      </c>
      <c r="L26" s="95">
        <v>1.5</v>
      </c>
      <c r="O26" s="95">
        <v>999</v>
      </c>
      <c r="P26" s="95">
        <v>2023</v>
      </c>
      <c r="R26" s="95" t="s">
        <v>69</v>
      </c>
      <c r="S26" s="95" t="s">
        <v>70</v>
      </c>
      <c r="T26" s="4"/>
      <c r="U26" s="95" t="s">
        <v>71</v>
      </c>
      <c r="V26" s="95" t="s">
        <v>71</v>
      </c>
      <c r="W26" s="95" t="s">
        <v>72</v>
      </c>
      <c r="X26" s="95" t="s">
        <v>71</v>
      </c>
      <c r="Y26" s="95" t="s">
        <v>72</v>
      </c>
      <c r="Z26" s="95" t="s">
        <v>71</v>
      </c>
      <c r="AA26" s="95" t="s">
        <v>72</v>
      </c>
      <c r="AB26" s="95" t="s">
        <v>72</v>
      </c>
      <c r="AC26" s="95" t="s">
        <v>72</v>
      </c>
      <c r="AD26" s="95" t="s">
        <v>72</v>
      </c>
      <c r="AE26" s="95" t="s">
        <v>71</v>
      </c>
      <c r="AF26" s="95" t="s">
        <v>72</v>
      </c>
      <c r="AG26" s="95" t="s">
        <v>71</v>
      </c>
      <c r="AH26" s="95" t="s">
        <v>71</v>
      </c>
      <c r="AI26" s="95" t="s">
        <v>71</v>
      </c>
      <c r="AK26" s="95" t="s">
        <v>71</v>
      </c>
    </row>
    <row r="27" spans="1:40" x14ac:dyDescent="0.2">
      <c r="A27" s="95" t="s">
        <v>65</v>
      </c>
      <c r="B27" s="95" t="s">
        <v>66</v>
      </c>
      <c r="C27" s="95" t="s">
        <v>86</v>
      </c>
      <c r="D27" s="95" t="s">
        <v>68</v>
      </c>
      <c r="E27" s="95" t="s">
        <v>68</v>
      </c>
      <c r="F27" s="95">
        <v>1</v>
      </c>
      <c r="G27" s="95">
        <v>5</v>
      </c>
      <c r="I27" s="95">
        <v>0.34</v>
      </c>
      <c r="J27" s="95">
        <v>1.2E-2</v>
      </c>
      <c r="K27" s="95">
        <v>0.45</v>
      </c>
      <c r="L27" s="95">
        <v>1.1100000000000001</v>
      </c>
      <c r="O27" s="95">
        <v>999</v>
      </c>
      <c r="P27" s="95">
        <v>2023</v>
      </c>
      <c r="Q27" s="95" t="s">
        <v>5034</v>
      </c>
      <c r="R27" s="95" t="s">
        <v>69</v>
      </c>
      <c r="S27" s="95" t="s">
        <v>70</v>
      </c>
      <c r="U27" s="95" t="s">
        <v>71</v>
      </c>
      <c r="V27" s="95" t="s">
        <v>71</v>
      </c>
      <c r="W27" s="95" t="s">
        <v>72</v>
      </c>
      <c r="X27" s="95" t="s">
        <v>71</v>
      </c>
      <c r="Y27" s="95" t="s">
        <v>72</v>
      </c>
      <c r="Z27" s="95" t="s">
        <v>71</v>
      </c>
      <c r="AA27" s="95" t="s">
        <v>72</v>
      </c>
      <c r="AB27" s="95" t="s">
        <v>72</v>
      </c>
      <c r="AC27" s="95" t="s">
        <v>72</v>
      </c>
      <c r="AD27" s="95" t="s">
        <v>72</v>
      </c>
      <c r="AE27" s="95" t="s">
        <v>71</v>
      </c>
      <c r="AF27" s="95" t="s">
        <v>72</v>
      </c>
      <c r="AG27" s="95" t="s">
        <v>71</v>
      </c>
      <c r="AH27" s="95" t="s">
        <v>71</v>
      </c>
      <c r="AI27" s="95" t="s">
        <v>71</v>
      </c>
      <c r="AK27" s="95" t="s">
        <v>71</v>
      </c>
    </row>
    <row r="28" spans="1:40" x14ac:dyDescent="0.2">
      <c r="A28" s="95" t="s">
        <v>65</v>
      </c>
      <c r="B28" s="95" t="s">
        <v>66</v>
      </c>
      <c r="C28" s="95" t="s">
        <v>86</v>
      </c>
      <c r="D28" s="95" t="s">
        <v>68</v>
      </c>
      <c r="E28" s="95" t="s">
        <v>68</v>
      </c>
      <c r="F28" s="95">
        <v>2</v>
      </c>
      <c r="G28" s="95">
        <v>10</v>
      </c>
      <c r="I28" s="95">
        <v>0.68</v>
      </c>
      <c r="J28" s="95">
        <v>1.2E-2</v>
      </c>
      <c r="K28" s="95">
        <v>0.46</v>
      </c>
      <c r="L28" s="95">
        <v>1.5</v>
      </c>
      <c r="O28" s="95">
        <v>999</v>
      </c>
      <c r="P28" s="95">
        <v>2023</v>
      </c>
      <c r="Q28" s="95" t="s">
        <v>5034</v>
      </c>
      <c r="R28" s="95" t="s">
        <v>69</v>
      </c>
      <c r="S28" s="95" t="s">
        <v>70</v>
      </c>
      <c r="U28" s="95" t="s">
        <v>71</v>
      </c>
      <c r="V28" s="95" t="s">
        <v>71</v>
      </c>
      <c r="W28" s="95" t="s">
        <v>72</v>
      </c>
      <c r="X28" s="95" t="s">
        <v>71</v>
      </c>
      <c r="Y28" s="95" t="s">
        <v>72</v>
      </c>
      <c r="Z28" s="95" t="s">
        <v>71</v>
      </c>
      <c r="AA28" s="95" t="s">
        <v>72</v>
      </c>
      <c r="AB28" s="95" t="s">
        <v>72</v>
      </c>
      <c r="AC28" s="95" t="s">
        <v>72</v>
      </c>
      <c r="AD28" s="95" t="s">
        <v>72</v>
      </c>
      <c r="AE28" s="95" t="s">
        <v>71</v>
      </c>
      <c r="AF28" s="95" t="s">
        <v>72</v>
      </c>
      <c r="AG28" s="95" t="s">
        <v>71</v>
      </c>
      <c r="AH28" s="95" t="s">
        <v>71</v>
      </c>
      <c r="AI28" s="95" t="s">
        <v>71</v>
      </c>
      <c r="AK28" s="95" t="s">
        <v>71</v>
      </c>
    </row>
    <row r="29" spans="1:40" x14ac:dyDescent="0.2">
      <c r="A29" s="95" t="s">
        <v>73</v>
      </c>
      <c r="B29" s="95" t="s">
        <v>87</v>
      </c>
      <c r="C29" s="95" t="s">
        <v>67</v>
      </c>
      <c r="D29" s="95" t="s">
        <v>81</v>
      </c>
      <c r="E29" s="95" t="s">
        <v>88</v>
      </c>
      <c r="F29" s="95">
        <v>3.5</v>
      </c>
      <c r="G29" s="95">
        <v>13</v>
      </c>
      <c r="I29" s="95">
        <v>1</v>
      </c>
      <c r="J29" s="95">
        <v>1.0999999999999999E-2</v>
      </c>
      <c r="K29" s="95">
        <v>0.44</v>
      </c>
      <c r="L29" s="95">
        <v>1.82</v>
      </c>
      <c r="O29" s="95">
        <v>999</v>
      </c>
      <c r="P29" s="95">
        <v>2023</v>
      </c>
      <c r="R29" s="95" t="s">
        <v>87</v>
      </c>
      <c r="S29" s="95" t="s">
        <v>70</v>
      </c>
      <c r="U29" s="95" t="s">
        <v>72</v>
      </c>
      <c r="V29" s="95" t="s">
        <v>72</v>
      </c>
      <c r="W29" s="95" t="s">
        <v>72</v>
      </c>
      <c r="X29" s="95" t="s">
        <v>72</v>
      </c>
      <c r="Y29" s="95" t="s">
        <v>71</v>
      </c>
      <c r="Z29" s="95" t="s">
        <v>72</v>
      </c>
      <c r="AA29" s="95" t="s">
        <v>71</v>
      </c>
      <c r="AB29" s="95" t="s">
        <v>71</v>
      </c>
      <c r="AC29" s="95" t="s">
        <v>71</v>
      </c>
      <c r="AD29" s="95" t="s">
        <v>72</v>
      </c>
      <c r="AE29" s="95" t="s">
        <v>72</v>
      </c>
      <c r="AF29" s="95" t="s">
        <v>71</v>
      </c>
      <c r="AG29" s="95" t="s">
        <v>72</v>
      </c>
      <c r="AH29" s="95" t="s">
        <v>71</v>
      </c>
      <c r="AI29" s="95" t="s">
        <v>72</v>
      </c>
      <c r="AK29" s="95" t="s">
        <v>71</v>
      </c>
    </row>
    <row r="30" spans="1:40" x14ac:dyDescent="0.2">
      <c r="A30" s="95" t="s">
        <v>73</v>
      </c>
      <c r="B30" s="95" t="s">
        <v>87</v>
      </c>
      <c r="C30" s="95" t="s">
        <v>67</v>
      </c>
      <c r="D30" s="95" t="s">
        <v>81</v>
      </c>
      <c r="E30" s="95" t="s">
        <v>88</v>
      </c>
      <c r="F30" s="95">
        <v>6.25</v>
      </c>
      <c r="G30" s="95">
        <v>19</v>
      </c>
      <c r="I30" s="95">
        <v>1.1000000000000001</v>
      </c>
      <c r="J30" s="95">
        <v>1.2999999999999999E-2</v>
      </c>
      <c r="K30" s="95">
        <v>0.52</v>
      </c>
      <c r="L30" s="95">
        <v>2.0499999999999998</v>
      </c>
      <c r="O30" s="95">
        <v>999</v>
      </c>
      <c r="P30" s="95">
        <v>2023</v>
      </c>
      <c r="R30" s="95" t="s">
        <v>87</v>
      </c>
      <c r="S30" s="95" t="s">
        <v>70</v>
      </c>
      <c r="U30" s="95" t="s">
        <v>72</v>
      </c>
      <c r="V30" s="95" t="s">
        <v>72</v>
      </c>
      <c r="W30" s="95" t="s">
        <v>72</v>
      </c>
      <c r="X30" s="95" t="s">
        <v>72</v>
      </c>
      <c r="Y30" s="95" t="s">
        <v>71</v>
      </c>
      <c r="Z30" s="95" t="s">
        <v>72</v>
      </c>
      <c r="AA30" s="95" t="s">
        <v>71</v>
      </c>
      <c r="AB30" s="95" t="s">
        <v>71</v>
      </c>
      <c r="AC30" s="95" t="s">
        <v>71</v>
      </c>
      <c r="AD30" s="95" t="s">
        <v>72</v>
      </c>
      <c r="AE30" s="95" t="s">
        <v>72</v>
      </c>
      <c r="AF30" s="95" t="s">
        <v>71</v>
      </c>
      <c r="AG30" s="95" t="s">
        <v>72</v>
      </c>
      <c r="AH30" s="95" t="s">
        <v>71</v>
      </c>
      <c r="AI30" s="95" t="s">
        <v>72</v>
      </c>
      <c r="AK30" s="95" t="s">
        <v>71</v>
      </c>
    </row>
    <row r="31" spans="1:40" x14ac:dyDescent="0.2">
      <c r="A31" s="95" t="s">
        <v>73</v>
      </c>
      <c r="B31" s="95" t="s">
        <v>87</v>
      </c>
      <c r="C31" s="95" t="s">
        <v>67</v>
      </c>
      <c r="D31" s="95" t="s">
        <v>81</v>
      </c>
      <c r="E31" s="95" t="s">
        <v>88</v>
      </c>
      <c r="F31" s="95">
        <v>9.5</v>
      </c>
      <c r="G31" s="95">
        <v>30</v>
      </c>
      <c r="I31" s="95">
        <v>1</v>
      </c>
      <c r="J31" s="95">
        <v>1.6E-2</v>
      </c>
      <c r="K31" s="95">
        <v>0.62</v>
      </c>
      <c r="L31" s="95">
        <v>2.11</v>
      </c>
      <c r="O31" s="95">
        <v>999</v>
      </c>
      <c r="P31" s="95">
        <v>2023</v>
      </c>
      <c r="R31" s="95" t="s">
        <v>87</v>
      </c>
      <c r="S31" s="95" t="s">
        <v>70</v>
      </c>
      <c r="U31" s="95" t="s">
        <v>72</v>
      </c>
      <c r="V31" s="95" t="s">
        <v>72</v>
      </c>
      <c r="W31" s="95" t="s">
        <v>72</v>
      </c>
      <c r="X31" s="95" t="s">
        <v>72</v>
      </c>
      <c r="Y31" s="95" t="s">
        <v>71</v>
      </c>
      <c r="Z31" s="95" t="s">
        <v>72</v>
      </c>
      <c r="AA31" s="95" t="s">
        <v>71</v>
      </c>
      <c r="AB31" s="95" t="s">
        <v>71</v>
      </c>
      <c r="AC31" s="95" t="s">
        <v>71</v>
      </c>
      <c r="AD31" s="95" t="s">
        <v>72</v>
      </c>
      <c r="AE31" s="95" t="s">
        <v>72</v>
      </c>
      <c r="AF31" s="95" t="s">
        <v>71</v>
      </c>
      <c r="AG31" s="95" t="s">
        <v>72</v>
      </c>
      <c r="AH31" s="95" t="s">
        <v>71</v>
      </c>
      <c r="AI31" s="95" t="s">
        <v>72</v>
      </c>
      <c r="AK31" s="95" t="s">
        <v>71</v>
      </c>
    </row>
    <row r="32" spans="1:40" x14ac:dyDescent="0.2">
      <c r="A32" s="95" t="s">
        <v>73</v>
      </c>
      <c r="B32" s="95" t="s">
        <v>87</v>
      </c>
      <c r="C32" s="95" t="s">
        <v>67</v>
      </c>
      <c r="D32" s="95" t="s">
        <v>81</v>
      </c>
      <c r="E32" s="95" t="s">
        <v>88</v>
      </c>
      <c r="F32" s="95">
        <v>12</v>
      </c>
      <c r="G32" s="95">
        <v>38</v>
      </c>
      <c r="I32" s="95">
        <v>1.58</v>
      </c>
      <c r="J32" s="95">
        <v>1.7000000000000001E-2</v>
      </c>
      <c r="K32" s="95">
        <v>0.65</v>
      </c>
      <c r="L32" s="95">
        <v>2.8</v>
      </c>
      <c r="O32" s="95">
        <v>999</v>
      </c>
      <c r="P32" s="95">
        <v>2023</v>
      </c>
      <c r="R32" s="95" t="s">
        <v>87</v>
      </c>
      <c r="S32" s="95" t="s">
        <v>70</v>
      </c>
      <c r="U32" s="95" t="s">
        <v>72</v>
      </c>
      <c r="V32" s="95" t="s">
        <v>72</v>
      </c>
      <c r="W32" s="95" t="s">
        <v>72</v>
      </c>
      <c r="X32" s="95" t="s">
        <v>72</v>
      </c>
      <c r="Y32" s="95" t="s">
        <v>71</v>
      </c>
      <c r="Z32" s="95" t="s">
        <v>72</v>
      </c>
      <c r="AA32" s="95" t="s">
        <v>71</v>
      </c>
      <c r="AB32" s="95" t="s">
        <v>71</v>
      </c>
      <c r="AC32" s="95" t="s">
        <v>71</v>
      </c>
      <c r="AD32" s="95" t="s">
        <v>72</v>
      </c>
      <c r="AE32" s="95" t="s">
        <v>72</v>
      </c>
      <c r="AF32" s="95" t="s">
        <v>71</v>
      </c>
      <c r="AG32" s="95" t="s">
        <v>72</v>
      </c>
      <c r="AH32" s="95" t="s">
        <v>71</v>
      </c>
      <c r="AI32" s="95" t="s">
        <v>72</v>
      </c>
      <c r="AK32" s="95" t="s">
        <v>71</v>
      </c>
    </row>
    <row r="33" spans="1:37" x14ac:dyDescent="0.2">
      <c r="A33" s="95" t="s">
        <v>73</v>
      </c>
      <c r="B33" s="95" t="s">
        <v>87</v>
      </c>
      <c r="C33" s="95" t="s">
        <v>67</v>
      </c>
      <c r="D33" s="95" t="s">
        <v>68</v>
      </c>
      <c r="E33" s="95" t="s">
        <v>68</v>
      </c>
      <c r="F33" s="95">
        <v>3.5</v>
      </c>
      <c r="G33" s="95">
        <v>13</v>
      </c>
      <c r="I33" s="95">
        <v>0.59</v>
      </c>
      <c r="J33" s="95">
        <v>1.2999999999999999E-2</v>
      </c>
      <c r="K33" s="95">
        <v>0.52</v>
      </c>
      <c r="L33" s="95">
        <v>1.49</v>
      </c>
      <c r="O33" s="95">
        <v>999</v>
      </c>
      <c r="P33" s="95">
        <v>2023</v>
      </c>
      <c r="R33" s="95" t="s">
        <v>87</v>
      </c>
      <c r="S33" s="95" t="s">
        <v>70</v>
      </c>
      <c r="U33" s="95" t="s">
        <v>72</v>
      </c>
      <c r="V33" s="95" t="s">
        <v>72</v>
      </c>
      <c r="W33" s="95" t="s">
        <v>72</v>
      </c>
      <c r="X33" s="95" t="s">
        <v>72</v>
      </c>
      <c r="Y33" s="95" t="s">
        <v>71</v>
      </c>
      <c r="Z33" s="95" t="s">
        <v>72</v>
      </c>
      <c r="AA33" s="95" t="s">
        <v>71</v>
      </c>
      <c r="AB33" s="95" t="s">
        <v>71</v>
      </c>
      <c r="AC33" s="95" t="s">
        <v>71</v>
      </c>
      <c r="AD33" s="95" t="s">
        <v>72</v>
      </c>
      <c r="AE33" s="95" t="s">
        <v>72</v>
      </c>
      <c r="AF33" s="95" t="s">
        <v>71</v>
      </c>
      <c r="AG33" s="95" t="s">
        <v>72</v>
      </c>
      <c r="AH33" s="95" t="s">
        <v>71</v>
      </c>
      <c r="AI33" s="95" t="s">
        <v>72</v>
      </c>
      <c r="AK33" s="95" t="s">
        <v>71</v>
      </c>
    </row>
    <row r="34" spans="1:37" x14ac:dyDescent="0.2">
      <c r="A34" s="95" t="s">
        <v>73</v>
      </c>
      <c r="B34" s="95" t="s">
        <v>87</v>
      </c>
      <c r="C34" s="95" t="s">
        <v>67</v>
      </c>
      <c r="D34" s="95" t="s">
        <v>68</v>
      </c>
      <c r="E34" s="95" t="s">
        <v>68</v>
      </c>
      <c r="F34" s="95">
        <v>6.25</v>
      </c>
      <c r="G34" s="95">
        <v>19</v>
      </c>
      <c r="I34" s="95">
        <v>0.93</v>
      </c>
      <c r="J34" s="95">
        <v>1.6E-2</v>
      </c>
      <c r="K34" s="95">
        <v>0.62</v>
      </c>
      <c r="L34" s="95">
        <v>2.0299999999999998</v>
      </c>
      <c r="O34" s="95">
        <v>999</v>
      </c>
      <c r="P34" s="95">
        <v>2023</v>
      </c>
      <c r="R34" s="95" t="s">
        <v>87</v>
      </c>
      <c r="S34" s="95" t="s">
        <v>70</v>
      </c>
      <c r="U34" s="95" t="s">
        <v>72</v>
      </c>
      <c r="V34" s="95" t="s">
        <v>72</v>
      </c>
      <c r="W34" s="95" t="s">
        <v>72</v>
      </c>
      <c r="X34" s="95" t="s">
        <v>72</v>
      </c>
      <c r="Y34" s="95" t="s">
        <v>71</v>
      </c>
      <c r="Z34" s="95" t="s">
        <v>72</v>
      </c>
      <c r="AA34" s="95" t="s">
        <v>71</v>
      </c>
      <c r="AB34" s="95" t="s">
        <v>71</v>
      </c>
      <c r="AC34" s="95" t="s">
        <v>71</v>
      </c>
      <c r="AD34" s="95" t="s">
        <v>72</v>
      </c>
      <c r="AE34" s="95" t="s">
        <v>72</v>
      </c>
      <c r="AF34" s="95" t="s">
        <v>71</v>
      </c>
      <c r="AG34" s="95" t="s">
        <v>72</v>
      </c>
      <c r="AH34" s="95" t="s">
        <v>71</v>
      </c>
      <c r="AI34" s="95" t="s">
        <v>72</v>
      </c>
      <c r="AK34" s="95" t="s">
        <v>71</v>
      </c>
    </row>
    <row r="35" spans="1:37" x14ac:dyDescent="0.2">
      <c r="A35" s="95" t="s">
        <v>73</v>
      </c>
      <c r="B35" s="95" t="s">
        <v>87</v>
      </c>
      <c r="C35" s="95" t="s">
        <v>67</v>
      </c>
      <c r="D35" s="95" t="s">
        <v>68</v>
      </c>
      <c r="E35" s="95" t="s">
        <v>68</v>
      </c>
      <c r="F35" s="95">
        <v>9.5</v>
      </c>
      <c r="G35" s="95">
        <v>30</v>
      </c>
      <c r="I35" s="95">
        <v>1.56</v>
      </c>
      <c r="J35" s="95">
        <v>1.7999999999999999E-2</v>
      </c>
      <c r="K35" s="95">
        <v>0.69</v>
      </c>
      <c r="L35" s="95">
        <v>2.84</v>
      </c>
      <c r="O35" s="95">
        <v>999</v>
      </c>
      <c r="P35" s="95">
        <v>2023</v>
      </c>
      <c r="R35" s="95" t="s">
        <v>87</v>
      </c>
      <c r="S35" s="95" t="s">
        <v>70</v>
      </c>
      <c r="U35" s="95" t="s">
        <v>72</v>
      </c>
      <c r="V35" s="95" t="s">
        <v>72</v>
      </c>
      <c r="W35" s="95" t="s">
        <v>72</v>
      </c>
      <c r="X35" s="95" t="s">
        <v>72</v>
      </c>
      <c r="Y35" s="95" t="s">
        <v>71</v>
      </c>
      <c r="Z35" s="95" t="s">
        <v>72</v>
      </c>
      <c r="AA35" s="95" t="s">
        <v>71</v>
      </c>
      <c r="AB35" s="95" t="s">
        <v>71</v>
      </c>
      <c r="AC35" s="95" t="s">
        <v>71</v>
      </c>
      <c r="AD35" s="95" t="s">
        <v>72</v>
      </c>
      <c r="AE35" s="95" t="s">
        <v>72</v>
      </c>
      <c r="AF35" s="95" t="s">
        <v>71</v>
      </c>
      <c r="AG35" s="95" t="s">
        <v>72</v>
      </c>
      <c r="AH35" s="95" t="s">
        <v>71</v>
      </c>
      <c r="AI35" s="95" t="s">
        <v>72</v>
      </c>
      <c r="AK35" s="95" t="s">
        <v>71</v>
      </c>
    </row>
    <row r="36" spans="1:37" x14ac:dyDescent="0.2">
      <c r="A36" s="95" t="s">
        <v>73</v>
      </c>
      <c r="B36" s="95" t="s">
        <v>87</v>
      </c>
      <c r="C36" s="95" t="s">
        <v>67</v>
      </c>
      <c r="D36" s="95" t="s">
        <v>68</v>
      </c>
      <c r="E36" s="95" t="s">
        <v>68</v>
      </c>
      <c r="F36" s="95">
        <v>12</v>
      </c>
      <c r="G36" s="95">
        <v>38</v>
      </c>
      <c r="I36" s="95">
        <v>1.82</v>
      </c>
      <c r="J36" s="95">
        <v>1.9E-2</v>
      </c>
      <c r="K36" s="95">
        <v>0.73</v>
      </c>
      <c r="L36" s="95">
        <v>3.18</v>
      </c>
      <c r="O36" s="95">
        <v>999</v>
      </c>
      <c r="P36" s="95">
        <v>2023</v>
      </c>
      <c r="R36" s="95" t="s">
        <v>87</v>
      </c>
      <c r="S36" s="95" t="s">
        <v>70</v>
      </c>
      <c r="U36" s="95" t="s">
        <v>72</v>
      </c>
      <c r="V36" s="95" t="s">
        <v>72</v>
      </c>
      <c r="W36" s="95" t="s">
        <v>72</v>
      </c>
      <c r="X36" s="95" t="s">
        <v>72</v>
      </c>
      <c r="Y36" s="95" t="s">
        <v>71</v>
      </c>
      <c r="Z36" s="95" t="s">
        <v>72</v>
      </c>
      <c r="AA36" s="95" t="s">
        <v>71</v>
      </c>
      <c r="AB36" s="95" t="s">
        <v>71</v>
      </c>
      <c r="AC36" s="95" t="s">
        <v>71</v>
      </c>
      <c r="AD36" s="95" t="s">
        <v>72</v>
      </c>
      <c r="AE36" s="95" t="s">
        <v>72</v>
      </c>
      <c r="AF36" s="95" t="s">
        <v>71</v>
      </c>
      <c r="AG36" s="95" t="s">
        <v>72</v>
      </c>
      <c r="AH36" s="95" t="s">
        <v>71</v>
      </c>
      <c r="AI36" s="95" t="s">
        <v>72</v>
      </c>
      <c r="AK36" s="95" t="s">
        <v>71</v>
      </c>
    </row>
    <row r="37" spans="1:37" x14ac:dyDescent="0.2">
      <c r="A37" s="95" t="s">
        <v>73</v>
      </c>
      <c r="B37" s="95" t="s">
        <v>69</v>
      </c>
      <c r="C37" s="95" t="s">
        <v>67</v>
      </c>
      <c r="D37" s="95" t="s">
        <v>81</v>
      </c>
      <c r="E37" s="95" t="s">
        <v>89</v>
      </c>
      <c r="F37" s="95">
        <v>3.5</v>
      </c>
      <c r="G37" s="95">
        <v>11</v>
      </c>
      <c r="I37" s="95">
        <v>0.53</v>
      </c>
      <c r="J37" s="95">
        <v>6.0000000000000001E-3</v>
      </c>
      <c r="K37" s="95">
        <v>0.23</v>
      </c>
      <c r="L37" s="95">
        <v>0.95</v>
      </c>
      <c r="O37" s="95">
        <v>999</v>
      </c>
      <c r="P37" s="95">
        <v>2023</v>
      </c>
      <c r="R37" s="95" t="s">
        <v>69</v>
      </c>
      <c r="S37" s="95" t="s">
        <v>70</v>
      </c>
      <c r="U37" s="95" t="s">
        <v>71</v>
      </c>
      <c r="V37" s="95" t="s">
        <v>71</v>
      </c>
      <c r="W37" s="95" t="s">
        <v>72</v>
      </c>
      <c r="X37" s="95" t="s">
        <v>71</v>
      </c>
      <c r="Y37" s="95" t="s">
        <v>72</v>
      </c>
      <c r="Z37" s="95" t="s">
        <v>71</v>
      </c>
      <c r="AA37" s="95" t="s">
        <v>72</v>
      </c>
      <c r="AB37" s="95" t="s">
        <v>71</v>
      </c>
      <c r="AC37" s="95" t="s">
        <v>72</v>
      </c>
      <c r="AD37" s="95" t="s">
        <v>72</v>
      </c>
      <c r="AE37" s="95" t="s">
        <v>71</v>
      </c>
      <c r="AF37" s="95" t="s">
        <v>72</v>
      </c>
      <c r="AG37" s="95" t="s">
        <v>72</v>
      </c>
      <c r="AH37" s="95" t="s">
        <v>71</v>
      </c>
      <c r="AI37" s="95" t="s">
        <v>71</v>
      </c>
      <c r="AK37" s="95" t="s">
        <v>71</v>
      </c>
    </row>
    <row r="38" spans="1:37" x14ac:dyDescent="0.2">
      <c r="A38" s="95" t="s">
        <v>73</v>
      </c>
      <c r="B38" s="95" t="s">
        <v>69</v>
      </c>
      <c r="C38" s="95" t="s">
        <v>67</v>
      </c>
      <c r="D38" s="95" t="s">
        <v>81</v>
      </c>
      <c r="E38" s="95" t="s">
        <v>89</v>
      </c>
      <c r="F38" s="95">
        <v>3.5</v>
      </c>
      <c r="G38" s="95">
        <v>13</v>
      </c>
      <c r="I38" s="95">
        <v>0.85</v>
      </c>
      <c r="J38" s="95">
        <v>7.0000000000000001E-3</v>
      </c>
      <c r="K38" s="95">
        <v>0.27</v>
      </c>
      <c r="L38" s="95">
        <v>1.38</v>
      </c>
      <c r="O38" s="95">
        <v>999</v>
      </c>
      <c r="P38" s="95">
        <v>2023</v>
      </c>
      <c r="R38" s="95" t="s">
        <v>69</v>
      </c>
      <c r="S38" s="95" t="s">
        <v>70</v>
      </c>
      <c r="U38" s="95" t="s">
        <v>71</v>
      </c>
      <c r="V38" s="95" t="s">
        <v>71</v>
      </c>
      <c r="W38" s="95" t="s">
        <v>72</v>
      </c>
      <c r="X38" s="95" t="s">
        <v>71</v>
      </c>
      <c r="Y38" s="95" t="s">
        <v>72</v>
      </c>
      <c r="Z38" s="95" t="s">
        <v>71</v>
      </c>
      <c r="AA38" s="95" t="s">
        <v>72</v>
      </c>
      <c r="AB38" s="95" t="s">
        <v>71</v>
      </c>
      <c r="AC38" s="95" t="s">
        <v>72</v>
      </c>
      <c r="AD38" s="95" t="s">
        <v>72</v>
      </c>
      <c r="AE38" s="95" t="s">
        <v>71</v>
      </c>
      <c r="AF38" s="95" t="s">
        <v>72</v>
      </c>
      <c r="AG38" s="95" t="s">
        <v>72</v>
      </c>
      <c r="AH38" s="95" t="s">
        <v>71</v>
      </c>
      <c r="AI38" s="95" t="s">
        <v>71</v>
      </c>
      <c r="AK38" s="95" t="s">
        <v>71</v>
      </c>
    </row>
    <row r="39" spans="1:37" x14ac:dyDescent="0.2">
      <c r="A39" s="95" t="s">
        <v>73</v>
      </c>
      <c r="B39" s="95" t="s">
        <v>69</v>
      </c>
      <c r="C39" s="95" t="s">
        <v>67</v>
      </c>
      <c r="D39" s="95" t="s">
        <v>81</v>
      </c>
      <c r="E39" s="95" t="s">
        <v>89</v>
      </c>
      <c r="F39" s="95">
        <v>3.5</v>
      </c>
      <c r="G39" s="95">
        <v>15</v>
      </c>
      <c r="I39" s="95">
        <v>0.87</v>
      </c>
      <c r="J39" s="95">
        <v>7.0000000000000001E-3</v>
      </c>
      <c r="K39" s="95">
        <v>0.27</v>
      </c>
      <c r="L39" s="95">
        <v>1.4</v>
      </c>
      <c r="O39" s="95">
        <v>999</v>
      </c>
      <c r="P39" s="95">
        <v>2023</v>
      </c>
      <c r="R39" s="95" t="s">
        <v>69</v>
      </c>
      <c r="S39" s="95" t="s">
        <v>70</v>
      </c>
      <c r="U39" s="95" t="s">
        <v>71</v>
      </c>
      <c r="V39" s="95" t="s">
        <v>71</v>
      </c>
      <c r="W39" s="95" t="s">
        <v>72</v>
      </c>
      <c r="X39" s="95" t="s">
        <v>71</v>
      </c>
      <c r="Y39" s="95" t="s">
        <v>72</v>
      </c>
      <c r="Z39" s="95" t="s">
        <v>71</v>
      </c>
      <c r="AA39" s="95" t="s">
        <v>72</v>
      </c>
      <c r="AB39" s="95" t="s">
        <v>71</v>
      </c>
      <c r="AC39" s="95" t="s">
        <v>72</v>
      </c>
      <c r="AD39" s="95" t="s">
        <v>72</v>
      </c>
      <c r="AE39" s="95" t="s">
        <v>71</v>
      </c>
      <c r="AF39" s="95" t="s">
        <v>72</v>
      </c>
      <c r="AG39" s="95" t="s">
        <v>72</v>
      </c>
      <c r="AH39" s="95" t="s">
        <v>71</v>
      </c>
      <c r="AI39" s="95" t="s">
        <v>71</v>
      </c>
      <c r="AK39" s="95" t="s">
        <v>71</v>
      </c>
    </row>
    <row r="40" spans="1:37" x14ac:dyDescent="0.2">
      <c r="A40" s="95" t="s">
        <v>73</v>
      </c>
      <c r="B40" s="95" t="s">
        <v>69</v>
      </c>
      <c r="C40" s="95" t="s">
        <v>67</v>
      </c>
      <c r="D40" s="95" t="s">
        <v>81</v>
      </c>
      <c r="E40" s="95" t="s">
        <v>89</v>
      </c>
      <c r="F40" s="95">
        <v>6</v>
      </c>
      <c r="G40" s="95">
        <v>19</v>
      </c>
      <c r="I40" s="95">
        <v>0.95</v>
      </c>
      <c r="J40" s="95">
        <v>7.0000000000000001E-3</v>
      </c>
      <c r="K40" s="95">
        <v>0.27</v>
      </c>
      <c r="L40" s="95">
        <v>1.49</v>
      </c>
      <c r="O40" s="95">
        <v>999</v>
      </c>
      <c r="P40" s="95">
        <v>2023</v>
      </c>
      <c r="R40" s="95" t="s">
        <v>69</v>
      </c>
      <c r="S40" s="95" t="s">
        <v>70</v>
      </c>
      <c r="U40" s="95" t="s">
        <v>71</v>
      </c>
      <c r="V40" s="95" t="s">
        <v>71</v>
      </c>
      <c r="W40" s="95" t="s">
        <v>72</v>
      </c>
      <c r="X40" s="95" t="s">
        <v>71</v>
      </c>
      <c r="Y40" s="95" t="s">
        <v>72</v>
      </c>
      <c r="Z40" s="95" t="s">
        <v>71</v>
      </c>
      <c r="AA40" s="95" t="s">
        <v>72</v>
      </c>
      <c r="AB40" s="95" t="s">
        <v>71</v>
      </c>
      <c r="AC40" s="95" t="s">
        <v>72</v>
      </c>
      <c r="AD40" s="95" t="s">
        <v>72</v>
      </c>
      <c r="AE40" s="95" t="s">
        <v>71</v>
      </c>
      <c r="AF40" s="95" t="s">
        <v>72</v>
      </c>
      <c r="AG40" s="95" t="s">
        <v>72</v>
      </c>
      <c r="AH40" s="95" t="s">
        <v>71</v>
      </c>
      <c r="AI40" s="95" t="s">
        <v>71</v>
      </c>
      <c r="AK40" s="95" t="s">
        <v>71</v>
      </c>
    </row>
    <row r="41" spans="1:37" x14ac:dyDescent="0.2">
      <c r="A41" s="95" t="s">
        <v>73</v>
      </c>
      <c r="B41" s="95" t="s">
        <v>69</v>
      </c>
      <c r="C41" s="95" t="s">
        <v>67</v>
      </c>
      <c r="D41" s="95" t="s">
        <v>81</v>
      </c>
      <c r="E41" s="95" t="s">
        <v>89</v>
      </c>
      <c r="F41" s="95">
        <v>9</v>
      </c>
      <c r="G41" s="95">
        <v>30</v>
      </c>
      <c r="I41" s="95">
        <v>1</v>
      </c>
      <c r="J41" s="95">
        <v>6.0000000000000001E-3</v>
      </c>
      <c r="K41" s="95">
        <v>0.23</v>
      </c>
      <c r="L41" s="95">
        <v>1.47</v>
      </c>
      <c r="O41" s="95">
        <v>999</v>
      </c>
      <c r="P41" s="95">
        <v>2023</v>
      </c>
      <c r="R41" s="95" t="s">
        <v>69</v>
      </c>
      <c r="S41" s="95" t="s">
        <v>70</v>
      </c>
      <c r="U41" s="95" t="s">
        <v>71</v>
      </c>
      <c r="V41" s="95" t="s">
        <v>71</v>
      </c>
      <c r="W41" s="95" t="s">
        <v>72</v>
      </c>
      <c r="X41" s="95" t="s">
        <v>71</v>
      </c>
      <c r="Y41" s="95" t="s">
        <v>72</v>
      </c>
      <c r="Z41" s="95" t="s">
        <v>71</v>
      </c>
      <c r="AA41" s="95" t="s">
        <v>72</v>
      </c>
      <c r="AB41" s="95" t="s">
        <v>71</v>
      </c>
      <c r="AC41" s="95" t="s">
        <v>72</v>
      </c>
      <c r="AD41" s="95" t="s">
        <v>72</v>
      </c>
      <c r="AE41" s="95" t="s">
        <v>71</v>
      </c>
      <c r="AF41" s="95" t="s">
        <v>72</v>
      </c>
      <c r="AG41" s="95" t="s">
        <v>72</v>
      </c>
      <c r="AH41" s="95" t="s">
        <v>71</v>
      </c>
      <c r="AI41" s="95" t="s">
        <v>71</v>
      </c>
      <c r="AK41" s="95" t="s">
        <v>71</v>
      </c>
    </row>
    <row r="42" spans="1:37" x14ac:dyDescent="0.2">
      <c r="A42" s="95" t="s">
        <v>73</v>
      </c>
      <c r="B42" s="95" t="s">
        <v>69</v>
      </c>
      <c r="C42" s="95" t="s">
        <v>67</v>
      </c>
      <c r="D42" s="95" t="s">
        <v>81</v>
      </c>
      <c r="E42" s="95" t="s">
        <v>89</v>
      </c>
      <c r="F42" s="95">
        <v>12</v>
      </c>
      <c r="G42" s="95">
        <v>38</v>
      </c>
      <c r="I42" s="95">
        <v>1.58</v>
      </c>
      <c r="J42" s="95">
        <v>6.0000000000000001E-3</v>
      </c>
      <c r="K42" s="95">
        <v>0.23</v>
      </c>
      <c r="L42" s="95">
        <v>2.11</v>
      </c>
      <c r="O42" s="95">
        <v>999</v>
      </c>
      <c r="P42" s="95">
        <v>2023</v>
      </c>
      <c r="R42" s="95" t="s">
        <v>69</v>
      </c>
      <c r="S42" s="95" t="s">
        <v>70</v>
      </c>
      <c r="U42" s="95" t="s">
        <v>71</v>
      </c>
      <c r="V42" s="95" t="s">
        <v>71</v>
      </c>
      <c r="W42" s="95" t="s">
        <v>72</v>
      </c>
      <c r="X42" s="95" t="s">
        <v>71</v>
      </c>
      <c r="Y42" s="95" t="s">
        <v>72</v>
      </c>
      <c r="Z42" s="95" t="s">
        <v>71</v>
      </c>
      <c r="AA42" s="95" t="s">
        <v>72</v>
      </c>
      <c r="AB42" s="95" t="s">
        <v>71</v>
      </c>
      <c r="AC42" s="95" t="s">
        <v>72</v>
      </c>
      <c r="AD42" s="95" t="s">
        <v>72</v>
      </c>
      <c r="AE42" s="95" t="s">
        <v>71</v>
      </c>
      <c r="AF42" s="95" t="s">
        <v>72</v>
      </c>
      <c r="AG42" s="95" t="s">
        <v>72</v>
      </c>
      <c r="AH42" s="95" t="s">
        <v>71</v>
      </c>
      <c r="AI42" s="95" t="s">
        <v>71</v>
      </c>
      <c r="AK42" s="95" t="s">
        <v>71</v>
      </c>
    </row>
    <row r="43" spans="1:37" x14ac:dyDescent="0.2">
      <c r="A43" s="95" t="s">
        <v>73</v>
      </c>
      <c r="B43" s="95" t="s">
        <v>69</v>
      </c>
      <c r="C43" s="95" t="s">
        <v>67</v>
      </c>
      <c r="D43" s="95" t="s">
        <v>81</v>
      </c>
      <c r="E43" s="95" t="s">
        <v>90</v>
      </c>
      <c r="F43" s="95">
        <v>3.5</v>
      </c>
      <c r="G43" s="95">
        <v>13</v>
      </c>
      <c r="I43" s="95">
        <v>0.71</v>
      </c>
      <c r="J43" s="95">
        <v>7.0000000000000001E-3</v>
      </c>
      <c r="K43" s="95">
        <v>0.27</v>
      </c>
      <c r="L43" s="95">
        <v>1.22</v>
      </c>
      <c r="O43" s="95">
        <v>999</v>
      </c>
      <c r="P43" s="95">
        <v>2023</v>
      </c>
      <c r="R43" s="95" t="s">
        <v>69</v>
      </c>
      <c r="S43" s="95" t="s">
        <v>70</v>
      </c>
      <c r="U43" s="95" t="s">
        <v>71</v>
      </c>
      <c r="V43" s="95" t="s">
        <v>71</v>
      </c>
      <c r="W43" s="95" t="s">
        <v>72</v>
      </c>
      <c r="X43" s="95" t="s">
        <v>71</v>
      </c>
      <c r="Y43" s="95" t="s">
        <v>72</v>
      </c>
      <c r="Z43" s="95" t="s">
        <v>71</v>
      </c>
      <c r="AA43" s="95" t="s">
        <v>72</v>
      </c>
      <c r="AB43" s="95" t="s">
        <v>71</v>
      </c>
      <c r="AC43" s="95" t="s">
        <v>72</v>
      </c>
      <c r="AD43" s="95" t="s">
        <v>72</v>
      </c>
      <c r="AE43" s="95" t="s">
        <v>71</v>
      </c>
      <c r="AF43" s="95" t="s">
        <v>72</v>
      </c>
      <c r="AG43" s="95" t="s">
        <v>72</v>
      </c>
      <c r="AH43" s="95" t="s">
        <v>71</v>
      </c>
      <c r="AI43" s="95" t="s">
        <v>71</v>
      </c>
      <c r="AK43" s="95" t="s">
        <v>71</v>
      </c>
    </row>
    <row r="44" spans="1:37" x14ac:dyDescent="0.2">
      <c r="A44" s="95" t="s">
        <v>73</v>
      </c>
      <c r="B44" s="95" t="s">
        <v>69</v>
      </c>
      <c r="C44" s="95" t="s">
        <v>67</v>
      </c>
      <c r="D44" s="95" t="s">
        <v>81</v>
      </c>
      <c r="E44" s="95" t="s">
        <v>90</v>
      </c>
      <c r="F44" s="95">
        <v>3.5</v>
      </c>
      <c r="G44" s="95">
        <v>15</v>
      </c>
      <c r="I44" s="95">
        <v>0.53</v>
      </c>
      <c r="J44" s="95">
        <v>7.0000000000000001E-3</v>
      </c>
      <c r="K44" s="95">
        <v>0.27</v>
      </c>
      <c r="L44" s="95">
        <v>1.02</v>
      </c>
      <c r="O44" s="95">
        <v>999</v>
      </c>
      <c r="P44" s="95">
        <v>2023</v>
      </c>
      <c r="R44" s="95" t="s">
        <v>69</v>
      </c>
      <c r="S44" s="95" t="s">
        <v>70</v>
      </c>
      <c r="U44" s="95" t="s">
        <v>71</v>
      </c>
      <c r="V44" s="95" t="s">
        <v>71</v>
      </c>
      <c r="W44" s="95" t="s">
        <v>72</v>
      </c>
      <c r="X44" s="95" t="s">
        <v>71</v>
      </c>
      <c r="Y44" s="95" t="s">
        <v>72</v>
      </c>
      <c r="Z44" s="95" t="s">
        <v>71</v>
      </c>
      <c r="AA44" s="95" t="s">
        <v>72</v>
      </c>
      <c r="AB44" s="95" t="s">
        <v>71</v>
      </c>
      <c r="AC44" s="95" t="s">
        <v>72</v>
      </c>
      <c r="AD44" s="95" t="s">
        <v>72</v>
      </c>
      <c r="AE44" s="95" t="s">
        <v>71</v>
      </c>
      <c r="AF44" s="95" t="s">
        <v>72</v>
      </c>
      <c r="AG44" s="95" t="s">
        <v>72</v>
      </c>
      <c r="AH44" s="95" t="s">
        <v>71</v>
      </c>
      <c r="AI44" s="95" t="s">
        <v>71</v>
      </c>
      <c r="AK44" s="95" t="s">
        <v>71</v>
      </c>
    </row>
    <row r="45" spans="1:37" x14ac:dyDescent="0.2">
      <c r="A45" s="95" t="s">
        <v>73</v>
      </c>
      <c r="B45" s="95" t="s">
        <v>69</v>
      </c>
      <c r="C45" s="95" t="s">
        <v>67</v>
      </c>
      <c r="D45" s="95" t="s">
        <v>81</v>
      </c>
      <c r="E45" s="95" t="s">
        <v>90</v>
      </c>
      <c r="F45" s="95">
        <v>6</v>
      </c>
      <c r="G45" s="95">
        <v>19</v>
      </c>
      <c r="I45" s="95">
        <v>0.89</v>
      </c>
      <c r="J45" s="95">
        <v>5.0000000000000001E-3</v>
      </c>
      <c r="K45" s="95">
        <v>0.19</v>
      </c>
      <c r="L45" s="95">
        <v>1.29</v>
      </c>
      <c r="O45" s="95">
        <v>999</v>
      </c>
      <c r="P45" s="95">
        <v>2023</v>
      </c>
      <c r="R45" s="95" t="s">
        <v>69</v>
      </c>
      <c r="S45" s="95" t="s">
        <v>70</v>
      </c>
      <c r="U45" s="95" t="s">
        <v>71</v>
      </c>
      <c r="V45" s="95" t="s">
        <v>71</v>
      </c>
      <c r="W45" s="95" t="s">
        <v>72</v>
      </c>
      <c r="X45" s="95" t="s">
        <v>71</v>
      </c>
      <c r="Y45" s="95" t="s">
        <v>72</v>
      </c>
      <c r="Z45" s="95" t="s">
        <v>71</v>
      </c>
      <c r="AA45" s="95" t="s">
        <v>72</v>
      </c>
      <c r="AB45" s="95" t="s">
        <v>71</v>
      </c>
      <c r="AC45" s="95" t="s">
        <v>72</v>
      </c>
      <c r="AD45" s="95" t="s">
        <v>72</v>
      </c>
      <c r="AE45" s="95" t="s">
        <v>71</v>
      </c>
      <c r="AF45" s="95" t="s">
        <v>72</v>
      </c>
      <c r="AG45" s="95" t="s">
        <v>72</v>
      </c>
      <c r="AH45" s="95" t="s">
        <v>71</v>
      </c>
      <c r="AI45" s="95" t="s">
        <v>71</v>
      </c>
      <c r="AK45" s="95" t="s">
        <v>71</v>
      </c>
    </row>
    <row r="46" spans="1:37" x14ac:dyDescent="0.2">
      <c r="A46" s="95" t="s">
        <v>73</v>
      </c>
      <c r="B46" s="95" t="s">
        <v>69</v>
      </c>
      <c r="C46" s="95" t="s">
        <v>67</v>
      </c>
      <c r="D46" s="95" t="s">
        <v>81</v>
      </c>
      <c r="E46" s="95" t="s">
        <v>90</v>
      </c>
      <c r="F46" s="95">
        <v>6</v>
      </c>
      <c r="G46" s="95">
        <v>21</v>
      </c>
      <c r="I46" s="95">
        <v>1.26</v>
      </c>
      <c r="J46" s="95">
        <v>7.0000000000000001E-3</v>
      </c>
      <c r="K46" s="95">
        <v>0.27</v>
      </c>
      <c r="L46" s="95">
        <v>1.83</v>
      </c>
      <c r="O46" s="95">
        <v>999</v>
      </c>
      <c r="P46" s="95">
        <v>2023</v>
      </c>
      <c r="R46" s="95" t="s">
        <v>69</v>
      </c>
      <c r="S46" s="95" t="s">
        <v>70</v>
      </c>
      <c r="U46" s="95" t="s">
        <v>71</v>
      </c>
      <c r="V46" s="95" t="s">
        <v>71</v>
      </c>
      <c r="W46" s="95" t="s">
        <v>72</v>
      </c>
      <c r="X46" s="95" t="s">
        <v>71</v>
      </c>
      <c r="Y46" s="95" t="s">
        <v>72</v>
      </c>
      <c r="Z46" s="95" t="s">
        <v>71</v>
      </c>
      <c r="AA46" s="95" t="s">
        <v>72</v>
      </c>
      <c r="AB46" s="95" t="s">
        <v>71</v>
      </c>
      <c r="AC46" s="95" t="s">
        <v>72</v>
      </c>
      <c r="AD46" s="95" t="s">
        <v>72</v>
      </c>
      <c r="AE46" s="95" t="s">
        <v>71</v>
      </c>
      <c r="AF46" s="95" t="s">
        <v>72</v>
      </c>
      <c r="AG46" s="95" t="s">
        <v>72</v>
      </c>
      <c r="AH46" s="95" t="s">
        <v>71</v>
      </c>
      <c r="AI46" s="95" t="s">
        <v>71</v>
      </c>
      <c r="AK46" s="95" t="s">
        <v>71</v>
      </c>
    </row>
    <row r="47" spans="1:37" x14ac:dyDescent="0.2">
      <c r="A47" s="95" t="s">
        <v>73</v>
      </c>
      <c r="B47" s="95" t="s">
        <v>69</v>
      </c>
      <c r="C47" s="95" t="s">
        <v>67</v>
      </c>
      <c r="D47" s="95" t="s">
        <v>81</v>
      </c>
      <c r="E47" s="95" t="s">
        <v>90</v>
      </c>
      <c r="F47" s="95">
        <v>9</v>
      </c>
      <c r="G47" s="95">
        <v>30</v>
      </c>
      <c r="I47" s="95">
        <v>1.19</v>
      </c>
      <c r="J47" s="95">
        <v>6.0000000000000001E-3</v>
      </c>
      <c r="K47" s="95">
        <v>0.23</v>
      </c>
      <c r="L47" s="95">
        <v>1.68</v>
      </c>
      <c r="O47" s="95">
        <v>999</v>
      </c>
      <c r="P47" s="95">
        <v>2023</v>
      </c>
      <c r="R47" s="95" t="s">
        <v>69</v>
      </c>
      <c r="S47" s="95" t="s">
        <v>70</v>
      </c>
      <c r="U47" s="95" t="s">
        <v>71</v>
      </c>
      <c r="V47" s="95" t="s">
        <v>71</v>
      </c>
      <c r="W47" s="95" t="s">
        <v>72</v>
      </c>
      <c r="X47" s="95" t="s">
        <v>71</v>
      </c>
      <c r="Y47" s="95" t="s">
        <v>72</v>
      </c>
      <c r="Z47" s="95" t="s">
        <v>71</v>
      </c>
      <c r="AA47" s="95" t="s">
        <v>72</v>
      </c>
      <c r="AB47" s="95" t="s">
        <v>71</v>
      </c>
      <c r="AC47" s="95" t="s">
        <v>72</v>
      </c>
      <c r="AD47" s="95" t="s">
        <v>72</v>
      </c>
      <c r="AE47" s="95" t="s">
        <v>71</v>
      </c>
      <c r="AF47" s="95" t="s">
        <v>72</v>
      </c>
      <c r="AG47" s="95" t="s">
        <v>72</v>
      </c>
      <c r="AH47" s="95" t="s">
        <v>71</v>
      </c>
      <c r="AI47" s="95" t="s">
        <v>71</v>
      </c>
      <c r="AK47" s="95" t="s">
        <v>71</v>
      </c>
    </row>
    <row r="48" spans="1:37" x14ac:dyDescent="0.2">
      <c r="A48" s="95" t="s">
        <v>73</v>
      </c>
      <c r="B48" s="95" t="s">
        <v>69</v>
      </c>
      <c r="C48" s="95" t="s">
        <v>67</v>
      </c>
      <c r="D48" s="95" t="s">
        <v>68</v>
      </c>
      <c r="E48" s="95" t="s">
        <v>68</v>
      </c>
      <c r="F48" s="95">
        <v>3.5</v>
      </c>
      <c r="G48" s="95">
        <v>13</v>
      </c>
      <c r="I48" s="95">
        <v>0.59</v>
      </c>
      <c r="J48" s="95">
        <v>7.0000000000000001E-3</v>
      </c>
      <c r="K48" s="95">
        <v>0.27</v>
      </c>
      <c r="L48" s="95">
        <v>1.0900000000000001</v>
      </c>
      <c r="O48" s="95">
        <v>999</v>
      </c>
      <c r="P48" s="95">
        <v>2023</v>
      </c>
      <c r="R48" s="95" t="s">
        <v>69</v>
      </c>
      <c r="S48" s="95" t="s">
        <v>70</v>
      </c>
      <c r="U48" s="95" t="s">
        <v>71</v>
      </c>
      <c r="V48" s="95" t="s">
        <v>71</v>
      </c>
      <c r="W48" s="95" t="s">
        <v>72</v>
      </c>
      <c r="X48" s="95" t="s">
        <v>71</v>
      </c>
      <c r="Y48" s="95" t="s">
        <v>72</v>
      </c>
      <c r="Z48" s="95" t="s">
        <v>71</v>
      </c>
      <c r="AA48" s="95" t="s">
        <v>72</v>
      </c>
      <c r="AB48" s="95" t="s">
        <v>71</v>
      </c>
      <c r="AC48" s="95" t="s">
        <v>72</v>
      </c>
      <c r="AD48" s="95" t="s">
        <v>72</v>
      </c>
      <c r="AE48" s="95" t="s">
        <v>71</v>
      </c>
      <c r="AF48" s="95" t="s">
        <v>72</v>
      </c>
      <c r="AG48" s="95" t="s">
        <v>72</v>
      </c>
      <c r="AH48" s="95" t="s">
        <v>71</v>
      </c>
      <c r="AI48" s="95" t="s">
        <v>71</v>
      </c>
      <c r="AK48" s="95" t="s">
        <v>71</v>
      </c>
    </row>
    <row r="49" spans="1:37" x14ac:dyDescent="0.2">
      <c r="A49" s="95" t="s">
        <v>73</v>
      </c>
      <c r="B49" s="95" t="s">
        <v>69</v>
      </c>
      <c r="C49" s="95" t="s">
        <v>67</v>
      </c>
      <c r="D49" s="95" t="s">
        <v>68</v>
      </c>
      <c r="E49" s="95" t="s">
        <v>68</v>
      </c>
      <c r="F49" s="95">
        <v>3.5</v>
      </c>
      <c r="G49" s="95">
        <v>15</v>
      </c>
      <c r="I49" s="95">
        <v>0.92</v>
      </c>
      <c r="J49" s="95">
        <v>7.0000000000000001E-3</v>
      </c>
      <c r="K49" s="95">
        <v>0.27</v>
      </c>
      <c r="L49" s="95">
        <v>1.45</v>
      </c>
      <c r="O49" s="95">
        <v>999</v>
      </c>
      <c r="P49" s="95">
        <v>2023</v>
      </c>
      <c r="R49" s="95" t="s">
        <v>69</v>
      </c>
      <c r="S49" s="95" t="s">
        <v>70</v>
      </c>
      <c r="U49" s="95" t="s">
        <v>71</v>
      </c>
      <c r="V49" s="95" t="s">
        <v>71</v>
      </c>
      <c r="W49" s="95" t="s">
        <v>72</v>
      </c>
      <c r="X49" s="95" t="s">
        <v>71</v>
      </c>
      <c r="Y49" s="95" t="s">
        <v>72</v>
      </c>
      <c r="Z49" s="95" t="s">
        <v>71</v>
      </c>
      <c r="AA49" s="95" t="s">
        <v>72</v>
      </c>
      <c r="AB49" s="95" t="s">
        <v>71</v>
      </c>
      <c r="AC49" s="95" t="s">
        <v>72</v>
      </c>
      <c r="AD49" s="95" t="s">
        <v>72</v>
      </c>
      <c r="AE49" s="95" t="s">
        <v>71</v>
      </c>
      <c r="AF49" s="95" t="s">
        <v>72</v>
      </c>
      <c r="AG49" s="95" t="s">
        <v>72</v>
      </c>
      <c r="AH49" s="95" t="s">
        <v>71</v>
      </c>
      <c r="AI49" s="95" t="s">
        <v>71</v>
      </c>
      <c r="AK49" s="95" t="s">
        <v>71</v>
      </c>
    </row>
    <row r="50" spans="1:37" x14ac:dyDescent="0.2">
      <c r="A50" s="95" t="s">
        <v>73</v>
      </c>
      <c r="B50" s="95" t="s">
        <v>69</v>
      </c>
      <c r="C50" s="95" t="s">
        <v>67</v>
      </c>
      <c r="D50" s="95" t="s">
        <v>68</v>
      </c>
      <c r="E50" s="95" t="s">
        <v>68</v>
      </c>
      <c r="F50" s="95">
        <v>6</v>
      </c>
      <c r="G50" s="95">
        <v>19</v>
      </c>
      <c r="I50" s="95">
        <v>0.93</v>
      </c>
      <c r="J50" s="95">
        <v>6.0000000000000001E-3</v>
      </c>
      <c r="K50" s="95">
        <v>0.23</v>
      </c>
      <c r="L50" s="95">
        <v>1.39</v>
      </c>
      <c r="O50" s="95">
        <v>999</v>
      </c>
      <c r="P50" s="95">
        <v>2023</v>
      </c>
      <c r="R50" s="95" t="s">
        <v>69</v>
      </c>
      <c r="S50" s="95" t="s">
        <v>70</v>
      </c>
      <c r="U50" s="95" t="s">
        <v>71</v>
      </c>
      <c r="V50" s="95" t="s">
        <v>71</v>
      </c>
      <c r="W50" s="95" t="s">
        <v>72</v>
      </c>
      <c r="X50" s="95" t="s">
        <v>71</v>
      </c>
      <c r="Y50" s="95" t="s">
        <v>72</v>
      </c>
      <c r="Z50" s="95" t="s">
        <v>71</v>
      </c>
      <c r="AA50" s="95" t="s">
        <v>72</v>
      </c>
      <c r="AB50" s="95" t="s">
        <v>71</v>
      </c>
      <c r="AC50" s="95" t="s">
        <v>72</v>
      </c>
      <c r="AD50" s="95" t="s">
        <v>72</v>
      </c>
      <c r="AE50" s="95" t="s">
        <v>71</v>
      </c>
      <c r="AF50" s="95" t="s">
        <v>72</v>
      </c>
      <c r="AG50" s="95" t="s">
        <v>72</v>
      </c>
      <c r="AH50" s="95" t="s">
        <v>71</v>
      </c>
      <c r="AI50" s="95" t="s">
        <v>71</v>
      </c>
      <c r="AK50" s="95" t="s">
        <v>71</v>
      </c>
    </row>
    <row r="51" spans="1:37" x14ac:dyDescent="0.2">
      <c r="A51" s="95" t="s">
        <v>73</v>
      </c>
      <c r="B51" s="95" t="s">
        <v>69</v>
      </c>
      <c r="C51" s="95" t="s">
        <v>67</v>
      </c>
      <c r="D51" s="95" t="s">
        <v>68</v>
      </c>
      <c r="E51" s="95" t="s">
        <v>68</v>
      </c>
      <c r="F51" s="95">
        <v>9</v>
      </c>
      <c r="G51" s="95">
        <v>30</v>
      </c>
      <c r="I51" s="95">
        <v>1.5660000000000001</v>
      </c>
      <c r="J51" s="95">
        <v>7.0000000000000001E-3</v>
      </c>
      <c r="K51" s="95">
        <v>0.27</v>
      </c>
      <c r="L51" s="95">
        <v>2.16</v>
      </c>
      <c r="O51" s="95">
        <v>999</v>
      </c>
      <c r="P51" s="95">
        <v>2023</v>
      </c>
      <c r="R51" s="95" t="s">
        <v>69</v>
      </c>
      <c r="S51" s="95" t="s">
        <v>70</v>
      </c>
      <c r="U51" s="95" t="s">
        <v>71</v>
      </c>
      <c r="V51" s="95" t="s">
        <v>71</v>
      </c>
      <c r="W51" s="95" t="s">
        <v>72</v>
      </c>
      <c r="X51" s="95" t="s">
        <v>71</v>
      </c>
      <c r="Y51" s="95" t="s">
        <v>72</v>
      </c>
      <c r="Z51" s="95" t="s">
        <v>71</v>
      </c>
      <c r="AA51" s="95" t="s">
        <v>72</v>
      </c>
      <c r="AB51" s="95" t="s">
        <v>71</v>
      </c>
      <c r="AC51" s="95" t="s">
        <v>72</v>
      </c>
      <c r="AD51" s="95" t="s">
        <v>72</v>
      </c>
      <c r="AE51" s="95" t="s">
        <v>71</v>
      </c>
      <c r="AF51" s="95" t="s">
        <v>72</v>
      </c>
      <c r="AG51" s="95" t="s">
        <v>72</v>
      </c>
      <c r="AH51" s="95" t="s">
        <v>71</v>
      </c>
      <c r="AI51" s="95" t="s">
        <v>71</v>
      </c>
      <c r="AK51" s="95" t="s">
        <v>71</v>
      </c>
    </row>
    <row r="52" spans="1:37" x14ac:dyDescent="0.2">
      <c r="A52" s="95" t="s">
        <v>73</v>
      </c>
      <c r="B52" s="95" t="s">
        <v>69</v>
      </c>
      <c r="C52" s="95" t="s">
        <v>67</v>
      </c>
      <c r="D52" s="95" t="s">
        <v>68</v>
      </c>
      <c r="E52" s="95" t="s">
        <v>68</v>
      </c>
      <c r="F52" s="95">
        <v>12</v>
      </c>
      <c r="G52" s="95">
        <v>38</v>
      </c>
      <c r="I52" s="95">
        <v>1.82</v>
      </c>
      <c r="J52" s="95">
        <v>7.0000000000000001E-3</v>
      </c>
      <c r="K52" s="95">
        <v>0.27</v>
      </c>
      <c r="L52" s="95">
        <v>2.44</v>
      </c>
      <c r="O52" s="95">
        <v>999</v>
      </c>
      <c r="P52" s="95">
        <v>2023</v>
      </c>
      <c r="R52" s="95" t="s">
        <v>69</v>
      </c>
      <c r="S52" s="95" t="s">
        <v>70</v>
      </c>
      <c r="U52" s="95" t="s">
        <v>71</v>
      </c>
      <c r="V52" s="95" t="s">
        <v>71</v>
      </c>
      <c r="W52" s="95" t="s">
        <v>72</v>
      </c>
      <c r="X52" s="95" t="s">
        <v>71</v>
      </c>
      <c r="Y52" s="95" t="s">
        <v>72</v>
      </c>
      <c r="Z52" s="95" t="s">
        <v>71</v>
      </c>
      <c r="AA52" s="95" t="s">
        <v>72</v>
      </c>
      <c r="AB52" s="95" t="s">
        <v>71</v>
      </c>
      <c r="AC52" s="95" t="s">
        <v>72</v>
      </c>
      <c r="AD52" s="95" t="s">
        <v>72</v>
      </c>
      <c r="AE52" s="95" t="s">
        <v>71</v>
      </c>
      <c r="AF52" s="95" t="s">
        <v>72</v>
      </c>
      <c r="AG52" s="95" t="s">
        <v>72</v>
      </c>
      <c r="AH52" s="95" t="s">
        <v>71</v>
      </c>
      <c r="AI52" s="95" t="s">
        <v>71</v>
      </c>
      <c r="AK52" s="95" t="s">
        <v>71</v>
      </c>
    </row>
    <row r="53" spans="1:37" x14ac:dyDescent="0.2">
      <c r="A53" s="95" t="s">
        <v>73</v>
      </c>
      <c r="B53" s="95" t="s">
        <v>66</v>
      </c>
      <c r="C53" s="95" t="s">
        <v>91</v>
      </c>
      <c r="D53" s="95" t="s">
        <v>68</v>
      </c>
      <c r="E53" s="95" t="s">
        <v>68</v>
      </c>
      <c r="F53" s="95">
        <v>3.5</v>
      </c>
      <c r="G53" s="95">
        <v>15</v>
      </c>
      <c r="I53" s="95">
        <v>1.47</v>
      </c>
      <c r="J53" s="95">
        <v>5.0000000000000001E-3</v>
      </c>
      <c r="K53" s="95">
        <v>0.19</v>
      </c>
      <c r="L53" s="95">
        <v>1.93</v>
      </c>
      <c r="O53" s="95">
        <v>999</v>
      </c>
      <c r="P53" s="95">
        <v>2023</v>
      </c>
      <c r="R53" s="95" t="s">
        <v>92</v>
      </c>
      <c r="S53" s="95" t="s">
        <v>70</v>
      </c>
      <c r="U53" s="95" t="s">
        <v>71</v>
      </c>
      <c r="V53" s="95" t="s">
        <v>71</v>
      </c>
      <c r="W53" s="95" t="s">
        <v>72</v>
      </c>
      <c r="X53" s="95" t="s">
        <v>71</v>
      </c>
      <c r="Y53" s="95" t="s">
        <v>71</v>
      </c>
      <c r="Z53" s="95" t="s">
        <v>71</v>
      </c>
      <c r="AA53" s="95" t="s">
        <v>71</v>
      </c>
      <c r="AB53" s="95" t="s">
        <v>71</v>
      </c>
      <c r="AC53" s="95" t="s">
        <v>71</v>
      </c>
      <c r="AD53" s="95" t="s">
        <v>72</v>
      </c>
      <c r="AE53" s="95" t="s">
        <v>71</v>
      </c>
      <c r="AF53" s="95" t="s">
        <v>71</v>
      </c>
      <c r="AG53" s="95" t="s">
        <v>72</v>
      </c>
      <c r="AH53" s="95" t="s">
        <v>71</v>
      </c>
      <c r="AI53" s="95" t="s">
        <v>71</v>
      </c>
      <c r="AK53" s="95" t="s">
        <v>71</v>
      </c>
    </row>
    <row r="54" spans="1:37" x14ac:dyDescent="0.2">
      <c r="A54" s="95" t="s">
        <v>73</v>
      </c>
      <c r="B54" s="95" t="s">
        <v>66</v>
      </c>
      <c r="C54" s="95" t="s">
        <v>91</v>
      </c>
      <c r="D54" s="95" t="s">
        <v>68</v>
      </c>
      <c r="E54" s="95" t="s">
        <v>68</v>
      </c>
      <c r="F54" s="95">
        <v>5.5</v>
      </c>
      <c r="G54" s="95">
        <v>23</v>
      </c>
      <c r="I54" s="95">
        <v>2.31</v>
      </c>
      <c r="J54" s="95">
        <v>5.0000000000000001E-3</v>
      </c>
      <c r="K54" s="95">
        <v>0.19</v>
      </c>
      <c r="L54" s="95">
        <v>2.85</v>
      </c>
      <c r="O54" s="95">
        <v>999</v>
      </c>
      <c r="P54" s="95">
        <v>2023</v>
      </c>
      <c r="R54" s="95" t="s">
        <v>92</v>
      </c>
      <c r="S54" s="95" t="s">
        <v>70</v>
      </c>
      <c r="U54" s="95" t="s">
        <v>71</v>
      </c>
      <c r="V54" s="95" t="s">
        <v>71</v>
      </c>
      <c r="W54" s="95" t="s">
        <v>72</v>
      </c>
      <c r="X54" s="95" t="s">
        <v>71</v>
      </c>
      <c r="Y54" s="95" t="s">
        <v>71</v>
      </c>
      <c r="Z54" s="95" t="s">
        <v>71</v>
      </c>
      <c r="AA54" s="95" t="s">
        <v>71</v>
      </c>
      <c r="AB54" s="95" t="s">
        <v>71</v>
      </c>
      <c r="AC54" s="95" t="s">
        <v>71</v>
      </c>
      <c r="AD54" s="95" t="s">
        <v>72</v>
      </c>
      <c r="AE54" s="95" t="s">
        <v>71</v>
      </c>
      <c r="AF54" s="95" t="s">
        <v>71</v>
      </c>
      <c r="AG54" s="95" t="s">
        <v>72</v>
      </c>
      <c r="AH54" s="95" t="s">
        <v>71</v>
      </c>
      <c r="AI54" s="95" t="s">
        <v>71</v>
      </c>
      <c r="AK54" s="95" t="s">
        <v>71</v>
      </c>
    </row>
    <row r="55" spans="1:37" x14ac:dyDescent="0.2">
      <c r="A55" s="95" t="s">
        <v>73</v>
      </c>
      <c r="B55" s="95" t="s">
        <v>66</v>
      </c>
      <c r="C55" s="95" t="s">
        <v>91</v>
      </c>
      <c r="D55" s="95" t="s">
        <v>68</v>
      </c>
      <c r="E55" s="95" t="s">
        <v>68</v>
      </c>
      <c r="F55" s="95">
        <v>7.25</v>
      </c>
      <c r="G55" s="95">
        <v>30</v>
      </c>
      <c r="I55" s="95">
        <v>3.05</v>
      </c>
      <c r="J55" s="95">
        <v>6.0000000000000001E-3</v>
      </c>
      <c r="K55" s="95">
        <v>0.23</v>
      </c>
      <c r="L55" s="95">
        <v>3.72</v>
      </c>
      <c r="O55" s="95">
        <v>999</v>
      </c>
      <c r="P55" s="95">
        <v>2023</v>
      </c>
      <c r="R55" s="95" t="s">
        <v>92</v>
      </c>
      <c r="S55" s="95" t="s">
        <v>70</v>
      </c>
      <c r="U55" s="95" t="s">
        <v>71</v>
      </c>
      <c r="V55" s="95" t="s">
        <v>71</v>
      </c>
      <c r="W55" s="95" t="s">
        <v>72</v>
      </c>
      <c r="X55" s="95" t="s">
        <v>71</v>
      </c>
      <c r="Y55" s="95" t="s">
        <v>71</v>
      </c>
      <c r="Z55" s="95" t="s">
        <v>71</v>
      </c>
      <c r="AA55" s="95" t="s">
        <v>71</v>
      </c>
      <c r="AB55" s="95" t="s">
        <v>71</v>
      </c>
      <c r="AC55" s="95" t="s">
        <v>71</v>
      </c>
      <c r="AD55" s="95" t="s">
        <v>72</v>
      </c>
      <c r="AE55" s="95" t="s">
        <v>71</v>
      </c>
      <c r="AF55" s="95" t="s">
        <v>71</v>
      </c>
      <c r="AG55" s="95" t="s">
        <v>72</v>
      </c>
      <c r="AH55" s="95" t="s">
        <v>71</v>
      </c>
      <c r="AI55" s="95" t="s">
        <v>71</v>
      </c>
      <c r="AK55" s="95" t="s">
        <v>71</v>
      </c>
    </row>
    <row r="56" spans="1:37" x14ac:dyDescent="0.2">
      <c r="A56" s="95" t="s">
        <v>73</v>
      </c>
      <c r="B56" s="95" t="s">
        <v>66</v>
      </c>
      <c r="C56" s="95" t="s">
        <v>91</v>
      </c>
      <c r="D56" s="95" t="s">
        <v>68</v>
      </c>
      <c r="E56" s="95" t="s">
        <v>68</v>
      </c>
      <c r="G56" s="95">
        <v>13</v>
      </c>
      <c r="I56" s="95">
        <v>1.02</v>
      </c>
      <c r="J56" s="95">
        <v>5.0000000000000001E-3</v>
      </c>
      <c r="K56" s="95">
        <v>0.19</v>
      </c>
      <c r="L56" s="95">
        <v>1.43</v>
      </c>
      <c r="O56" s="95">
        <v>999</v>
      </c>
      <c r="P56" s="95">
        <v>2023</v>
      </c>
      <c r="R56" s="95" t="s">
        <v>92</v>
      </c>
      <c r="S56" s="95" t="s">
        <v>70</v>
      </c>
      <c r="U56" s="95" t="s">
        <v>71</v>
      </c>
      <c r="V56" s="95" t="s">
        <v>71</v>
      </c>
      <c r="W56" s="95" t="s">
        <v>72</v>
      </c>
      <c r="X56" s="95" t="s">
        <v>71</v>
      </c>
      <c r="Y56" s="95" t="s">
        <v>71</v>
      </c>
      <c r="Z56" s="95" t="s">
        <v>71</v>
      </c>
      <c r="AA56" s="95" t="s">
        <v>71</v>
      </c>
      <c r="AB56" s="95" t="s">
        <v>71</v>
      </c>
      <c r="AC56" s="95" t="s">
        <v>71</v>
      </c>
      <c r="AD56" s="95" t="s">
        <v>72</v>
      </c>
      <c r="AE56" s="95" t="s">
        <v>71</v>
      </c>
      <c r="AF56" s="95" t="s">
        <v>71</v>
      </c>
      <c r="AG56" s="95" t="s">
        <v>72</v>
      </c>
      <c r="AH56" s="95" t="s">
        <v>71</v>
      </c>
      <c r="AI56" s="95" t="s">
        <v>71</v>
      </c>
      <c r="AK56" s="95" t="s">
        <v>71</v>
      </c>
    </row>
    <row r="57" spans="1:37" x14ac:dyDescent="0.2">
      <c r="A57" s="95" t="s">
        <v>73</v>
      </c>
      <c r="B57" s="95" t="s">
        <v>66</v>
      </c>
      <c r="C57" s="95" t="s">
        <v>91</v>
      </c>
      <c r="D57" s="95" t="s">
        <v>68</v>
      </c>
      <c r="E57" s="95" t="s">
        <v>68</v>
      </c>
      <c r="G57" s="95">
        <v>19</v>
      </c>
      <c r="I57" s="95">
        <v>1.49</v>
      </c>
      <c r="J57" s="95">
        <v>5.0000000000000001E-3</v>
      </c>
      <c r="K57" s="95">
        <v>0.19</v>
      </c>
      <c r="L57" s="95">
        <v>1.95</v>
      </c>
      <c r="O57" s="95">
        <v>999</v>
      </c>
      <c r="P57" s="95">
        <v>2023</v>
      </c>
      <c r="R57" s="95" t="s">
        <v>92</v>
      </c>
      <c r="S57" s="95" t="s">
        <v>70</v>
      </c>
      <c r="U57" s="95" t="s">
        <v>71</v>
      </c>
      <c r="V57" s="95" t="s">
        <v>71</v>
      </c>
      <c r="W57" s="95" t="s">
        <v>72</v>
      </c>
      <c r="X57" s="95" t="s">
        <v>71</v>
      </c>
      <c r="Y57" s="95" t="s">
        <v>71</v>
      </c>
      <c r="Z57" s="95" t="s">
        <v>71</v>
      </c>
      <c r="AA57" s="95" t="s">
        <v>71</v>
      </c>
      <c r="AB57" s="95" t="s">
        <v>71</v>
      </c>
      <c r="AC57" s="95" t="s">
        <v>71</v>
      </c>
      <c r="AD57" s="95" t="s">
        <v>72</v>
      </c>
      <c r="AE57" s="95" t="s">
        <v>71</v>
      </c>
      <c r="AF57" s="95" t="s">
        <v>71</v>
      </c>
      <c r="AG57" s="95" t="s">
        <v>72</v>
      </c>
      <c r="AH57" s="95" t="s">
        <v>71</v>
      </c>
      <c r="AI57" s="95" t="s">
        <v>71</v>
      </c>
      <c r="AK57" s="95" t="s">
        <v>71</v>
      </c>
    </row>
    <row r="58" spans="1:37" x14ac:dyDescent="0.2">
      <c r="A58" s="95" t="s">
        <v>76</v>
      </c>
      <c r="B58" s="95" t="s">
        <v>87</v>
      </c>
      <c r="C58" s="95" t="s">
        <v>93</v>
      </c>
      <c r="D58" s="95" t="s">
        <v>68</v>
      </c>
      <c r="E58" s="95" t="s">
        <v>94</v>
      </c>
      <c r="F58" s="95">
        <v>3.5</v>
      </c>
      <c r="G58" s="95">
        <v>13</v>
      </c>
      <c r="I58" s="95">
        <v>0.25</v>
      </c>
      <c r="J58" s="95">
        <v>5.0000000000000001E-3</v>
      </c>
      <c r="K58" s="95">
        <v>0.15</v>
      </c>
      <c r="L58" s="95">
        <v>0.65</v>
      </c>
      <c r="O58" s="95">
        <v>999</v>
      </c>
      <c r="P58" s="95">
        <v>2023</v>
      </c>
      <c r="R58" s="95" t="s">
        <v>87</v>
      </c>
      <c r="S58" s="95" t="s">
        <v>70</v>
      </c>
      <c r="U58" s="95" t="s">
        <v>72</v>
      </c>
      <c r="V58" s="95" t="s">
        <v>72</v>
      </c>
      <c r="W58" s="95" t="s">
        <v>72</v>
      </c>
      <c r="X58" s="95" t="s">
        <v>72</v>
      </c>
      <c r="Y58" s="95" t="s">
        <v>72</v>
      </c>
      <c r="Z58" s="95" t="s">
        <v>72</v>
      </c>
      <c r="AA58" s="95" t="s">
        <v>71</v>
      </c>
      <c r="AB58" s="95" t="s">
        <v>72</v>
      </c>
      <c r="AC58" s="95" t="s">
        <v>71</v>
      </c>
      <c r="AD58" s="95" t="s">
        <v>71</v>
      </c>
      <c r="AE58" s="95" t="s">
        <v>72</v>
      </c>
      <c r="AF58" s="95" t="s">
        <v>72</v>
      </c>
      <c r="AG58" s="95" t="s">
        <v>72</v>
      </c>
      <c r="AH58" s="95" t="s">
        <v>72</v>
      </c>
      <c r="AI58" s="95" t="s">
        <v>72</v>
      </c>
      <c r="AK58" s="95" t="s">
        <v>71</v>
      </c>
    </row>
    <row r="59" spans="1:37" x14ac:dyDescent="0.2">
      <c r="A59" s="95" t="s">
        <v>76</v>
      </c>
      <c r="B59" s="95" t="s">
        <v>87</v>
      </c>
      <c r="C59" s="95" t="s">
        <v>93</v>
      </c>
      <c r="D59" s="95" t="s">
        <v>68</v>
      </c>
      <c r="E59" s="95" t="s">
        <v>94</v>
      </c>
      <c r="F59" s="95">
        <v>5.1875</v>
      </c>
      <c r="G59" s="95">
        <v>19</v>
      </c>
      <c r="I59" s="95">
        <v>0.37</v>
      </c>
      <c r="J59" s="95">
        <v>6.0000000000000001E-3</v>
      </c>
      <c r="K59" s="95">
        <v>0.19</v>
      </c>
      <c r="L59" s="95">
        <v>0.9</v>
      </c>
      <c r="O59" s="95">
        <v>999</v>
      </c>
      <c r="P59" s="95">
        <v>2023</v>
      </c>
      <c r="R59" s="95" t="s">
        <v>87</v>
      </c>
      <c r="S59" s="95" t="s">
        <v>70</v>
      </c>
      <c r="U59" s="95" t="s">
        <v>72</v>
      </c>
      <c r="V59" s="95" t="s">
        <v>72</v>
      </c>
      <c r="W59" s="95" t="s">
        <v>72</v>
      </c>
      <c r="X59" s="95" t="s">
        <v>72</v>
      </c>
      <c r="Y59" s="95" t="s">
        <v>72</v>
      </c>
      <c r="Z59" s="95" t="s">
        <v>72</v>
      </c>
      <c r="AA59" s="95" t="s">
        <v>71</v>
      </c>
      <c r="AB59" s="95" t="s">
        <v>72</v>
      </c>
      <c r="AC59" s="95" t="s">
        <v>71</v>
      </c>
      <c r="AD59" s="95" t="s">
        <v>71</v>
      </c>
      <c r="AE59" s="95" t="s">
        <v>72</v>
      </c>
      <c r="AF59" s="95" t="s">
        <v>72</v>
      </c>
      <c r="AG59" s="95" t="s">
        <v>72</v>
      </c>
      <c r="AH59" s="95" t="s">
        <v>72</v>
      </c>
      <c r="AI59" s="95" t="s">
        <v>72</v>
      </c>
      <c r="AK59" s="95" t="s">
        <v>71</v>
      </c>
    </row>
    <row r="60" spans="1:37" x14ac:dyDescent="0.2">
      <c r="A60" s="95" t="s">
        <v>76</v>
      </c>
      <c r="B60" s="95" t="s">
        <v>87</v>
      </c>
      <c r="C60" s="95" t="s">
        <v>93</v>
      </c>
      <c r="D60" s="95" t="s">
        <v>68</v>
      </c>
      <c r="E60" s="95" t="s">
        <v>94</v>
      </c>
      <c r="F60" s="95">
        <v>6.5</v>
      </c>
      <c r="G60" s="95">
        <v>22</v>
      </c>
      <c r="I60" s="95">
        <v>0.48</v>
      </c>
      <c r="J60" s="95">
        <v>8.0000000000000002E-3</v>
      </c>
      <c r="K60" s="95">
        <v>0.24</v>
      </c>
      <c r="L60" s="95">
        <v>1.1399999999999999</v>
      </c>
      <c r="O60" s="95">
        <v>999</v>
      </c>
      <c r="P60" s="95">
        <v>2023</v>
      </c>
      <c r="R60" s="95" t="s">
        <v>87</v>
      </c>
      <c r="S60" s="95" t="s">
        <v>70</v>
      </c>
      <c r="U60" s="95" t="s">
        <v>72</v>
      </c>
      <c r="V60" s="95" t="s">
        <v>72</v>
      </c>
      <c r="W60" s="95" t="s">
        <v>72</v>
      </c>
      <c r="X60" s="95" t="s">
        <v>72</v>
      </c>
      <c r="Y60" s="95" t="s">
        <v>72</v>
      </c>
      <c r="Z60" s="95" t="s">
        <v>72</v>
      </c>
      <c r="AA60" s="95" t="s">
        <v>71</v>
      </c>
      <c r="AB60" s="95" t="s">
        <v>72</v>
      </c>
      <c r="AC60" s="95" t="s">
        <v>71</v>
      </c>
      <c r="AD60" s="95" t="s">
        <v>71</v>
      </c>
      <c r="AE60" s="95" t="s">
        <v>72</v>
      </c>
      <c r="AF60" s="95" t="s">
        <v>72</v>
      </c>
      <c r="AG60" s="95" t="s">
        <v>72</v>
      </c>
      <c r="AH60" s="95" t="s">
        <v>72</v>
      </c>
      <c r="AI60" s="95" t="s">
        <v>72</v>
      </c>
      <c r="AK60" s="95" t="s">
        <v>71</v>
      </c>
    </row>
    <row r="61" spans="1:37" x14ac:dyDescent="0.2">
      <c r="A61" s="95" t="s">
        <v>76</v>
      </c>
      <c r="B61" s="95" t="s">
        <v>87</v>
      </c>
      <c r="C61" s="95" t="s">
        <v>93</v>
      </c>
      <c r="D61" s="95" t="s">
        <v>68</v>
      </c>
      <c r="E61" s="95" t="s">
        <v>94</v>
      </c>
      <c r="F61" s="95">
        <v>8.6875</v>
      </c>
      <c r="G61" s="95">
        <v>30</v>
      </c>
      <c r="I61" s="95">
        <v>0.64</v>
      </c>
      <c r="J61" s="95">
        <v>8.9999999999999993E-3</v>
      </c>
      <c r="K61" s="95">
        <v>0.28000000000000003</v>
      </c>
      <c r="L61" s="95">
        <v>1.42</v>
      </c>
      <c r="O61" s="95">
        <v>999</v>
      </c>
      <c r="P61" s="95">
        <v>2023</v>
      </c>
      <c r="R61" s="95" t="s">
        <v>87</v>
      </c>
      <c r="S61" s="95" t="s">
        <v>70</v>
      </c>
      <c r="U61" s="95" t="s">
        <v>72</v>
      </c>
      <c r="V61" s="95" t="s">
        <v>72</v>
      </c>
      <c r="W61" s="95" t="s">
        <v>72</v>
      </c>
      <c r="X61" s="95" t="s">
        <v>72</v>
      </c>
      <c r="Y61" s="95" t="s">
        <v>72</v>
      </c>
      <c r="Z61" s="95" t="s">
        <v>72</v>
      </c>
      <c r="AA61" s="95" t="s">
        <v>71</v>
      </c>
      <c r="AB61" s="95" t="s">
        <v>72</v>
      </c>
      <c r="AC61" s="95" t="s">
        <v>71</v>
      </c>
      <c r="AD61" s="95" t="s">
        <v>71</v>
      </c>
      <c r="AE61" s="95" t="s">
        <v>72</v>
      </c>
      <c r="AF61" s="95" t="s">
        <v>72</v>
      </c>
      <c r="AG61" s="95" t="s">
        <v>72</v>
      </c>
      <c r="AH61" s="95" t="s">
        <v>72</v>
      </c>
      <c r="AI61" s="95" t="s">
        <v>72</v>
      </c>
      <c r="AK61" s="95" t="s">
        <v>71</v>
      </c>
    </row>
    <row r="62" spans="1:37" x14ac:dyDescent="0.2">
      <c r="A62" s="95" t="s">
        <v>76</v>
      </c>
      <c r="B62" s="95" t="s">
        <v>87</v>
      </c>
      <c r="C62" s="95" t="s">
        <v>93</v>
      </c>
      <c r="D62" s="95" t="s">
        <v>68</v>
      </c>
      <c r="E62" s="95" t="s">
        <v>94</v>
      </c>
      <c r="F62" s="95">
        <v>10.875</v>
      </c>
      <c r="G62" s="95">
        <v>38</v>
      </c>
      <c r="I62" s="95">
        <v>0.82</v>
      </c>
      <c r="J62" s="95">
        <v>1.2999999999999999E-2</v>
      </c>
      <c r="K62" s="95">
        <v>0.41</v>
      </c>
      <c r="L62" s="95">
        <v>1.93</v>
      </c>
      <c r="O62" s="95">
        <v>999</v>
      </c>
      <c r="P62" s="95">
        <v>2023</v>
      </c>
      <c r="R62" s="95" t="s">
        <v>87</v>
      </c>
      <c r="S62" s="95" t="s">
        <v>70</v>
      </c>
      <c r="U62" s="95" t="s">
        <v>72</v>
      </c>
      <c r="V62" s="95" t="s">
        <v>72</v>
      </c>
      <c r="W62" s="95" t="s">
        <v>72</v>
      </c>
      <c r="X62" s="95" t="s">
        <v>72</v>
      </c>
      <c r="Y62" s="95" t="s">
        <v>72</v>
      </c>
      <c r="Z62" s="95" t="s">
        <v>72</v>
      </c>
      <c r="AA62" s="95" t="s">
        <v>71</v>
      </c>
      <c r="AB62" s="95" t="s">
        <v>72</v>
      </c>
      <c r="AC62" s="95" t="s">
        <v>71</v>
      </c>
      <c r="AD62" s="95" t="s">
        <v>71</v>
      </c>
      <c r="AE62" s="95" t="s">
        <v>72</v>
      </c>
      <c r="AF62" s="95" t="s">
        <v>72</v>
      </c>
      <c r="AG62" s="95" t="s">
        <v>72</v>
      </c>
      <c r="AH62" s="95" t="s">
        <v>72</v>
      </c>
      <c r="AI62" s="95" t="s">
        <v>72</v>
      </c>
      <c r="AK62" s="95" t="s">
        <v>71</v>
      </c>
    </row>
    <row r="63" spans="1:37" x14ac:dyDescent="0.2">
      <c r="A63" s="95" t="s">
        <v>76</v>
      </c>
      <c r="B63" s="95" t="s">
        <v>87</v>
      </c>
      <c r="C63" s="95" t="s">
        <v>67</v>
      </c>
      <c r="D63" s="95" t="s">
        <v>68</v>
      </c>
      <c r="E63" s="95" t="s">
        <v>94</v>
      </c>
      <c r="F63" s="95">
        <v>5.5</v>
      </c>
      <c r="G63" s="95">
        <v>11</v>
      </c>
      <c r="I63" s="95">
        <v>0.25</v>
      </c>
      <c r="J63" s="95">
        <v>6.0000000000000001E-3</v>
      </c>
      <c r="K63" s="95">
        <v>0.19</v>
      </c>
      <c r="L63" s="95">
        <v>0.76</v>
      </c>
      <c r="O63" s="95">
        <v>999</v>
      </c>
      <c r="P63" s="95">
        <v>2023</v>
      </c>
      <c r="R63" s="95" t="s">
        <v>87</v>
      </c>
      <c r="S63" s="95" t="s">
        <v>70</v>
      </c>
      <c r="U63" s="95" t="s">
        <v>72</v>
      </c>
      <c r="V63" s="95" t="s">
        <v>72</v>
      </c>
      <c r="W63" s="95" t="s">
        <v>72</v>
      </c>
      <c r="X63" s="95" t="s">
        <v>72</v>
      </c>
      <c r="Y63" s="95" t="s">
        <v>72</v>
      </c>
      <c r="Z63" s="95" t="s">
        <v>72</v>
      </c>
      <c r="AA63" s="95" t="s">
        <v>71</v>
      </c>
      <c r="AB63" s="95" t="s">
        <v>72</v>
      </c>
      <c r="AC63" s="95" t="s">
        <v>71</v>
      </c>
      <c r="AD63" s="95" t="s">
        <v>71</v>
      </c>
      <c r="AE63" s="95" t="s">
        <v>72</v>
      </c>
      <c r="AF63" s="95" t="s">
        <v>72</v>
      </c>
      <c r="AG63" s="95" t="s">
        <v>72</v>
      </c>
      <c r="AH63" s="95" t="s">
        <v>72</v>
      </c>
      <c r="AI63" s="95" t="s">
        <v>72</v>
      </c>
      <c r="AK63" s="95" t="s">
        <v>71</v>
      </c>
    </row>
    <row r="64" spans="1:37" x14ac:dyDescent="0.2">
      <c r="A64" s="95" t="s">
        <v>76</v>
      </c>
      <c r="B64" s="95" t="s">
        <v>87</v>
      </c>
      <c r="C64" s="95" t="s">
        <v>67</v>
      </c>
      <c r="D64" s="95" t="s">
        <v>68</v>
      </c>
      <c r="E64" s="95" t="s">
        <v>94</v>
      </c>
      <c r="F64" s="95">
        <v>6</v>
      </c>
      <c r="G64" s="95">
        <v>12</v>
      </c>
      <c r="I64" s="95">
        <v>0.35</v>
      </c>
      <c r="J64" s="95">
        <v>8.0000000000000002E-3</v>
      </c>
      <c r="K64" s="95">
        <v>0.24</v>
      </c>
      <c r="L64" s="95">
        <v>1</v>
      </c>
      <c r="O64" s="95">
        <v>999</v>
      </c>
      <c r="P64" s="95">
        <v>2023</v>
      </c>
      <c r="R64" s="95" t="s">
        <v>87</v>
      </c>
      <c r="S64" s="95" t="s">
        <v>70</v>
      </c>
      <c r="U64" s="95" t="s">
        <v>72</v>
      </c>
      <c r="V64" s="95" t="s">
        <v>72</v>
      </c>
      <c r="W64" s="95" t="s">
        <v>72</v>
      </c>
      <c r="X64" s="95" t="s">
        <v>72</v>
      </c>
      <c r="Y64" s="95" t="s">
        <v>72</v>
      </c>
      <c r="Z64" s="95" t="s">
        <v>72</v>
      </c>
      <c r="AA64" s="95" t="s">
        <v>71</v>
      </c>
      <c r="AB64" s="95" t="s">
        <v>72</v>
      </c>
      <c r="AC64" s="95" t="s">
        <v>71</v>
      </c>
      <c r="AD64" s="95" t="s">
        <v>71</v>
      </c>
      <c r="AE64" s="95" t="s">
        <v>72</v>
      </c>
      <c r="AF64" s="95" t="s">
        <v>72</v>
      </c>
      <c r="AG64" s="95" t="s">
        <v>72</v>
      </c>
      <c r="AH64" s="95" t="s">
        <v>72</v>
      </c>
      <c r="AI64" s="95" t="s">
        <v>72</v>
      </c>
      <c r="AK64" s="95" t="s">
        <v>71</v>
      </c>
    </row>
    <row r="65" spans="1:37" x14ac:dyDescent="0.2">
      <c r="A65" s="95" t="s">
        <v>76</v>
      </c>
      <c r="B65" s="95" t="s">
        <v>87</v>
      </c>
      <c r="C65" s="95" t="s">
        <v>67</v>
      </c>
      <c r="D65" s="95" t="s">
        <v>68</v>
      </c>
      <c r="E65" s="95" t="s">
        <v>94</v>
      </c>
      <c r="F65" s="95">
        <v>8.8000000000000007</v>
      </c>
      <c r="G65" s="95">
        <v>19</v>
      </c>
      <c r="I65" s="95">
        <v>0.44</v>
      </c>
      <c r="J65" s="95">
        <v>1.0999999999999999E-2</v>
      </c>
      <c r="K65" s="95">
        <v>0.33</v>
      </c>
      <c r="L65" s="95">
        <v>1.32</v>
      </c>
      <c r="O65" s="95">
        <v>999</v>
      </c>
      <c r="P65" s="95">
        <v>2023</v>
      </c>
      <c r="R65" s="95" t="s">
        <v>87</v>
      </c>
      <c r="S65" s="95" t="s">
        <v>70</v>
      </c>
      <c r="U65" s="95" t="s">
        <v>72</v>
      </c>
      <c r="V65" s="95" t="s">
        <v>72</v>
      </c>
      <c r="W65" s="95" t="s">
        <v>72</v>
      </c>
      <c r="X65" s="95" t="s">
        <v>72</v>
      </c>
      <c r="Y65" s="95" t="s">
        <v>72</v>
      </c>
      <c r="Z65" s="95" t="s">
        <v>72</v>
      </c>
      <c r="AA65" s="95" t="s">
        <v>71</v>
      </c>
      <c r="AB65" s="95" t="s">
        <v>72</v>
      </c>
      <c r="AC65" s="95" t="s">
        <v>71</v>
      </c>
      <c r="AD65" s="95" t="s">
        <v>71</v>
      </c>
      <c r="AE65" s="95" t="s">
        <v>72</v>
      </c>
      <c r="AF65" s="95" t="s">
        <v>72</v>
      </c>
      <c r="AG65" s="95" t="s">
        <v>72</v>
      </c>
      <c r="AH65" s="95" t="s">
        <v>72</v>
      </c>
      <c r="AI65" s="95" t="s">
        <v>72</v>
      </c>
      <c r="AK65" s="95" t="s">
        <v>71</v>
      </c>
    </row>
    <row r="66" spans="1:37" x14ac:dyDescent="0.2">
      <c r="A66" s="95" t="s">
        <v>76</v>
      </c>
      <c r="B66" s="95" t="s">
        <v>87</v>
      </c>
      <c r="C66" s="95" t="s">
        <v>67</v>
      </c>
      <c r="D66" s="95" t="s">
        <v>68</v>
      </c>
      <c r="E66" s="95" t="s">
        <v>94</v>
      </c>
      <c r="F66" s="95">
        <v>10</v>
      </c>
      <c r="G66" s="95">
        <v>22</v>
      </c>
      <c r="I66" s="95">
        <v>0.51</v>
      </c>
      <c r="J66" s="95">
        <v>1.2999999999999999E-2</v>
      </c>
      <c r="K66" s="95">
        <v>0.41</v>
      </c>
      <c r="L66" s="95">
        <v>1.59</v>
      </c>
      <c r="O66" s="95">
        <v>999</v>
      </c>
      <c r="P66" s="95">
        <v>2023</v>
      </c>
      <c r="R66" s="95" t="s">
        <v>87</v>
      </c>
      <c r="S66" s="95" t="s">
        <v>70</v>
      </c>
      <c r="U66" s="95" t="s">
        <v>72</v>
      </c>
      <c r="V66" s="95" t="s">
        <v>72</v>
      </c>
      <c r="W66" s="95" t="s">
        <v>72</v>
      </c>
      <c r="X66" s="95" t="s">
        <v>72</v>
      </c>
      <c r="Y66" s="95" t="s">
        <v>72</v>
      </c>
      <c r="Z66" s="95" t="s">
        <v>72</v>
      </c>
      <c r="AA66" s="95" t="s">
        <v>71</v>
      </c>
      <c r="AB66" s="95" t="s">
        <v>72</v>
      </c>
      <c r="AC66" s="95" t="s">
        <v>71</v>
      </c>
      <c r="AD66" s="95" t="s">
        <v>71</v>
      </c>
      <c r="AE66" s="95" t="s">
        <v>72</v>
      </c>
      <c r="AF66" s="95" t="s">
        <v>72</v>
      </c>
      <c r="AG66" s="95" t="s">
        <v>72</v>
      </c>
      <c r="AH66" s="95" t="s">
        <v>72</v>
      </c>
      <c r="AI66" s="95" t="s">
        <v>72</v>
      </c>
      <c r="AK66" s="95" t="s">
        <v>71</v>
      </c>
    </row>
    <row r="67" spans="1:37" x14ac:dyDescent="0.2">
      <c r="A67" s="95" t="s">
        <v>76</v>
      </c>
      <c r="B67" s="95" t="s">
        <v>87</v>
      </c>
      <c r="C67" s="95" t="s">
        <v>67</v>
      </c>
      <c r="D67" s="95" t="s">
        <v>68</v>
      </c>
      <c r="E67" s="95" t="s">
        <v>94</v>
      </c>
      <c r="F67" s="95">
        <v>11.5</v>
      </c>
      <c r="G67" s="95">
        <v>26</v>
      </c>
      <c r="I67" s="95">
        <v>0.6</v>
      </c>
      <c r="J67" s="95">
        <v>1.6E-2</v>
      </c>
      <c r="K67" s="95">
        <v>0.49</v>
      </c>
      <c r="L67" s="95">
        <v>1.89</v>
      </c>
      <c r="O67" s="95">
        <v>999</v>
      </c>
      <c r="P67" s="95">
        <v>2023</v>
      </c>
      <c r="R67" s="95" t="s">
        <v>87</v>
      </c>
      <c r="S67" s="95" t="s">
        <v>70</v>
      </c>
      <c r="U67" s="95" t="s">
        <v>72</v>
      </c>
      <c r="V67" s="95" t="s">
        <v>72</v>
      </c>
      <c r="W67" s="95" t="s">
        <v>72</v>
      </c>
      <c r="X67" s="95" t="s">
        <v>72</v>
      </c>
      <c r="Y67" s="95" t="s">
        <v>72</v>
      </c>
      <c r="Z67" s="95" t="s">
        <v>72</v>
      </c>
      <c r="AA67" s="95" t="s">
        <v>71</v>
      </c>
      <c r="AB67" s="95" t="s">
        <v>72</v>
      </c>
      <c r="AC67" s="95" t="s">
        <v>71</v>
      </c>
      <c r="AD67" s="95" t="s">
        <v>71</v>
      </c>
      <c r="AE67" s="95" t="s">
        <v>72</v>
      </c>
      <c r="AF67" s="95" t="s">
        <v>72</v>
      </c>
      <c r="AG67" s="95" t="s">
        <v>72</v>
      </c>
      <c r="AH67" s="95" t="s">
        <v>72</v>
      </c>
      <c r="AI67" s="95" t="s">
        <v>72</v>
      </c>
      <c r="AK67" s="95" t="s">
        <v>71</v>
      </c>
    </row>
    <row r="68" spans="1:37" x14ac:dyDescent="0.2">
      <c r="A68" s="95" t="s">
        <v>76</v>
      </c>
      <c r="B68" s="95" t="s">
        <v>87</v>
      </c>
      <c r="C68" s="95" t="s">
        <v>67</v>
      </c>
      <c r="D68" s="95" t="s">
        <v>68</v>
      </c>
      <c r="E68" s="95" t="s">
        <v>94</v>
      </c>
      <c r="F68" s="95">
        <v>13</v>
      </c>
      <c r="G68" s="95">
        <v>30</v>
      </c>
      <c r="I68" s="95">
        <v>0.7</v>
      </c>
      <c r="J68" s="95">
        <v>1.7000000000000001E-2</v>
      </c>
      <c r="K68" s="95">
        <v>0.52</v>
      </c>
      <c r="L68" s="95">
        <v>2.1</v>
      </c>
      <c r="O68" s="95">
        <v>999</v>
      </c>
      <c r="P68" s="95">
        <v>2023</v>
      </c>
      <c r="R68" s="95" t="s">
        <v>87</v>
      </c>
      <c r="S68" s="95" t="s">
        <v>70</v>
      </c>
      <c r="U68" s="95" t="s">
        <v>72</v>
      </c>
      <c r="V68" s="95" t="s">
        <v>72</v>
      </c>
      <c r="W68" s="95" t="s">
        <v>72</v>
      </c>
      <c r="X68" s="95" t="s">
        <v>72</v>
      </c>
      <c r="Y68" s="95" t="s">
        <v>72</v>
      </c>
      <c r="Z68" s="95" t="s">
        <v>72</v>
      </c>
      <c r="AA68" s="95" t="s">
        <v>71</v>
      </c>
      <c r="AB68" s="95" t="s">
        <v>72</v>
      </c>
      <c r="AC68" s="95" t="s">
        <v>71</v>
      </c>
      <c r="AD68" s="95" t="s">
        <v>71</v>
      </c>
      <c r="AE68" s="95" t="s">
        <v>72</v>
      </c>
      <c r="AF68" s="95" t="s">
        <v>72</v>
      </c>
      <c r="AG68" s="95" t="s">
        <v>72</v>
      </c>
      <c r="AH68" s="95" t="s">
        <v>72</v>
      </c>
      <c r="AI68" s="95" t="s">
        <v>72</v>
      </c>
      <c r="AK68" s="95" t="s">
        <v>71</v>
      </c>
    </row>
    <row r="69" spans="1:37" x14ac:dyDescent="0.2">
      <c r="A69" s="95" t="s">
        <v>76</v>
      </c>
      <c r="B69" s="95" t="s">
        <v>87</v>
      </c>
      <c r="C69" s="95" t="s">
        <v>67</v>
      </c>
      <c r="D69" s="95" t="s">
        <v>68</v>
      </c>
      <c r="E69" s="95" t="s">
        <v>94</v>
      </c>
      <c r="F69" s="95">
        <v>16</v>
      </c>
      <c r="G69" s="95">
        <v>38</v>
      </c>
      <c r="I69" s="95">
        <v>0.9</v>
      </c>
      <c r="J69" s="95">
        <v>2.1000000000000001E-2</v>
      </c>
      <c r="K69" s="95">
        <v>0.64</v>
      </c>
      <c r="L69" s="95">
        <v>2.6</v>
      </c>
      <c r="O69" s="95">
        <v>999</v>
      </c>
      <c r="P69" s="95">
        <v>2023</v>
      </c>
      <c r="R69" s="95" t="s">
        <v>87</v>
      </c>
      <c r="S69" s="95" t="s">
        <v>70</v>
      </c>
      <c r="U69" s="95" t="s">
        <v>72</v>
      </c>
      <c r="V69" s="95" t="s">
        <v>72</v>
      </c>
      <c r="W69" s="95" t="s">
        <v>72</v>
      </c>
      <c r="X69" s="95" t="s">
        <v>72</v>
      </c>
      <c r="Y69" s="95" t="s">
        <v>72</v>
      </c>
      <c r="Z69" s="95" t="s">
        <v>72</v>
      </c>
      <c r="AA69" s="95" t="s">
        <v>71</v>
      </c>
      <c r="AB69" s="95" t="s">
        <v>72</v>
      </c>
      <c r="AC69" s="95" t="s">
        <v>71</v>
      </c>
      <c r="AD69" s="95" t="s">
        <v>71</v>
      </c>
      <c r="AE69" s="95" t="s">
        <v>72</v>
      </c>
      <c r="AF69" s="95" t="s">
        <v>72</v>
      </c>
      <c r="AG69" s="95" t="s">
        <v>72</v>
      </c>
      <c r="AH69" s="95" t="s">
        <v>72</v>
      </c>
      <c r="AI69" s="95" t="s">
        <v>72</v>
      </c>
      <c r="AK69" s="95" t="s">
        <v>71</v>
      </c>
    </row>
    <row r="70" spans="1:37" x14ac:dyDescent="0.2">
      <c r="A70" s="95" t="s">
        <v>76</v>
      </c>
      <c r="B70" s="95" t="s">
        <v>87</v>
      </c>
      <c r="C70" s="95" t="s">
        <v>67</v>
      </c>
      <c r="D70" s="95" t="s">
        <v>68</v>
      </c>
      <c r="E70" s="95" t="s">
        <v>94</v>
      </c>
      <c r="F70" s="95">
        <v>20</v>
      </c>
      <c r="G70" s="95">
        <v>49</v>
      </c>
      <c r="I70" s="95">
        <v>1.18</v>
      </c>
      <c r="J70" s="95">
        <v>2.5999999999999999E-2</v>
      </c>
      <c r="K70" s="95">
        <v>0.79</v>
      </c>
      <c r="L70" s="95">
        <v>3.31</v>
      </c>
      <c r="O70" s="95">
        <v>999</v>
      </c>
      <c r="P70" s="95">
        <v>2023</v>
      </c>
      <c r="R70" s="95" t="s">
        <v>87</v>
      </c>
      <c r="S70" s="95" t="s">
        <v>70</v>
      </c>
      <c r="U70" s="95" t="s">
        <v>72</v>
      </c>
      <c r="V70" s="95" t="s">
        <v>72</v>
      </c>
      <c r="W70" s="95" t="s">
        <v>72</v>
      </c>
      <c r="X70" s="95" t="s">
        <v>72</v>
      </c>
      <c r="Y70" s="95" t="s">
        <v>72</v>
      </c>
      <c r="Z70" s="95" t="s">
        <v>72</v>
      </c>
      <c r="AA70" s="95" t="s">
        <v>71</v>
      </c>
      <c r="AB70" s="95" t="s">
        <v>72</v>
      </c>
      <c r="AC70" s="95" t="s">
        <v>71</v>
      </c>
      <c r="AD70" s="95" t="s">
        <v>71</v>
      </c>
      <c r="AE70" s="95" t="s">
        <v>72</v>
      </c>
      <c r="AF70" s="95" t="s">
        <v>72</v>
      </c>
      <c r="AG70" s="95" t="s">
        <v>72</v>
      </c>
      <c r="AH70" s="95" t="s">
        <v>72</v>
      </c>
      <c r="AI70" s="95" t="s">
        <v>72</v>
      </c>
      <c r="AK70" s="95" t="s">
        <v>71</v>
      </c>
    </row>
    <row r="71" spans="1:37" x14ac:dyDescent="0.2">
      <c r="A71" s="95" t="s">
        <v>76</v>
      </c>
      <c r="B71" s="95" t="s">
        <v>66</v>
      </c>
      <c r="C71" s="95" t="s">
        <v>93</v>
      </c>
      <c r="D71" s="95" t="s">
        <v>68</v>
      </c>
      <c r="E71" s="95" t="s">
        <v>94</v>
      </c>
      <c r="F71" s="95">
        <v>4</v>
      </c>
      <c r="G71" s="95">
        <v>3.8</v>
      </c>
      <c r="I71" s="95">
        <v>0.17</v>
      </c>
      <c r="J71" s="95">
        <v>8.0000000000000002E-3</v>
      </c>
      <c r="K71" s="95">
        <v>0.31</v>
      </c>
      <c r="L71" s="95">
        <v>0.69</v>
      </c>
      <c r="O71" s="95">
        <v>999</v>
      </c>
      <c r="P71" s="95">
        <v>2023</v>
      </c>
      <c r="R71" s="95" t="s">
        <v>92</v>
      </c>
      <c r="S71" s="95" t="s">
        <v>70</v>
      </c>
      <c r="U71" s="95" t="s">
        <v>71</v>
      </c>
      <c r="V71" s="95" t="s">
        <v>71</v>
      </c>
      <c r="W71" s="95" t="s">
        <v>71</v>
      </c>
      <c r="X71" s="95" t="s">
        <v>72</v>
      </c>
      <c r="Y71" s="95" t="s">
        <v>72</v>
      </c>
      <c r="Z71" s="95" t="s">
        <v>71</v>
      </c>
      <c r="AA71" s="95" t="s">
        <v>71</v>
      </c>
      <c r="AB71" s="95" t="s">
        <v>72</v>
      </c>
      <c r="AC71" s="95" t="s">
        <v>71</v>
      </c>
      <c r="AD71" s="95" t="s">
        <v>71</v>
      </c>
      <c r="AE71" s="95" t="s">
        <v>72</v>
      </c>
      <c r="AF71" s="95" t="s">
        <v>72</v>
      </c>
      <c r="AG71" s="95" t="s">
        <v>72</v>
      </c>
      <c r="AH71" s="95" t="s">
        <v>72</v>
      </c>
      <c r="AI71" s="95" t="s">
        <v>72</v>
      </c>
      <c r="AK71" s="95" t="s">
        <v>71</v>
      </c>
    </row>
    <row r="72" spans="1:37" x14ac:dyDescent="0.2">
      <c r="A72" s="95" t="s">
        <v>76</v>
      </c>
      <c r="B72" s="95" t="s">
        <v>66</v>
      </c>
      <c r="C72" s="95" t="s">
        <v>93</v>
      </c>
      <c r="D72" s="95" t="s">
        <v>68</v>
      </c>
      <c r="E72" s="95" t="s">
        <v>94</v>
      </c>
      <c r="F72" s="95">
        <v>6</v>
      </c>
      <c r="G72" s="95">
        <v>3.8</v>
      </c>
      <c r="I72" s="95">
        <v>0.28999999999999998</v>
      </c>
      <c r="J72" s="95">
        <v>0.01</v>
      </c>
      <c r="K72" s="95">
        <v>0.39</v>
      </c>
      <c r="L72" s="95">
        <v>0.95</v>
      </c>
      <c r="O72" s="95">
        <v>999</v>
      </c>
      <c r="P72" s="95">
        <v>2023</v>
      </c>
      <c r="R72" s="95" t="s">
        <v>92</v>
      </c>
      <c r="S72" s="95" t="s">
        <v>70</v>
      </c>
      <c r="U72" s="95" t="s">
        <v>71</v>
      </c>
      <c r="V72" s="95" t="s">
        <v>71</v>
      </c>
      <c r="W72" s="95" t="s">
        <v>71</v>
      </c>
      <c r="X72" s="95" t="s">
        <v>72</v>
      </c>
      <c r="Y72" s="95" t="s">
        <v>72</v>
      </c>
      <c r="Z72" s="95" t="s">
        <v>71</v>
      </c>
      <c r="AA72" s="95" t="s">
        <v>71</v>
      </c>
      <c r="AB72" s="95" t="s">
        <v>72</v>
      </c>
      <c r="AC72" s="95" t="s">
        <v>71</v>
      </c>
      <c r="AD72" s="95" t="s">
        <v>71</v>
      </c>
      <c r="AE72" s="95" t="s">
        <v>72</v>
      </c>
      <c r="AF72" s="95" t="s">
        <v>72</v>
      </c>
      <c r="AG72" s="95" t="s">
        <v>72</v>
      </c>
      <c r="AH72" s="95" t="s">
        <v>72</v>
      </c>
      <c r="AI72" s="95" t="s">
        <v>72</v>
      </c>
      <c r="AK72" s="95" t="s">
        <v>71</v>
      </c>
    </row>
    <row r="73" spans="1:37" x14ac:dyDescent="0.2">
      <c r="A73" s="95" t="s">
        <v>76</v>
      </c>
      <c r="B73" s="95" t="s">
        <v>66</v>
      </c>
      <c r="C73" s="95" t="s">
        <v>67</v>
      </c>
      <c r="D73" s="95" t="s">
        <v>68</v>
      </c>
      <c r="E73" s="95" t="s">
        <v>94</v>
      </c>
      <c r="F73" s="95">
        <v>4</v>
      </c>
      <c r="G73" s="95">
        <v>4</v>
      </c>
      <c r="I73" s="95">
        <v>0.25</v>
      </c>
      <c r="J73" s="95">
        <v>1.2999999999999999E-2</v>
      </c>
      <c r="K73" s="95">
        <v>0.52</v>
      </c>
      <c r="L73" s="95">
        <v>1.1100000000000001</v>
      </c>
      <c r="O73" s="95">
        <v>999</v>
      </c>
      <c r="P73" s="95">
        <v>2023</v>
      </c>
      <c r="R73" s="95" t="s">
        <v>92</v>
      </c>
      <c r="S73" s="95" t="s">
        <v>70</v>
      </c>
      <c r="U73" s="95" t="s">
        <v>71</v>
      </c>
      <c r="V73" s="95" t="s">
        <v>71</v>
      </c>
      <c r="W73" s="95" t="s">
        <v>71</v>
      </c>
      <c r="X73" s="95" t="s">
        <v>72</v>
      </c>
      <c r="Y73" s="95" t="s">
        <v>72</v>
      </c>
      <c r="Z73" s="95" t="s">
        <v>71</v>
      </c>
      <c r="AA73" s="95" t="s">
        <v>71</v>
      </c>
      <c r="AB73" s="95" t="s">
        <v>72</v>
      </c>
      <c r="AC73" s="95" t="s">
        <v>71</v>
      </c>
      <c r="AD73" s="95" t="s">
        <v>71</v>
      </c>
      <c r="AE73" s="95" t="s">
        <v>72</v>
      </c>
      <c r="AF73" s="95" t="s">
        <v>72</v>
      </c>
      <c r="AG73" s="95" t="s">
        <v>72</v>
      </c>
      <c r="AH73" s="95" t="s">
        <v>72</v>
      </c>
      <c r="AI73" s="95" t="s">
        <v>72</v>
      </c>
      <c r="AK73" s="95" t="s">
        <v>71</v>
      </c>
    </row>
    <row r="74" spans="1:37" x14ac:dyDescent="0.2">
      <c r="A74" s="95" t="s">
        <v>76</v>
      </c>
      <c r="B74" s="95" t="s">
        <v>66</v>
      </c>
      <c r="C74" s="95" t="s">
        <v>67</v>
      </c>
      <c r="D74" s="95" t="s">
        <v>68</v>
      </c>
      <c r="E74" s="95" t="s">
        <v>94</v>
      </c>
      <c r="F74" s="95">
        <v>6</v>
      </c>
      <c r="G74" s="95">
        <v>4</v>
      </c>
      <c r="I74" s="95">
        <v>0.35</v>
      </c>
      <c r="J74" s="95">
        <v>0.02</v>
      </c>
      <c r="K74" s="95">
        <v>0.77</v>
      </c>
      <c r="L74" s="95">
        <v>1.64</v>
      </c>
      <c r="O74" s="95">
        <v>999</v>
      </c>
      <c r="P74" s="95">
        <v>2023</v>
      </c>
      <c r="R74" s="95" t="s">
        <v>92</v>
      </c>
      <c r="S74" s="95" t="s">
        <v>70</v>
      </c>
      <c r="U74" s="95" t="s">
        <v>71</v>
      </c>
      <c r="V74" s="95" t="s">
        <v>71</v>
      </c>
      <c r="W74" s="95" t="s">
        <v>71</v>
      </c>
      <c r="X74" s="95" t="s">
        <v>72</v>
      </c>
      <c r="Y74" s="95" t="s">
        <v>72</v>
      </c>
      <c r="Z74" s="95" t="s">
        <v>71</v>
      </c>
      <c r="AA74" s="95" t="s">
        <v>71</v>
      </c>
      <c r="AB74" s="95" t="s">
        <v>72</v>
      </c>
      <c r="AC74" s="95" t="s">
        <v>71</v>
      </c>
      <c r="AD74" s="95" t="s">
        <v>71</v>
      </c>
      <c r="AE74" s="95" t="s">
        <v>72</v>
      </c>
      <c r="AF74" s="95" t="s">
        <v>72</v>
      </c>
      <c r="AG74" s="95" t="s">
        <v>72</v>
      </c>
      <c r="AH74" s="95" t="s">
        <v>72</v>
      </c>
      <c r="AI74" s="95" t="s">
        <v>72</v>
      </c>
      <c r="AK74" s="95" t="s">
        <v>71</v>
      </c>
    </row>
    <row r="75" spans="1:37" x14ac:dyDescent="0.2">
      <c r="A75" s="95" t="s">
        <v>76</v>
      </c>
      <c r="B75" s="95" t="s">
        <v>66</v>
      </c>
      <c r="C75" s="95" t="s">
        <v>91</v>
      </c>
      <c r="D75" s="95" t="s">
        <v>68</v>
      </c>
      <c r="E75" s="95" t="s">
        <v>94</v>
      </c>
      <c r="F75" s="95">
        <v>4</v>
      </c>
      <c r="G75" s="95">
        <v>3</v>
      </c>
      <c r="I75" s="95">
        <v>0.3</v>
      </c>
      <c r="J75" s="95">
        <v>1.2999999999999999E-2</v>
      </c>
      <c r="K75" s="95">
        <v>0.52</v>
      </c>
      <c r="L75" s="95">
        <v>1.17</v>
      </c>
      <c r="O75" s="95">
        <v>999</v>
      </c>
      <c r="P75" s="95">
        <v>2023</v>
      </c>
      <c r="R75" s="95" t="s">
        <v>92</v>
      </c>
      <c r="S75" s="95" t="s">
        <v>70</v>
      </c>
      <c r="U75" s="95" t="s">
        <v>71</v>
      </c>
      <c r="V75" s="95" t="s">
        <v>71</v>
      </c>
      <c r="W75" s="95" t="s">
        <v>71</v>
      </c>
      <c r="X75" s="95" t="s">
        <v>72</v>
      </c>
      <c r="Y75" s="95" t="s">
        <v>72</v>
      </c>
      <c r="Z75" s="95" t="s">
        <v>71</v>
      </c>
      <c r="AA75" s="95" t="s">
        <v>71</v>
      </c>
      <c r="AB75" s="95" t="s">
        <v>72</v>
      </c>
      <c r="AC75" s="95" t="s">
        <v>71</v>
      </c>
      <c r="AD75" s="95" t="s">
        <v>71</v>
      </c>
      <c r="AE75" s="95" t="s">
        <v>72</v>
      </c>
      <c r="AF75" s="95" t="s">
        <v>72</v>
      </c>
      <c r="AG75" s="95" t="s">
        <v>72</v>
      </c>
      <c r="AH75" s="95" t="s">
        <v>72</v>
      </c>
      <c r="AI75" s="95" t="s">
        <v>72</v>
      </c>
      <c r="AK75" s="95" t="s">
        <v>71</v>
      </c>
    </row>
    <row r="76" spans="1:37" x14ac:dyDescent="0.2">
      <c r="A76" s="95" t="s">
        <v>76</v>
      </c>
      <c r="B76" s="95" t="s">
        <v>66</v>
      </c>
      <c r="C76" s="95" t="s">
        <v>91</v>
      </c>
      <c r="D76" s="95" t="s">
        <v>68</v>
      </c>
      <c r="E76" s="95" t="s">
        <v>94</v>
      </c>
      <c r="F76" s="95">
        <v>6</v>
      </c>
      <c r="G76" s="95">
        <v>3</v>
      </c>
      <c r="I76" s="95">
        <v>0.45</v>
      </c>
      <c r="J76" s="95">
        <v>0.02</v>
      </c>
      <c r="K76" s="95">
        <v>0.77</v>
      </c>
      <c r="L76" s="95">
        <v>1.76</v>
      </c>
      <c r="O76" s="95">
        <v>999</v>
      </c>
      <c r="P76" s="95">
        <v>2023</v>
      </c>
      <c r="R76" s="95" t="s">
        <v>92</v>
      </c>
      <c r="S76" s="95" t="s">
        <v>70</v>
      </c>
      <c r="U76" s="95" t="s">
        <v>71</v>
      </c>
      <c r="V76" s="95" t="s">
        <v>71</v>
      </c>
      <c r="W76" s="95" t="s">
        <v>71</v>
      </c>
      <c r="X76" s="95" t="s">
        <v>72</v>
      </c>
      <c r="Y76" s="95" t="s">
        <v>72</v>
      </c>
      <c r="Z76" s="95" t="s">
        <v>71</v>
      </c>
      <c r="AA76" s="95" t="s">
        <v>71</v>
      </c>
      <c r="AB76" s="95" t="s">
        <v>72</v>
      </c>
      <c r="AC76" s="95" t="s">
        <v>71</v>
      </c>
      <c r="AD76" s="95" t="s">
        <v>71</v>
      </c>
      <c r="AE76" s="95" t="s">
        <v>72</v>
      </c>
      <c r="AF76" s="95" t="s">
        <v>72</v>
      </c>
      <c r="AG76" s="95" t="s">
        <v>72</v>
      </c>
      <c r="AH76" s="95" t="s">
        <v>72</v>
      </c>
      <c r="AI76" s="95" t="s">
        <v>72</v>
      </c>
      <c r="AK76" s="95" t="s">
        <v>71</v>
      </c>
    </row>
    <row r="77" spans="1:37" x14ac:dyDescent="0.2">
      <c r="A77" s="95" t="s">
        <v>76</v>
      </c>
      <c r="B77" s="95" t="s">
        <v>66</v>
      </c>
      <c r="C77" s="95" t="s">
        <v>95</v>
      </c>
      <c r="D77" s="95" t="s">
        <v>68</v>
      </c>
      <c r="E77" s="95" t="s">
        <v>94</v>
      </c>
      <c r="F77" s="95">
        <v>4</v>
      </c>
      <c r="G77" s="95">
        <v>4</v>
      </c>
      <c r="I77" s="95">
        <v>0.63</v>
      </c>
      <c r="J77" s="95">
        <v>1.2999999999999999E-2</v>
      </c>
      <c r="K77" s="95">
        <v>0.52</v>
      </c>
      <c r="L77" s="95">
        <v>1.54</v>
      </c>
      <c r="O77" s="95">
        <v>999</v>
      </c>
      <c r="P77" s="95">
        <v>2023</v>
      </c>
      <c r="R77" s="95" t="s">
        <v>92</v>
      </c>
      <c r="S77" s="95" t="s">
        <v>70</v>
      </c>
      <c r="U77" s="95" t="s">
        <v>71</v>
      </c>
      <c r="V77" s="95" t="s">
        <v>71</v>
      </c>
      <c r="W77" s="95" t="s">
        <v>71</v>
      </c>
      <c r="X77" s="95" t="s">
        <v>72</v>
      </c>
      <c r="Y77" s="95" t="s">
        <v>72</v>
      </c>
      <c r="Z77" s="95" t="s">
        <v>71</v>
      </c>
      <c r="AA77" s="95" t="s">
        <v>71</v>
      </c>
      <c r="AB77" s="95" t="s">
        <v>72</v>
      </c>
      <c r="AC77" s="95" t="s">
        <v>71</v>
      </c>
      <c r="AD77" s="95" t="s">
        <v>71</v>
      </c>
      <c r="AE77" s="95" t="s">
        <v>72</v>
      </c>
      <c r="AF77" s="95" t="s">
        <v>72</v>
      </c>
      <c r="AG77" s="95" t="s">
        <v>72</v>
      </c>
      <c r="AH77" s="95" t="s">
        <v>72</v>
      </c>
      <c r="AI77" s="95" t="s">
        <v>72</v>
      </c>
      <c r="AK77" s="95" t="s">
        <v>71</v>
      </c>
    </row>
    <row r="78" spans="1:37" x14ac:dyDescent="0.2">
      <c r="A78" s="95" t="s">
        <v>76</v>
      </c>
      <c r="B78" s="95" t="s">
        <v>66</v>
      </c>
      <c r="C78" s="95" t="s">
        <v>95</v>
      </c>
      <c r="D78" s="95" t="s">
        <v>68</v>
      </c>
      <c r="E78" s="95" t="s">
        <v>94</v>
      </c>
      <c r="F78" s="95">
        <v>6</v>
      </c>
      <c r="G78" s="95">
        <v>4</v>
      </c>
      <c r="I78" s="95">
        <v>0.96</v>
      </c>
      <c r="J78" s="95">
        <v>0.02</v>
      </c>
      <c r="K78" s="95">
        <v>0.77</v>
      </c>
      <c r="L78" s="95">
        <v>1.54</v>
      </c>
      <c r="O78" s="95">
        <v>999</v>
      </c>
      <c r="P78" s="95">
        <v>2023</v>
      </c>
      <c r="R78" s="95" t="s">
        <v>92</v>
      </c>
      <c r="S78" s="95" t="s">
        <v>70</v>
      </c>
      <c r="U78" s="95" t="s">
        <v>71</v>
      </c>
      <c r="V78" s="95" t="s">
        <v>71</v>
      </c>
      <c r="W78" s="95" t="s">
        <v>71</v>
      </c>
      <c r="X78" s="95" t="s">
        <v>72</v>
      </c>
      <c r="Y78" s="95" t="s">
        <v>72</v>
      </c>
      <c r="Z78" s="95" t="s">
        <v>71</v>
      </c>
      <c r="AA78" s="95" t="s">
        <v>71</v>
      </c>
      <c r="AB78" s="95" t="s">
        <v>72</v>
      </c>
      <c r="AC78" s="95" t="s">
        <v>71</v>
      </c>
      <c r="AD78" s="95" t="s">
        <v>71</v>
      </c>
      <c r="AE78" s="95" t="s">
        <v>72</v>
      </c>
      <c r="AF78" s="95" t="s">
        <v>72</v>
      </c>
      <c r="AG78" s="95" t="s">
        <v>72</v>
      </c>
      <c r="AH78" s="95" t="s">
        <v>72</v>
      </c>
      <c r="AI78" s="95" t="s">
        <v>72</v>
      </c>
      <c r="AK78" s="95" t="s">
        <v>71</v>
      </c>
    </row>
    <row r="79" spans="1:37" x14ac:dyDescent="0.2">
      <c r="A79" s="95" t="s">
        <v>76</v>
      </c>
      <c r="B79" s="95" t="s">
        <v>66</v>
      </c>
      <c r="C79" s="95" t="s">
        <v>96</v>
      </c>
      <c r="D79" s="95" t="s">
        <v>68</v>
      </c>
      <c r="E79" s="95" t="s">
        <v>94</v>
      </c>
      <c r="F79" s="95">
        <v>4</v>
      </c>
      <c r="G79" s="95">
        <v>2.78</v>
      </c>
      <c r="I79" s="95">
        <v>1.05</v>
      </c>
      <c r="J79" s="95">
        <v>8.0000000000000002E-3</v>
      </c>
      <c r="K79" s="95">
        <v>0.31</v>
      </c>
      <c r="L79" s="95">
        <v>1.65</v>
      </c>
      <c r="O79" s="95">
        <v>999</v>
      </c>
      <c r="P79" s="95">
        <v>2023</v>
      </c>
      <c r="R79" s="95" t="s">
        <v>92</v>
      </c>
      <c r="S79" s="95" t="s">
        <v>70</v>
      </c>
      <c r="U79" s="95" t="s">
        <v>71</v>
      </c>
      <c r="V79" s="95" t="s">
        <v>71</v>
      </c>
      <c r="W79" s="95" t="s">
        <v>71</v>
      </c>
      <c r="X79" s="95" t="s">
        <v>72</v>
      </c>
      <c r="Y79" s="95" t="s">
        <v>72</v>
      </c>
      <c r="Z79" s="95" t="s">
        <v>71</v>
      </c>
      <c r="AA79" s="95" t="s">
        <v>71</v>
      </c>
      <c r="AB79" s="95" t="s">
        <v>72</v>
      </c>
      <c r="AC79" s="95" t="s">
        <v>71</v>
      </c>
      <c r="AD79" s="95" t="s">
        <v>71</v>
      </c>
      <c r="AE79" s="95" t="s">
        <v>72</v>
      </c>
      <c r="AF79" s="95" t="s">
        <v>72</v>
      </c>
      <c r="AG79" s="95" t="s">
        <v>72</v>
      </c>
      <c r="AH79" s="95" t="s">
        <v>72</v>
      </c>
      <c r="AI79" s="95" t="s">
        <v>72</v>
      </c>
      <c r="AK79" s="95" t="s">
        <v>71</v>
      </c>
    </row>
    <row r="80" spans="1:37" x14ac:dyDescent="0.2">
      <c r="A80" s="95" t="s">
        <v>76</v>
      </c>
      <c r="B80" s="95" t="s">
        <v>66</v>
      </c>
      <c r="C80" s="95" t="s">
        <v>96</v>
      </c>
      <c r="D80" s="95" t="s">
        <v>68</v>
      </c>
      <c r="E80" s="95" t="s">
        <v>94</v>
      </c>
      <c r="F80" s="95">
        <v>6</v>
      </c>
      <c r="G80" s="95">
        <v>2.78</v>
      </c>
      <c r="I80" s="95">
        <v>1.58</v>
      </c>
      <c r="J80" s="95">
        <v>0.01</v>
      </c>
      <c r="K80" s="95">
        <v>0.39</v>
      </c>
      <c r="L80" s="95">
        <v>2.36</v>
      </c>
      <c r="O80" s="95">
        <v>999</v>
      </c>
      <c r="P80" s="95">
        <v>2023</v>
      </c>
      <c r="R80" s="95" t="s">
        <v>92</v>
      </c>
      <c r="S80" s="95" t="s">
        <v>70</v>
      </c>
      <c r="U80" s="95" t="s">
        <v>71</v>
      </c>
      <c r="V80" s="95" t="s">
        <v>71</v>
      </c>
      <c r="W80" s="95" t="s">
        <v>71</v>
      </c>
      <c r="X80" s="95" t="s">
        <v>72</v>
      </c>
      <c r="Y80" s="95" t="s">
        <v>72</v>
      </c>
      <c r="Z80" s="95" t="s">
        <v>71</v>
      </c>
      <c r="AA80" s="95" t="s">
        <v>71</v>
      </c>
      <c r="AB80" s="95" t="s">
        <v>72</v>
      </c>
      <c r="AC80" s="95" t="s">
        <v>71</v>
      </c>
      <c r="AD80" s="95" t="s">
        <v>71</v>
      </c>
      <c r="AE80" s="95" t="s">
        <v>72</v>
      </c>
      <c r="AF80" s="95" t="s">
        <v>72</v>
      </c>
      <c r="AG80" s="95" t="s">
        <v>72</v>
      </c>
      <c r="AH80" s="95" t="s">
        <v>72</v>
      </c>
      <c r="AI80" s="95" t="s">
        <v>72</v>
      </c>
      <c r="AK80" s="95" t="s">
        <v>72</v>
      </c>
    </row>
    <row r="81" spans="1:37" x14ac:dyDescent="0.2">
      <c r="A81" s="95" t="s">
        <v>97</v>
      </c>
      <c r="B81" s="95" t="s">
        <v>66</v>
      </c>
      <c r="C81" s="95" t="s">
        <v>98</v>
      </c>
      <c r="D81" s="95" t="s">
        <v>68</v>
      </c>
      <c r="E81" s="95" t="s">
        <v>94</v>
      </c>
      <c r="F81" s="95">
        <v>1</v>
      </c>
      <c r="G81" s="95">
        <v>6.5</v>
      </c>
      <c r="I81" s="95">
        <v>0.86</v>
      </c>
      <c r="J81" s="95">
        <v>4.0000000000000001E-3</v>
      </c>
      <c r="K81" s="95">
        <v>0.12</v>
      </c>
      <c r="L81" s="95">
        <v>1.28</v>
      </c>
      <c r="O81" s="95">
        <v>999</v>
      </c>
      <c r="P81" s="95">
        <v>2023</v>
      </c>
      <c r="R81" s="95" t="s">
        <v>92</v>
      </c>
      <c r="S81" s="95" t="s">
        <v>70</v>
      </c>
      <c r="U81" s="95" t="s">
        <v>71</v>
      </c>
      <c r="V81" s="95" t="s">
        <v>71</v>
      </c>
      <c r="W81" s="95" t="s">
        <v>71</v>
      </c>
      <c r="X81" s="95" t="s">
        <v>72</v>
      </c>
      <c r="Y81" s="95" t="s">
        <v>71</v>
      </c>
      <c r="Z81" s="95" t="s">
        <v>71</v>
      </c>
      <c r="AA81" s="95" t="s">
        <v>71</v>
      </c>
      <c r="AB81" s="95" t="s">
        <v>71</v>
      </c>
      <c r="AC81" s="95" t="s">
        <v>71</v>
      </c>
      <c r="AD81" s="95" t="s">
        <v>71</v>
      </c>
      <c r="AE81" s="95" t="s">
        <v>71</v>
      </c>
      <c r="AF81" s="95" t="s">
        <v>71</v>
      </c>
      <c r="AG81" s="95" t="s">
        <v>72</v>
      </c>
      <c r="AH81" s="95" t="s">
        <v>72</v>
      </c>
      <c r="AI81" s="95" t="s">
        <v>72</v>
      </c>
      <c r="AJ81" s="95" t="s">
        <v>72</v>
      </c>
      <c r="AK81" s="95" t="s">
        <v>71</v>
      </c>
    </row>
    <row r="82" spans="1:37" x14ac:dyDescent="0.2">
      <c r="A82" s="95" t="s">
        <v>97</v>
      </c>
      <c r="B82" s="95" t="s">
        <v>66</v>
      </c>
      <c r="C82" s="95" t="s">
        <v>98</v>
      </c>
      <c r="D82" s="95" t="s">
        <v>68</v>
      </c>
      <c r="E82" s="95" t="s">
        <v>94</v>
      </c>
      <c r="F82" s="95">
        <v>2</v>
      </c>
      <c r="G82" s="95">
        <v>13</v>
      </c>
      <c r="I82" s="95">
        <v>1.73</v>
      </c>
      <c r="J82" s="95">
        <v>8.0000000000000002E-3</v>
      </c>
      <c r="K82" s="95">
        <v>0.24</v>
      </c>
      <c r="L82" s="95">
        <v>2.57</v>
      </c>
      <c r="O82" s="95">
        <v>999</v>
      </c>
      <c r="P82" s="95">
        <v>2023</v>
      </c>
      <c r="R82" s="95" t="s">
        <v>92</v>
      </c>
      <c r="S82" s="95" t="s">
        <v>70</v>
      </c>
      <c r="U82" s="95" t="s">
        <v>71</v>
      </c>
      <c r="V82" s="95" t="s">
        <v>71</v>
      </c>
      <c r="W82" s="95" t="s">
        <v>71</v>
      </c>
      <c r="X82" s="95" t="s">
        <v>72</v>
      </c>
      <c r="Y82" s="95" t="s">
        <v>71</v>
      </c>
      <c r="Z82" s="95" t="s">
        <v>71</v>
      </c>
      <c r="AA82" s="95" t="s">
        <v>71</v>
      </c>
      <c r="AB82" s="95" t="s">
        <v>71</v>
      </c>
      <c r="AC82" s="95" t="s">
        <v>71</v>
      </c>
      <c r="AD82" s="95" t="s">
        <v>71</v>
      </c>
      <c r="AE82" s="95" t="s">
        <v>71</v>
      </c>
      <c r="AF82" s="95" t="s">
        <v>71</v>
      </c>
      <c r="AG82" s="95" t="s">
        <v>72</v>
      </c>
      <c r="AH82" s="95" t="s">
        <v>72</v>
      </c>
      <c r="AI82" s="95" t="s">
        <v>72</v>
      </c>
      <c r="AJ82" s="95" t="s">
        <v>72</v>
      </c>
      <c r="AK82" s="95" t="s">
        <v>71</v>
      </c>
    </row>
    <row r="83" spans="1:37" x14ac:dyDescent="0.2">
      <c r="A83" s="95" t="s">
        <v>97</v>
      </c>
      <c r="B83" s="95" t="s">
        <v>66</v>
      </c>
      <c r="C83" s="95" t="s">
        <v>98</v>
      </c>
      <c r="D83" s="95" t="s">
        <v>68</v>
      </c>
      <c r="E83" s="95" t="s">
        <v>94</v>
      </c>
      <c r="F83" s="95">
        <v>3</v>
      </c>
      <c r="G83" s="95">
        <v>19.5</v>
      </c>
      <c r="I83" s="95">
        <v>2.59</v>
      </c>
      <c r="J83" s="95">
        <v>1.2E-2</v>
      </c>
      <c r="K83" s="95">
        <v>0.35</v>
      </c>
      <c r="L83" s="95">
        <v>3.85</v>
      </c>
      <c r="O83" s="95">
        <v>999</v>
      </c>
      <c r="P83" s="95">
        <v>2023</v>
      </c>
      <c r="R83" s="95" t="s">
        <v>92</v>
      </c>
      <c r="S83" s="95" t="s">
        <v>70</v>
      </c>
      <c r="U83" s="95" t="s">
        <v>71</v>
      </c>
      <c r="V83" s="95" t="s">
        <v>71</v>
      </c>
      <c r="W83" s="95" t="s">
        <v>71</v>
      </c>
      <c r="X83" s="95" t="s">
        <v>72</v>
      </c>
      <c r="Y83" s="95" t="s">
        <v>71</v>
      </c>
      <c r="Z83" s="95" t="s">
        <v>71</v>
      </c>
      <c r="AA83" s="95" t="s">
        <v>71</v>
      </c>
      <c r="AB83" s="95" t="s">
        <v>71</v>
      </c>
      <c r="AC83" s="95" t="s">
        <v>71</v>
      </c>
      <c r="AD83" s="95" t="s">
        <v>71</v>
      </c>
      <c r="AE83" s="95" t="s">
        <v>71</v>
      </c>
      <c r="AF83" s="95" t="s">
        <v>71</v>
      </c>
      <c r="AG83" s="95" t="s">
        <v>72</v>
      </c>
      <c r="AH83" s="95" t="s">
        <v>72</v>
      </c>
      <c r="AI83" s="95" t="s">
        <v>72</v>
      </c>
      <c r="AJ83" s="95" t="s">
        <v>72</v>
      </c>
      <c r="AK83" s="95" t="s">
        <v>71</v>
      </c>
    </row>
    <row r="84" spans="1:37" x14ac:dyDescent="0.2">
      <c r="A84" s="95" t="s">
        <v>97</v>
      </c>
      <c r="B84" s="95" t="s">
        <v>66</v>
      </c>
      <c r="C84" s="95" t="s">
        <v>98</v>
      </c>
      <c r="D84" s="95" t="s">
        <v>68</v>
      </c>
      <c r="E84" s="95" t="s">
        <v>94</v>
      </c>
      <c r="F84" s="95">
        <v>3.5</v>
      </c>
      <c r="G84" s="95">
        <v>22.75</v>
      </c>
      <c r="I84" s="95">
        <v>3.02</v>
      </c>
      <c r="J84" s="95">
        <v>1.4E-2</v>
      </c>
      <c r="K84" s="95">
        <v>0.41</v>
      </c>
      <c r="L84" s="95">
        <v>4.4800000000000004</v>
      </c>
      <c r="O84" s="95">
        <v>999</v>
      </c>
      <c r="P84" s="95">
        <v>2023</v>
      </c>
      <c r="R84" s="95" t="s">
        <v>92</v>
      </c>
      <c r="S84" s="95" t="s">
        <v>70</v>
      </c>
      <c r="U84" s="95" t="s">
        <v>71</v>
      </c>
      <c r="V84" s="95" t="s">
        <v>71</v>
      </c>
      <c r="W84" s="95" t="s">
        <v>71</v>
      </c>
      <c r="X84" s="95" t="s">
        <v>72</v>
      </c>
      <c r="Y84" s="95" t="s">
        <v>71</v>
      </c>
      <c r="Z84" s="95" t="s">
        <v>71</v>
      </c>
      <c r="AA84" s="95" t="s">
        <v>71</v>
      </c>
      <c r="AB84" s="95" t="s">
        <v>71</v>
      </c>
      <c r="AC84" s="95" t="s">
        <v>71</v>
      </c>
      <c r="AD84" s="95" t="s">
        <v>71</v>
      </c>
      <c r="AE84" s="95" t="s">
        <v>71</v>
      </c>
      <c r="AF84" s="95" t="s">
        <v>71</v>
      </c>
      <c r="AG84" s="95" t="s">
        <v>72</v>
      </c>
      <c r="AH84" s="95" t="s">
        <v>72</v>
      </c>
      <c r="AI84" s="95" t="s">
        <v>72</v>
      </c>
      <c r="AJ84" s="95" t="s">
        <v>72</v>
      </c>
      <c r="AK84" s="95" t="s">
        <v>71</v>
      </c>
    </row>
    <row r="85" spans="1:37" x14ac:dyDescent="0.2">
      <c r="A85" s="95" t="s">
        <v>97</v>
      </c>
      <c r="B85" s="95" t="s">
        <v>66</v>
      </c>
      <c r="C85" s="95" t="s">
        <v>98</v>
      </c>
      <c r="D85" s="95" t="s">
        <v>68</v>
      </c>
      <c r="E85" s="95" t="s">
        <v>94</v>
      </c>
      <c r="F85" s="95">
        <v>4</v>
      </c>
      <c r="G85" s="95">
        <v>26</v>
      </c>
      <c r="I85" s="95">
        <v>3.45</v>
      </c>
      <c r="J85" s="95">
        <v>1.6E-2</v>
      </c>
      <c r="K85" s="95">
        <v>0.47</v>
      </c>
      <c r="L85" s="95">
        <v>5.13</v>
      </c>
      <c r="O85" s="95">
        <v>999</v>
      </c>
      <c r="P85" s="95">
        <v>2023</v>
      </c>
      <c r="R85" s="95" t="s">
        <v>92</v>
      </c>
      <c r="S85" s="95" t="s">
        <v>70</v>
      </c>
      <c r="U85" s="95" t="s">
        <v>71</v>
      </c>
      <c r="V85" s="95" t="s">
        <v>71</v>
      </c>
      <c r="W85" s="95" t="s">
        <v>71</v>
      </c>
      <c r="X85" s="95" t="s">
        <v>72</v>
      </c>
      <c r="Y85" s="95" t="s">
        <v>71</v>
      </c>
      <c r="Z85" s="95" t="s">
        <v>71</v>
      </c>
      <c r="AA85" s="95" t="s">
        <v>71</v>
      </c>
      <c r="AB85" s="95" t="s">
        <v>71</v>
      </c>
      <c r="AC85" s="95" t="s">
        <v>71</v>
      </c>
      <c r="AD85" s="95" t="s">
        <v>71</v>
      </c>
      <c r="AE85" s="95" t="s">
        <v>71</v>
      </c>
      <c r="AF85" s="95" t="s">
        <v>71</v>
      </c>
      <c r="AG85" s="95" t="s">
        <v>72</v>
      </c>
      <c r="AH85" s="95" t="s">
        <v>72</v>
      </c>
      <c r="AI85" s="95" t="s">
        <v>72</v>
      </c>
      <c r="AJ85" s="95" t="s">
        <v>72</v>
      </c>
      <c r="AK85" s="95" t="s">
        <v>71</v>
      </c>
    </row>
    <row r="86" spans="1:37" x14ac:dyDescent="0.2">
      <c r="A86" s="95" t="s">
        <v>97</v>
      </c>
      <c r="B86" s="95" t="s">
        <v>66</v>
      </c>
      <c r="C86" s="95" t="s">
        <v>98</v>
      </c>
      <c r="D86" s="95" t="s">
        <v>68</v>
      </c>
      <c r="E86" s="95" t="s">
        <v>94</v>
      </c>
      <c r="F86" s="95">
        <v>5</v>
      </c>
      <c r="G86" s="95">
        <v>32.5</v>
      </c>
      <c r="I86" s="95">
        <v>4.3099999999999996</v>
      </c>
      <c r="J86" s="95">
        <v>0.02</v>
      </c>
      <c r="K86" s="95">
        <v>0.59</v>
      </c>
      <c r="L86" s="95">
        <v>6.4</v>
      </c>
      <c r="O86" s="95">
        <v>999</v>
      </c>
      <c r="P86" s="95">
        <v>2023</v>
      </c>
      <c r="R86" s="95" t="s">
        <v>92</v>
      </c>
      <c r="S86" s="95" t="s">
        <v>70</v>
      </c>
      <c r="U86" s="95" t="s">
        <v>71</v>
      </c>
      <c r="V86" s="95" t="s">
        <v>71</v>
      </c>
      <c r="W86" s="95" t="s">
        <v>71</v>
      </c>
      <c r="X86" s="95" t="s">
        <v>72</v>
      </c>
      <c r="Y86" s="95" t="s">
        <v>71</v>
      </c>
      <c r="Z86" s="95" t="s">
        <v>71</v>
      </c>
      <c r="AA86" s="95" t="s">
        <v>71</v>
      </c>
      <c r="AB86" s="95" t="s">
        <v>71</v>
      </c>
      <c r="AC86" s="95" t="s">
        <v>71</v>
      </c>
      <c r="AD86" s="95" t="s">
        <v>71</v>
      </c>
      <c r="AE86" s="95" t="s">
        <v>71</v>
      </c>
      <c r="AF86" s="95" t="s">
        <v>71</v>
      </c>
      <c r="AG86" s="95" t="s">
        <v>72</v>
      </c>
      <c r="AH86" s="95" t="s">
        <v>72</v>
      </c>
      <c r="AI86" s="95" t="s">
        <v>72</v>
      </c>
      <c r="AJ86" s="95" t="s">
        <v>72</v>
      </c>
      <c r="AK86" s="95" t="s">
        <v>71</v>
      </c>
    </row>
    <row r="87" spans="1:37" x14ac:dyDescent="0.2">
      <c r="A87" s="95" t="s">
        <v>97</v>
      </c>
      <c r="B87" s="95" t="s">
        <v>66</v>
      </c>
      <c r="C87" s="95" t="s">
        <v>98</v>
      </c>
      <c r="D87" s="95" t="s">
        <v>68</v>
      </c>
      <c r="E87" s="95" t="s">
        <v>94</v>
      </c>
      <c r="F87" s="95">
        <v>5.5</v>
      </c>
      <c r="G87" s="95">
        <v>35.75</v>
      </c>
      <c r="I87" s="95">
        <v>4.74</v>
      </c>
      <c r="J87" s="95">
        <v>2.1999999999999999E-2</v>
      </c>
      <c r="K87" s="95">
        <v>0.65</v>
      </c>
      <c r="L87" s="95">
        <v>7.03</v>
      </c>
      <c r="O87" s="95">
        <v>999</v>
      </c>
      <c r="P87" s="95">
        <v>2023</v>
      </c>
      <c r="R87" s="95" t="s">
        <v>92</v>
      </c>
      <c r="S87" s="95" t="s">
        <v>70</v>
      </c>
      <c r="U87" s="95" t="s">
        <v>71</v>
      </c>
      <c r="V87" s="95" t="s">
        <v>71</v>
      </c>
      <c r="W87" s="95" t="s">
        <v>71</v>
      </c>
      <c r="X87" s="95" t="s">
        <v>72</v>
      </c>
      <c r="Y87" s="95" t="s">
        <v>71</v>
      </c>
      <c r="Z87" s="95" t="s">
        <v>71</v>
      </c>
      <c r="AA87" s="95" t="s">
        <v>71</v>
      </c>
      <c r="AB87" s="95" t="s">
        <v>71</v>
      </c>
      <c r="AC87" s="95" t="s">
        <v>71</v>
      </c>
      <c r="AD87" s="95" t="s">
        <v>71</v>
      </c>
      <c r="AE87" s="95" t="s">
        <v>71</v>
      </c>
      <c r="AF87" s="95" t="s">
        <v>71</v>
      </c>
      <c r="AG87" s="95" t="s">
        <v>72</v>
      </c>
      <c r="AH87" s="95" t="s">
        <v>72</v>
      </c>
      <c r="AI87" s="95" t="s">
        <v>72</v>
      </c>
      <c r="AJ87" s="95" t="s">
        <v>72</v>
      </c>
      <c r="AK87" s="95" t="s">
        <v>71</v>
      </c>
    </row>
    <row r="88" spans="1:37" x14ac:dyDescent="0.2">
      <c r="A88" s="95" t="s">
        <v>97</v>
      </c>
      <c r="B88" s="95" t="s">
        <v>66</v>
      </c>
      <c r="C88" s="95" t="s">
        <v>98</v>
      </c>
      <c r="D88" s="95" t="s">
        <v>68</v>
      </c>
      <c r="E88" s="95" t="s">
        <v>94</v>
      </c>
      <c r="F88" s="95">
        <v>6</v>
      </c>
      <c r="G88" s="95">
        <v>39</v>
      </c>
      <c r="I88" s="95">
        <v>5.2</v>
      </c>
      <c r="J88" s="95">
        <v>2.4E-2</v>
      </c>
      <c r="K88" s="95">
        <v>0.71</v>
      </c>
      <c r="L88" s="95">
        <v>7.69</v>
      </c>
      <c r="O88" s="95">
        <v>999</v>
      </c>
      <c r="P88" s="95">
        <v>2023</v>
      </c>
      <c r="R88" s="95" t="s">
        <v>92</v>
      </c>
      <c r="S88" s="95" t="s">
        <v>70</v>
      </c>
      <c r="U88" s="95" t="s">
        <v>71</v>
      </c>
      <c r="V88" s="95" t="s">
        <v>71</v>
      </c>
      <c r="W88" s="95" t="s">
        <v>71</v>
      </c>
      <c r="X88" s="95" t="s">
        <v>72</v>
      </c>
      <c r="Y88" s="95" t="s">
        <v>71</v>
      </c>
      <c r="Z88" s="95" t="s">
        <v>71</v>
      </c>
      <c r="AA88" s="95" t="s">
        <v>71</v>
      </c>
      <c r="AB88" s="95" t="s">
        <v>71</v>
      </c>
      <c r="AC88" s="95" t="s">
        <v>71</v>
      </c>
      <c r="AD88" s="95" t="s">
        <v>71</v>
      </c>
      <c r="AE88" s="95" t="s">
        <v>71</v>
      </c>
      <c r="AF88" s="95" t="s">
        <v>71</v>
      </c>
      <c r="AG88" s="95" t="s">
        <v>72</v>
      </c>
      <c r="AH88" s="95" t="s">
        <v>72</v>
      </c>
      <c r="AI88" s="95" t="s">
        <v>72</v>
      </c>
      <c r="AJ88" s="95" t="s">
        <v>72</v>
      </c>
      <c r="AK88" s="95" t="s">
        <v>71</v>
      </c>
    </row>
    <row r="89" spans="1:37" x14ac:dyDescent="0.2">
      <c r="A89" s="95" t="s">
        <v>73</v>
      </c>
      <c r="B89" s="95" t="s">
        <v>66</v>
      </c>
      <c r="C89" s="95" t="s">
        <v>67</v>
      </c>
      <c r="D89" s="95" t="s">
        <v>81</v>
      </c>
      <c r="G89" s="95">
        <v>15</v>
      </c>
      <c r="I89" s="95">
        <v>0.79</v>
      </c>
      <c r="P89" s="95">
        <v>2023</v>
      </c>
      <c r="S89" s="95" t="s">
        <v>99</v>
      </c>
      <c r="T89" s="95" t="s">
        <v>100</v>
      </c>
      <c r="U89" s="95" t="s">
        <v>71</v>
      </c>
      <c r="V89" s="95" t="s">
        <v>71</v>
      </c>
      <c r="W89" s="95" t="s">
        <v>72</v>
      </c>
      <c r="X89" s="95" t="s">
        <v>71</v>
      </c>
      <c r="Y89" s="95" t="s">
        <v>71</v>
      </c>
      <c r="Z89" s="95" t="s">
        <v>71</v>
      </c>
      <c r="AA89" s="95" t="s">
        <v>71</v>
      </c>
      <c r="AB89" s="95" t="s">
        <v>71</v>
      </c>
      <c r="AC89" s="95" t="s">
        <v>71</v>
      </c>
      <c r="AD89" s="95" t="s">
        <v>72</v>
      </c>
      <c r="AE89" s="95" t="s">
        <v>71</v>
      </c>
      <c r="AF89" s="95" t="s">
        <v>71</v>
      </c>
      <c r="AG89" s="95" t="s">
        <v>72</v>
      </c>
      <c r="AH89" s="95" t="s">
        <v>71</v>
      </c>
      <c r="AI89" s="95" t="s">
        <v>71</v>
      </c>
      <c r="AK89" s="95" t="s">
        <v>71</v>
      </c>
    </row>
    <row r="90" spans="1:37" x14ac:dyDescent="0.2">
      <c r="A90" s="95" t="s">
        <v>73</v>
      </c>
      <c r="B90" s="95" t="s">
        <v>66</v>
      </c>
      <c r="C90" s="95" t="s">
        <v>67</v>
      </c>
      <c r="D90" s="95" t="s">
        <v>81</v>
      </c>
      <c r="G90" s="95">
        <v>21</v>
      </c>
      <c r="I90" s="95">
        <v>0.87</v>
      </c>
      <c r="P90" s="95">
        <v>2023</v>
      </c>
      <c r="S90" s="95" t="s">
        <v>99</v>
      </c>
      <c r="T90" s="95" t="s">
        <v>101</v>
      </c>
      <c r="U90" s="95" t="s">
        <v>71</v>
      </c>
      <c r="V90" s="95" t="s">
        <v>71</v>
      </c>
      <c r="W90" s="95" t="s">
        <v>72</v>
      </c>
      <c r="X90" s="95" t="s">
        <v>71</v>
      </c>
      <c r="Y90" s="95" t="s">
        <v>71</v>
      </c>
      <c r="Z90" s="95" t="s">
        <v>71</v>
      </c>
      <c r="AA90" s="95" t="s">
        <v>71</v>
      </c>
      <c r="AB90" s="95" t="s">
        <v>71</v>
      </c>
      <c r="AC90" s="95" t="s">
        <v>71</v>
      </c>
      <c r="AD90" s="95" t="s">
        <v>72</v>
      </c>
      <c r="AE90" s="95" t="s">
        <v>71</v>
      </c>
      <c r="AF90" s="95" t="s">
        <v>71</v>
      </c>
      <c r="AG90" s="95" t="s">
        <v>72</v>
      </c>
      <c r="AH90" s="95" t="s">
        <v>71</v>
      </c>
      <c r="AI90" s="95" t="s">
        <v>71</v>
      </c>
      <c r="AK90" s="95" t="s">
        <v>71</v>
      </c>
    </row>
    <row r="91" spans="1:37" x14ac:dyDescent="0.2">
      <c r="A91" s="95" t="s">
        <v>73</v>
      </c>
      <c r="B91" s="95" t="s">
        <v>66</v>
      </c>
      <c r="C91" s="95" t="s">
        <v>91</v>
      </c>
      <c r="G91" s="95">
        <v>13</v>
      </c>
      <c r="I91" s="95">
        <v>1.38</v>
      </c>
      <c r="P91" s="95">
        <v>2023</v>
      </c>
      <c r="S91" s="95" t="s">
        <v>99</v>
      </c>
      <c r="T91" s="95" t="s">
        <v>102</v>
      </c>
      <c r="U91" s="95" t="s">
        <v>71</v>
      </c>
      <c r="V91" s="95" t="s">
        <v>71</v>
      </c>
      <c r="W91" s="95" t="s">
        <v>72</v>
      </c>
      <c r="X91" s="95" t="s">
        <v>71</v>
      </c>
      <c r="Y91" s="95" t="s">
        <v>71</v>
      </c>
      <c r="Z91" s="95" t="s">
        <v>71</v>
      </c>
      <c r="AA91" s="95" t="s">
        <v>71</v>
      </c>
      <c r="AB91" s="95" t="s">
        <v>71</v>
      </c>
      <c r="AC91" s="95" t="s">
        <v>71</v>
      </c>
      <c r="AD91" s="95" t="s">
        <v>72</v>
      </c>
      <c r="AE91" s="95" t="s">
        <v>71</v>
      </c>
      <c r="AF91" s="95" t="s">
        <v>71</v>
      </c>
      <c r="AG91" s="95" t="s">
        <v>72</v>
      </c>
      <c r="AH91" s="95" t="s">
        <v>71</v>
      </c>
      <c r="AI91" s="95" t="s">
        <v>71</v>
      </c>
      <c r="AK91" s="95" t="s">
        <v>71</v>
      </c>
    </row>
    <row r="92" spans="1:37" x14ac:dyDescent="0.2">
      <c r="A92" s="95" t="s">
        <v>73</v>
      </c>
      <c r="B92" s="95" t="s">
        <v>66</v>
      </c>
      <c r="C92" s="95" t="s">
        <v>67</v>
      </c>
      <c r="D92" s="95" t="s">
        <v>81</v>
      </c>
      <c r="G92" s="95">
        <v>30</v>
      </c>
      <c r="I92" s="95">
        <v>1.08</v>
      </c>
      <c r="P92" s="95">
        <v>2023</v>
      </c>
      <c r="S92" s="95" t="s">
        <v>99</v>
      </c>
      <c r="T92" s="95" t="s">
        <v>103</v>
      </c>
      <c r="U92" s="95" t="s">
        <v>71</v>
      </c>
      <c r="V92" s="95" t="s">
        <v>71</v>
      </c>
      <c r="W92" s="95" t="s">
        <v>72</v>
      </c>
      <c r="X92" s="95" t="s">
        <v>71</v>
      </c>
      <c r="Y92" s="95" t="s">
        <v>71</v>
      </c>
      <c r="Z92" s="95" t="s">
        <v>71</v>
      </c>
      <c r="AA92" s="95" t="s">
        <v>71</v>
      </c>
      <c r="AB92" s="95" t="s">
        <v>71</v>
      </c>
      <c r="AC92" s="95" t="s">
        <v>71</v>
      </c>
      <c r="AD92" s="95" t="s">
        <v>72</v>
      </c>
      <c r="AE92" s="95" t="s">
        <v>71</v>
      </c>
      <c r="AF92" s="95" t="s">
        <v>71</v>
      </c>
      <c r="AG92" s="95" t="s">
        <v>72</v>
      </c>
      <c r="AH92" s="95" t="s">
        <v>71</v>
      </c>
      <c r="AI92" s="95" t="s">
        <v>71</v>
      </c>
      <c r="AK92" s="95" t="s">
        <v>71</v>
      </c>
    </row>
    <row r="93" spans="1:37" x14ac:dyDescent="0.2">
      <c r="A93" s="95" t="s">
        <v>73</v>
      </c>
      <c r="B93" s="95" t="s">
        <v>66</v>
      </c>
      <c r="C93" s="95" t="s">
        <v>67</v>
      </c>
      <c r="D93" s="95" t="s">
        <v>81</v>
      </c>
      <c r="G93" s="95">
        <v>38</v>
      </c>
      <c r="I93" s="95">
        <v>1.31</v>
      </c>
      <c r="P93" s="95">
        <v>2023</v>
      </c>
      <c r="S93" s="95" t="s">
        <v>99</v>
      </c>
      <c r="T93" s="95" t="s">
        <v>104</v>
      </c>
      <c r="U93" s="95" t="s">
        <v>71</v>
      </c>
      <c r="V93" s="95" t="s">
        <v>71</v>
      </c>
      <c r="W93" s="95" t="s">
        <v>72</v>
      </c>
      <c r="X93" s="95" t="s">
        <v>71</v>
      </c>
      <c r="Y93" s="95" t="s">
        <v>71</v>
      </c>
      <c r="Z93" s="95" t="s">
        <v>71</v>
      </c>
      <c r="AA93" s="95" t="s">
        <v>71</v>
      </c>
      <c r="AB93" s="95" t="s">
        <v>71</v>
      </c>
      <c r="AC93" s="95" t="s">
        <v>71</v>
      </c>
      <c r="AD93" s="95" t="s">
        <v>72</v>
      </c>
      <c r="AE93" s="95" t="s">
        <v>71</v>
      </c>
      <c r="AF93" s="95" t="s">
        <v>71</v>
      </c>
      <c r="AG93" s="95" t="s">
        <v>72</v>
      </c>
      <c r="AH93" s="95" t="s">
        <v>71</v>
      </c>
      <c r="AI93" s="95" t="s">
        <v>71</v>
      </c>
      <c r="AK93" s="95" t="s">
        <v>71</v>
      </c>
    </row>
    <row r="94" spans="1:37" x14ac:dyDescent="0.2">
      <c r="A94" s="95" t="s">
        <v>73</v>
      </c>
      <c r="B94" s="95" t="s">
        <v>66</v>
      </c>
      <c r="C94" s="95" t="s">
        <v>67</v>
      </c>
      <c r="D94" s="95" t="s">
        <v>81</v>
      </c>
      <c r="G94" s="95">
        <v>19</v>
      </c>
      <c r="I94" s="95">
        <v>0.73</v>
      </c>
      <c r="P94" s="95">
        <v>2023</v>
      </c>
      <c r="S94" s="95" t="s">
        <v>99</v>
      </c>
      <c r="T94" s="95" t="s">
        <v>105</v>
      </c>
      <c r="U94" s="95" t="s">
        <v>71</v>
      </c>
      <c r="V94" s="95" t="s">
        <v>71</v>
      </c>
      <c r="W94" s="95" t="s">
        <v>72</v>
      </c>
      <c r="X94" s="95" t="s">
        <v>71</v>
      </c>
      <c r="Y94" s="95" t="s">
        <v>71</v>
      </c>
      <c r="Z94" s="95" t="s">
        <v>71</v>
      </c>
      <c r="AA94" s="95" t="s">
        <v>71</v>
      </c>
      <c r="AB94" s="95" t="s">
        <v>71</v>
      </c>
      <c r="AC94" s="95" t="s">
        <v>71</v>
      </c>
      <c r="AD94" s="95" t="s">
        <v>72</v>
      </c>
      <c r="AE94" s="95" t="s">
        <v>71</v>
      </c>
      <c r="AF94" s="95" t="s">
        <v>71</v>
      </c>
      <c r="AG94" s="95" t="s">
        <v>72</v>
      </c>
      <c r="AH94" s="95" t="s">
        <v>71</v>
      </c>
      <c r="AI94" s="95" t="s">
        <v>71</v>
      </c>
      <c r="AK94" s="95" t="s">
        <v>71</v>
      </c>
    </row>
    <row r="95" spans="1:37" x14ac:dyDescent="0.2">
      <c r="A95" s="95" t="s">
        <v>73</v>
      </c>
      <c r="B95" s="95" t="s">
        <v>66</v>
      </c>
      <c r="C95" s="95" t="s">
        <v>91</v>
      </c>
      <c r="G95" s="95">
        <v>15</v>
      </c>
      <c r="I95" s="95">
        <v>1.58</v>
      </c>
      <c r="P95" s="95">
        <v>2023</v>
      </c>
      <c r="S95" s="95" t="s">
        <v>99</v>
      </c>
      <c r="T95" s="95" t="s">
        <v>106</v>
      </c>
      <c r="U95" s="95" t="s">
        <v>71</v>
      </c>
      <c r="V95" s="95" t="s">
        <v>71</v>
      </c>
      <c r="W95" s="95" t="s">
        <v>72</v>
      </c>
      <c r="X95" s="95" t="s">
        <v>71</v>
      </c>
      <c r="Y95" s="95" t="s">
        <v>71</v>
      </c>
      <c r="Z95" s="95" t="s">
        <v>71</v>
      </c>
      <c r="AA95" s="95" t="s">
        <v>71</v>
      </c>
      <c r="AB95" s="95" t="s">
        <v>71</v>
      </c>
      <c r="AC95" s="95" t="s">
        <v>71</v>
      </c>
      <c r="AD95" s="95" t="s">
        <v>72</v>
      </c>
      <c r="AE95" s="95" t="s">
        <v>71</v>
      </c>
      <c r="AF95" s="95" t="s">
        <v>71</v>
      </c>
      <c r="AG95" s="95" t="s">
        <v>72</v>
      </c>
      <c r="AH95" s="95" t="s">
        <v>71</v>
      </c>
      <c r="AI95" s="95" t="s">
        <v>71</v>
      </c>
      <c r="AK95" s="95" t="s">
        <v>71</v>
      </c>
    </row>
    <row r="96" spans="1:37" x14ac:dyDescent="0.2">
      <c r="A96" s="95" t="s">
        <v>73</v>
      </c>
      <c r="B96" s="95" t="s">
        <v>66</v>
      </c>
      <c r="C96" s="95" t="s">
        <v>67</v>
      </c>
      <c r="D96" s="95" t="s">
        <v>81</v>
      </c>
      <c r="G96" s="95">
        <v>13</v>
      </c>
      <c r="I96" s="95">
        <v>0.56999999999999995</v>
      </c>
      <c r="P96" s="95">
        <v>2023</v>
      </c>
      <c r="S96" s="95" t="s">
        <v>99</v>
      </c>
      <c r="T96" s="95" t="s">
        <v>107</v>
      </c>
      <c r="U96" s="95" t="s">
        <v>71</v>
      </c>
      <c r="V96" s="95" t="s">
        <v>71</v>
      </c>
      <c r="W96" s="95" t="s">
        <v>72</v>
      </c>
      <c r="X96" s="95" t="s">
        <v>71</v>
      </c>
      <c r="Y96" s="95" t="s">
        <v>71</v>
      </c>
      <c r="Z96" s="95" t="s">
        <v>71</v>
      </c>
      <c r="AA96" s="95" t="s">
        <v>71</v>
      </c>
      <c r="AB96" s="95" t="s">
        <v>71</v>
      </c>
      <c r="AC96" s="95" t="s">
        <v>71</v>
      </c>
      <c r="AD96" s="95" t="s">
        <v>72</v>
      </c>
      <c r="AE96" s="95" t="s">
        <v>71</v>
      </c>
      <c r="AF96" s="95" t="s">
        <v>71</v>
      </c>
      <c r="AG96" s="95" t="s">
        <v>72</v>
      </c>
      <c r="AH96" s="95" t="s">
        <v>71</v>
      </c>
      <c r="AI96" s="95" t="s">
        <v>71</v>
      </c>
      <c r="AK96" s="95" t="s">
        <v>71</v>
      </c>
    </row>
    <row r="97" spans="1:37" x14ac:dyDescent="0.2">
      <c r="A97" s="95" t="s">
        <v>73</v>
      </c>
      <c r="B97" s="95" t="s">
        <v>66</v>
      </c>
      <c r="C97" s="95" t="s">
        <v>67</v>
      </c>
      <c r="D97" s="95" t="s">
        <v>81</v>
      </c>
      <c r="G97" s="95">
        <v>13</v>
      </c>
      <c r="I97" s="95">
        <v>0.56999999999999995</v>
      </c>
      <c r="P97" s="95">
        <v>2023</v>
      </c>
      <c r="S97" s="95" t="s">
        <v>99</v>
      </c>
      <c r="T97" s="95" t="s">
        <v>108</v>
      </c>
      <c r="U97" s="95" t="s">
        <v>71</v>
      </c>
      <c r="V97" s="95" t="s">
        <v>71</v>
      </c>
      <c r="W97" s="95" t="s">
        <v>72</v>
      </c>
      <c r="X97" s="95" t="s">
        <v>71</v>
      </c>
      <c r="Y97" s="95" t="s">
        <v>71</v>
      </c>
      <c r="Z97" s="95" t="s">
        <v>71</v>
      </c>
      <c r="AA97" s="95" t="s">
        <v>71</v>
      </c>
      <c r="AB97" s="95" t="s">
        <v>71</v>
      </c>
      <c r="AC97" s="95" t="s">
        <v>71</v>
      </c>
      <c r="AD97" s="95" t="s">
        <v>72</v>
      </c>
      <c r="AE97" s="95" t="s">
        <v>71</v>
      </c>
      <c r="AF97" s="95" t="s">
        <v>71</v>
      </c>
      <c r="AG97" s="95" t="s">
        <v>72</v>
      </c>
      <c r="AH97" s="95" t="s">
        <v>71</v>
      </c>
      <c r="AI97" s="95" t="s">
        <v>71</v>
      </c>
      <c r="AK97" s="95" t="s">
        <v>71</v>
      </c>
    </row>
    <row r="98" spans="1:37" x14ac:dyDescent="0.2">
      <c r="A98" s="95" t="s">
        <v>73</v>
      </c>
      <c r="B98" s="95" t="s">
        <v>66</v>
      </c>
      <c r="C98" s="95" t="s">
        <v>67</v>
      </c>
      <c r="D98" s="95" t="s">
        <v>81</v>
      </c>
      <c r="G98" s="95">
        <v>13</v>
      </c>
      <c r="I98" s="95">
        <v>0.56999999999999995</v>
      </c>
      <c r="P98" s="95">
        <v>2023</v>
      </c>
      <c r="S98" s="95" t="s">
        <v>99</v>
      </c>
      <c r="T98" s="95" t="s">
        <v>109</v>
      </c>
      <c r="U98" s="95" t="s">
        <v>71</v>
      </c>
      <c r="V98" s="95" t="s">
        <v>71</v>
      </c>
      <c r="W98" s="95" t="s">
        <v>72</v>
      </c>
      <c r="X98" s="95" t="s">
        <v>71</v>
      </c>
      <c r="Y98" s="95" t="s">
        <v>71</v>
      </c>
      <c r="Z98" s="95" t="s">
        <v>71</v>
      </c>
      <c r="AA98" s="95" t="s">
        <v>71</v>
      </c>
      <c r="AB98" s="95" t="s">
        <v>71</v>
      </c>
      <c r="AC98" s="95" t="s">
        <v>71</v>
      </c>
      <c r="AD98" s="95" t="s">
        <v>72</v>
      </c>
      <c r="AE98" s="95" t="s">
        <v>71</v>
      </c>
      <c r="AF98" s="95" t="s">
        <v>71</v>
      </c>
      <c r="AG98" s="95" t="s">
        <v>72</v>
      </c>
      <c r="AH98" s="95" t="s">
        <v>71</v>
      </c>
      <c r="AI98" s="95" t="s">
        <v>71</v>
      </c>
      <c r="AK98" s="95" t="s">
        <v>71</v>
      </c>
    </row>
    <row r="99" spans="1:37" x14ac:dyDescent="0.2">
      <c r="A99" s="95" t="s">
        <v>73</v>
      </c>
      <c r="B99" s="95" t="s">
        <v>66</v>
      </c>
      <c r="C99" s="95" t="s">
        <v>91</v>
      </c>
      <c r="G99" s="95">
        <v>15</v>
      </c>
      <c r="I99" s="95">
        <v>1.31</v>
      </c>
      <c r="P99" s="95">
        <v>2023</v>
      </c>
      <c r="S99" s="95" t="s">
        <v>99</v>
      </c>
      <c r="T99" s="95" t="s">
        <v>110</v>
      </c>
      <c r="U99" s="95" t="s">
        <v>71</v>
      </c>
      <c r="V99" s="95" t="s">
        <v>71</v>
      </c>
      <c r="W99" s="95" t="s">
        <v>72</v>
      </c>
      <c r="X99" s="95" t="s">
        <v>71</v>
      </c>
      <c r="Y99" s="95" t="s">
        <v>71</v>
      </c>
      <c r="Z99" s="95" t="s">
        <v>71</v>
      </c>
      <c r="AA99" s="95" t="s">
        <v>71</v>
      </c>
      <c r="AB99" s="95" t="s">
        <v>71</v>
      </c>
      <c r="AC99" s="95" t="s">
        <v>71</v>
      </c>
      <c r="AD99" s="95" t="s">
        <v>72</v>
      </c>
      <c r="AE99" s="95" t="s">
        <v>71</v>
      </c>
      <c r="AF99" s="95" t="s">
        <v>71</v>
      </c>
      <c r="AG99" s="95" t="s">
        <v>72</v>
      </c>
      <c r="AH99" s="95" t="s">
        <v>71</v>
      </c>
      <c r="AI99" s="95" t="s">
        <v>71</v>
      </c>
      <c r="AK99" s="95" t="s">
        <v>71</v>
      </c>
    </row>
    <row r="100" spans="1:37" x14ac:dyDescent="0.2">
      <c r="A100" s="95" t="s">
        <v>73</v>
      </c>
      <c r="B100" s="95" t="s">
        <v>66</v>
      </c>
      <c r="C100" s="95" t="s">
        <v>67</v>
      </c>
      <c r="D100" s="95" t="s">
        <v>68</v>
      </c>
      <c r="G100" s="95">
        <v>13</v>
      </c>
      <c r="I100" s="95">
        <v>0.49</v>
      </c>
      <c r="P100" s="95">
        <v>2023</v>
      </c>
      <c r="S100" s="95" t="s">
        <v>99</v>
      </c>
      <c r="T100" s="95" t="s">
        <v>111</v>
      </c>
      <c r="U100" s="95" t="s">
        <v>71</v>
      </c>
      <c r="V100" s="95" t="s">
        <v>71</v>
      </c>
      <c r="W100" s="95" t="s">
        <v>72</v>
      </c>
      <c r="X100" s="95" t="s">
        <v>71</v>
      </c>
      <c r="Y100" s="95" t="s">
        <v>71</v>
      </c>
      <c r="Z100" s="95" t="s">
        <v>71</v>
      </c>
      <c r="AA100" s="95" t="s">
        <v>71</v>
      </c>
      <c r="AB100" s="95" t="s">
        <v>71</v>
      </c>
      <c r="AC100" s="95" t="s">
        <v>71</v>
      </c>
      <c r="AD100" s="95" t="s">
        <v>72</v>
      </c>
      <c r="AE100" s="95" t="s">
        <v>71</v>
      </c>
      <c r="AF100" s="95" t="s">
        <v>71</v>
      </c>
      <c r="AG100" s="95" t="s">
        <v>72</v>
      </c>
      <c r="AH100" s="95" t="s">
        <v>71</v>
      </c>
      <c r="AI100" s="95" t="s">
        <v>71</v>
      </c>
      <c r="AK100" s="95" t="s">
        <v>71</v>
      </c>
    </row>
    <row r="101" spans="1:37" x14ac:dyDescent="0.2">
      <c r="A101" s="95" t="s">
        <v>73</v>
      </c>
      <c r="B101" s="95" t="s">
        <v>66</v>
      </c>
      <c r="C101" s="95" t="s">
        <v>67</v>
      </c>
      <c r="D101" s="95" t="s">
        <v>81</v>
      </c>
      <c r="G101" s="95">
        <v>19</v>
      </c>
      <c r="I101" s="95">
        <v>0.99</v>
      </c>
      <c r="P101" s="95">
        <v>2023</v>
      </c>
      <c r="S101" s="95" t="s">
        <v>99</v>
      </c>
      <c r="T101" s="95" t="s">
        <v>112</v>
      </c>
      <c r="U101" s="95" t="s">
        <v>71</v>
      </c>
      <c r="V101" s="95" t="s">
        <v>71</v>
      </c>
      <c r="W101" s="95" t="s">
        <v>72</v>
      </c>
      <c r="X101" s="95" t="s">
        <v>71</v>
      </c>
      <c r="Y101" s="95" t="s">
        <v>71</v>
      </c>
      <c r="Z101" s="95" t="s">
        <v>71</v>
      </c>
      <c r="AA101" s="95" t="s">
        <v>71</v>
      </c>
      <c r="AB101" s="95" t="s">
        <v>71</v>
      </c>
      <c r="AC101" s="95" t="s">
        <v>71</v>
      </c>
      <c r="AD101" s="95" t="s">
        <v>72</v>
      </c>
      <c r="AE101" s="95" t="s">
        <v>71</v>
      </c>
      <c r="AF101" s="95" t="s">
        <v>71</v>
      </c>
      <c r="AG101" s="95" t="s">
        <v>72</v>
      </c>
      <c r="AH101" s="95" t="s">
        <v>71</v>
      </c>
      <c r="AI101" s="95" t="s">
        <v>71</v>
      </c>
      <c r="AK101" s="95" t="s">
        <v>71</v>
      </c>
    </row>
    <row r="102" spans="1:37" x14ac:dyDescent="0.2">
      <c r="A102" s="95" t="s">
        <v>73</v>
      </c>
      <c r="B102" s="95" t="s">
        <v>66</v>
      </c>
      <c r="C102" s="95" t="s">
        <v>67</v>
      </c>
      <c r="D102" s="95" t="s">
        <v>68</v>
      </c>
      <c r="G102" s="95">
        <v>19</v>
      </c>
      <c r="I102" s="95">
        <v>0.66</v>
      </c>
      <c r="P102" s="95">
        <v>2023</v>
      </c>
      <c r="S102" s="95" t="s">
        <v>99</v>
      </c>
      <c r="T102" s="95" t="s">
        <v>113</v>
      </c>
      <c r="U102" s="95" t="s">
        <v>71</v>
      </c>
      <c r="V102" s="95" t="s">
        <v>71</v>
      </c>
      <c r="W102" s="95" t="s">
        <v>72</v>
      </c>
      <c r="X102" s="95" t="s">
        <v>71</v>
      </c>
      <c r="Y102" s="95" t="s">
        <v>71</v>
      </c>
      <c r="Z102" s="95" t="s">
        <v>71</v>
      </c>
      <c r="AA102" s="95" t="s">
        <v>71</v>
      </c>
      <c r="AB102" s="95" t="s">
        <v>71</v>
      </c>
      <c r="AC102" s="95" t="s">
        <v>71</v>
      </c>
      <c r="AD102" s="95" t="s">
        <v>72</v>
      </c>
      <c r="AE102" s="95" t="s">
        <v>71</v>
      </c>
      <c r="AF102" s="95" t="s">
        <v>71</v>
      </c>
      <c r="AG102" s="95" t="s">
        <v>72</v>
      </c>
      <c r="AH102" s="95" t="s">
        <v>71</v>
      </c>
      <c r="AI102" s="95" t="s">
        <v>71</v>
      </c>
      <c r="AK102" s="95" t="s">
        <v>71</v>
      </c>
    </row>
    <row r="103" spans="1:37" x14ac:dyDescent="0.2">
      <c r="A103" s="95" t="s">
        <v>73</v>
      </c>
      <c r="B103" s="95" t="s">
        <v>66</v>
      </c>
      <c r="C103" s="95" t="s">
        <v>67</v>
      </c>
      <c r="D103" s="95" t="s">
        <v>68</v>
      </c>
      <c r="G103" s="95">
        <v>19</v>
      </c>
      <c r="I103" s="95">
        <v>7.52</v>
      </c>
      <c r="P103" s="95">
        <v>2023</v>
      </c>
      <c r="S103" s="95" t="s">
        <v>99</v>
      </c>
      <c r="T103" s="95" t="s">
        <v>114</v>
      </c>
      <c r="U103" s="95" t="s">
        <v>71</v>
      </c>
      <c r="V103" s="95" t="s">
        <v>71</v>
      </c>
      <c r="W103" s="95" t="s">
        <v>72</v>
      </c>
      <c r="X103" s="95" t="s">
        <v>71</v>
      </c>
      <c r="Y103" s="95" t="s">
        <v>71</v>
      </c>
      <c r="Z103" s="95" t="s">
        <v>71</v>
      </c>
      <c r="AA103" s="95" t="s">
        <v>71</v>
      </c>
      <c r="AB103" s="95" t="s">
        <v>71</v>
      </c>
      <c r="AC103" s="95" t="s">
        <v>71</v>
      </c>
      <c r="AD103" s="95" t="s">
        <v>72</v>
      </c>
      <c r="AE103" s="95" t="s">
        <v>71</v>
      </c>
      <c r="AF103" s="95" t="s">
        <v>71</v>
      </c>
      <c r="AG103" s="95" t="s">
        <v>72</v>
      </c>
      <c r="AH103" s="95" t="s">
        <v>71</v>
      </c>
      <c r="AI103" s="95" t="s">
        <v>71</v>
      </c>
      <c r="AK103" s="95" t="s">
        <v>72</v>
      </c>
    </row>
    <row r="104" spans="1:37" x14ac:dyDescent="0.2">
      <c r="A104" s="95" t="s">
        <v>73</v>
      </c>
      <c r="B104" s="95" t="s">
        <v>66</v>
      </c>
      <c r="C104" s="95" t="s">
        <v>67</v>
      </c>
      <c r="D104" s="95" t="s">
        <v>81</v>
      </c>
      <c r="G104" s="95">
        <v>49</v>
      </c>
      <c r="I104" s="95">
        <v>2.56</v>
      </c>
      <c r="P104" s="95">
        <v>2023</v>
      </c>
      <c r="S104" s="95" t="s">
        <v>99</v>
      </c>
      <c r="T104" s="95" t="s">
        <v>115</v>
      </c>
      <c r="U104" s="95" t="s">
        <v>71</v>
      </c>
      <c r="V104" s="95" t="s">
        <v>71</v>
      </c>
      <c r="W104" s="95" t="s">
        <v>72</v>
      </c>
      <c r="X104" s="95" t="s">
        <v>71</v>
      </c>
      <c r="Y104" s="95" t="s">
        <v>71</v>
      </c>
      <c r="Z104" s="95" t="s">
        <v>71</v>
      </c>
      <c r="AA104" s="95" t="s">
        <v>71</v>
      </c>
      <c r="AB104" s="95" t="s">
        <v>71</v>
      </c>
      <c r="AC104" s="95" t="s">
        <v>71</v>
      </c>
      <c r="AD104" s="95" t="s">
        <v>72</v>
      </c>
      <c r="AE104" s="95" t="s">
        <v>71</v>
      </c>
      <c r="AF104" s="95" t="s">
        <v>71</v>
      </c>
      <c r="AG104" s="95" t="s">
        <v>72</v>
      </c>
      <c r="AH104" s="95" t="s">
        <v>71</v>
      </c>
      <c r="AI104" s="95" t="s">
        <v>71</v>
      </c>
      <c r="AK104" s="95" t="s">
        <v>71</v>
      </c>
    </row>
    <row r="105" spans="1:37" x14ac:dyDescent="0.2">
      <c r="A105" s="95" t="s">
        <v>73</v>
      </c>
      <c r="B105" s="95" t="s">
        <v>66</v>
      </c>
      <c r="C105" s="95" t="s">
        <v>67</v>
      </c>
      <c r="D105" s="95" t="s">
        <v>81</v>
      </c>
      <c r="G105" s="95">
        <v>30</v>
      </c>
      <c r="I105" s="95">
        <v>1.17</v>
      </c>
      <c r="P105" s="95">
        <v>2023</v>
      </c>
      <c r="S105" s="95" t="s">
        <v>99</v>
      </c>
      <c r="T105" s="95" t="s">
        <v>116</v>
      </c>
      <c r="U105" s="95" t="s">
        <v>71</v>
      </c>
      <c r="V105" s="95" t="s">
        <v>71</v>
      </c>
      <c r="W105" s="95" t="s">
        <v>72</v>
      </c>
      <c r="X105" s="95" t="s">
        <v>71</v>
      </c>
      <c r="Y105" s="95" t="s">
        <v>71</v>
      </c>
      <c r="Z105" s="95" t="s">
        <v>71</v>
      </c>
      <c r="AA105" s="95" t="s">
        <v>71</v>
      </c>
      <c r="AB105" s="95" t="s">
        <v>71</v>
      </c>
      <c r="AC105" s="95" t="s">
        <v>71</v>
      </c>
      <c r="AD105" s="95" t="s">
        <v>72</v>
      </c>
      <c r="AE105" s="95" t="s">
        <v>71</v>
      </c>
      <c r="AF105" s="95" t="s">
        <v>71</v>
      </c>
      <c r="AG105" s="95" t="s">
        <v>72</v>
      </c>
      <c r="AH105" s="95" t="s">
        <v>71</v>
      </c>
      <c r="AI105" s="95" t="s">
        <v>71</v>
      </c>
      <c r="AK105" s="95" t="s">
        <v>71</v>
      </c>
    </row>
    <row r="106" spans="1:37" x14ac:dyDescent="0.2">
      <c r="A106" s="95" t="s">
        <v>73</v>
      </c>
      <c r="B106" s="95" t="s">
        <v>66</v>
      </c>
      <c r="C106" s="95" t="s">
        <v>91</v>
      </c>
      <c r="G106" s="95">
        <v>30</v>
      </c>
      <c r="I106" s="95">
        <v>3.75</v>
      </c>
      <c r="P106" s="95">
        <v>2023</v>
      </c>
      <c r="S106" s="95" t="s">
        <v>99</v>
      </c>
      <c r="T106" s="95" t="s">
        <v>117</v>
      </c>
      <c r="U106" s="95" t="s">
        <v>71</v>
      </c>
      <c r="V106" s="95" t="s">
        <v>71</v>
      </c>
      <c r="W106" s="95" t="s">
        <v>72</v>
      </c>
      <c r="X106" s="95" t="s">
        <v>71</v>
      </c>
      <c r="Y106" s="95" t="s">
        <v>71</v>
      </c>
      <c r="Z106" s="95" t="s">
        <v>71</v>
      </c>
      <c r="AA106" s="95" t="s">
        <v>71</v>
      </c>
      <c r="AB106" s="95" t="s">
        <v>71</v>
      </c>
      <c r="AC106" s="95" t="s">
        <v>71</v>
      </c>
      <c r="AD106" s="95" t="s">
        <v>72</v>
      </c>
      <c r="AE106" s="95" t="s">
        <v>71</v>
      </c>
      <c r="AF106" s="95" t="s">
        <v>71</v>
      </c>
      <c r="AG106" s="95" t="s">
        <v>72</v>
      </c>
      <c r="AH106" s="95" t="s">
        <v>71</v>
      </c>
      <c r="AI106" s="95" t="s">
        <v>71</v>
      </c>
      <c r="AK106" s="95" t="s">
        <v>71</v>
      </c>
    </row>
    <row r="107" spans="1:37" x14ac:dyDescent="0.2">
      <c r="A107" s="95" t="s">
        <v>73</v>
      </c>
      <c r="B107" s="95" t="s">
        <v>66</v>
      </c>
      <c r="C107" s="95" t="s">
        <v>91</v>
      </c>
      <c r="G107" s="95">
        <v>23</v>
      </c>
      <c r="I107" s="95">
        <v>1.52</v>
      </c>
      <c r="P107" s="95">
        <v>2023</v>
      </c>
      <c r="S107" s="95" t="s">
        <v>99</v>
      </c>
      <c r="T107" s="95" t="s">
        <v>118</v>
      </c>
      <c r="U107" s="95" t="s">
        <v>71</v>
      </c>
      <c r="V107" s="95" t="s">
        <v>71</v>
      </c>
      <c r="W107" s="95" t="s">
        <v>72</v>
      </c>
      <c r="X107" s="95" t="s">
        <v>71</v>
      </c>
      <c r="Y107" s="95" t="s">
        <v>71</v>
      </c>
      <c r="Z107" s="95" t="s">
        <v>71</v>
      </c>
      <c r="AA107" s="95" t="s">
        <v>71</v>
      </c>
      <c r="AB107" s="95" t="s">
        <v>71</v>
      </c>
      <c r="AC107" s="95" t="s">
        <v>71</v>
      </c>
      <c r="AD107" s="95" t="s">
        <v>72</v>
      </c>
      <c r="AE107" s="95" t="s">
        <v>71</v>
      </c>
      <c r="AF107" s="95" t="s">
        <v>71</v>
      </c>
      <c r="AG107" s="95" t="s">
        <v>72</v>
      </c>
      <c r="AH107" s="95" t="s">
        <v>71</v>
      </c>
      <c r="AI107" s="95" t="s">
        <v>71</v>
      </c>
      <c r="AK107" s="95" t="s">
        <v>71</v>
      </c>
    </row>
    <row r="108" spans="1:37" x14ac:dyDescent="0.2">
      <c r="A108" s="95" t="s">
        <v>73</v>
      </c>
      <c r="B108" s="95" t="s">
        <v>66</v>
      </c>
      <c r="C108" s="95" t="s">
        <v>91</v>
      </c>
      <c r="G108" s="95">
        <v>21</v>
      </c>
      <c r="I108" s="95">
        <v>2.65</v>
      </c>
      <c r="P108" s="95">
        <v>2023</v>
      </c>
      <c r="S108" s="95" t="s">
        <v>99</v>
      </c>
      <c r="T108" s="95" t="s">
        <v>119</v>
      </c>
      <c r="U108" s="95" t="s">
        <v>71</v>
      </c>
      <c r="V108" s="95" t="s">
        <v>71</v>
      </c>
      <c r="W108" s="95" t="s">
        <v>72</v>
      </c>
      <c r="X108" s="95" t="s">
        <v>71</v>
      </c>
      <c r="Y108" s="95" t="s">
        <v>71</v>
      </c>
      <c r="Z108" s="95" t="s">
        <v>71</v>
      </c>
      <c r="AA108" s="95" t="s">
        <v>71</v>
      </c>
      <c r="AB108" s="95" t="s">
        <v>71</v>
      </c>
      <c r="AC108" s="95" t="s">
        <v>71</v>
      </c>
      <c r="AD108" s="95" t="s">
        <v>72</v>
      </c>
      <c r="AE108" s="95" t="s">
        <v>71</v>
      </c>
      <c r="AF108" s="95" t="s">
        <v>71</v>
      </c>
      <c r="AG108" s="95" t="s">
        <v>72</v>
      </c>
      <c r="AH108" s="95" t="s">
        <v>71</v>
      </c>
      <c r="AI108" s="95" t="s">
        <v>71</v>
      </c>
      <c r="AK108" s="95" t="s">
        <v>71</v>
      </c>
    </row>
    <row r="109" spans="1:37" x14ac:dyDescent="0.2">
      <c r="A109" s="95" t="s">
        <v>73</v>
      </c>
      <c r="B109" s="95" t="s">
        <v>66</v>
      </c>
      <c r="C109" s="95" t="s">
        <v>67</v>
      </c>
      <c r="D109" s="95" t="s">
        <v>81</v>
      </c>
      <c r="G109" s="95">
        <v>38</v>
      </c>
      <c r="I109" s="95">
        <v>2.09</v>
      </c>
      <c r="P109" s="95">
        <v>2023</v>
      </c>
      <c r="S109" s="95" t="s">
        <v>99</v>
      </c>
      <c r="T109" s="95" t="s">
        <v>120</v>
      </c>
      <c r="U109" s="95" t="s">
        <v>71</v>
      </c>
      <c r="V109" s="95" t="s">
        <v>71</v>
      </c>
      <c r="W109" s="95" t="s">
        <v>72</v>
      </c>
      <c r="X109" s="95" t="s">
        <v>71</v>
      </c>
      <c r="Y109" s="95" t="s">
        <v>71</v>
      </c>
      <c r="Z109" s="95" t="s">
        <v>71</v>
      </c>
      <c r="AA109" s="95" t="s">
        <v>71</v>
      </c>
      <c r="AB109" s="95" t="s">
        <v>71</v>
      </c>
      <c r="AC109" s="95" t="s">
        <v>71</v>
      </c>
      <c r="AD109" s="95" t="s">
        <v>72</v>
      </c>
      <c r="AE109" s="95" t="s">
        <v>71</v>
      </c>
      <c r="AF109" s="95" t="s">
        <v>71</v>
      </c>
      <c r="AG109" s="95" t="s">
        <v>72</v>
      </c>
      <c r="AH109" s="95" t="s">
        <v>71</v>
      </c>
      <c r="AI109" s="95" t="s">
        <v>71</v>
      </c>
      <c r="AK109" s="95" t="s">
        <v>71</v>
      </c>
    </row>
    <row r="110" spans="1:37" x14ac:dyDescent="0.2">
      <c r="A110" s="95" t="s">
        <v>73</v>
      </c>
      <c r="B110" s="95" t="s">
        <v>66</v>
      </c>
      <c r="C110" s="95" t="s">
        <v>67</v>
      </c>
      <c r="D110" s="95" t="s">
        <v>81</v>
      </c>
      <c r="G110" s="95">
        <v>38</v>
      </c>
      <c r="I110" s="95">
        <v>2.23</v>
      </c>
      <c r="P110" s="95">
        <v>2023</v>
      </c>
      <c r="S110" s="95" t="s">
        <v>99</v>
      </c>
      <c r="T110" s="95" t="s">
        <v>121</v>
      </c>
      <c r="U110" s="95" t="s">
        <v>71</v>
      </c>
      <c r="V110" s="95" t="s">
        <v>71</v>
      </c>
      <c r="W110" s="95" t="s">
        <v>72</v>
      </c>
      <c r="X110" s="95" t="s">
        <v>71</v>
      </c>
      <c r="Y110" s="95" t="s">
        <v>71</v>
      </c>
      <c r="Z110" s="95" t="s">
        <v>71</v>
      </c>
      <c r="AA110" s="95" t="s">
        <v>71</v>
      </c>
      <c r="AB110" s="95" t="s">
        <v>71</v>
      </c>
      <c r="AC110" s="95" t="s">
        <v>71</v>
      </c>
      <c r="AD110" s="95" t="s">
        <v>72</v>
      </c>
      <c r="AE110" s="95" t="s">
        <v>71</v>
      </c>
      <c r="AF110" s="95" t="s">
        <v>71</v>
      </c>
      <c r="AG110" s="95" t="s">
        <v>72</v>
      </c>
      <c r="AH110" s="95" t="s">
        <v>71</v>
      </c>
      <c r="AI110" s="95" t="s">
        <v>71</v>
      </c>
      <c r="AK110" s="95" t="s">
        <v>71</v>
      </c>
    </row>
    <row r="111" spans="1:37" x14ac:dyDescent="0.2">
      <c r="A111" s="95" t="s">
        <v>73</v>
      </c>
      <c r="B111" s="95" t="s">
        <v>66</v>
      </c>
      <c r="C111" s="95" t="s">
        <v>67</v>
      </c>
      <c r="D111" s="95" t="s">
        <v>81</v>
      </c>
      <c r="G111" s="95">
        <v>21</v>
      </c>
      <c r="I111" s="95">
        <v>1.03</v>
      </c>
      <c r="P111" s="95">
        <v>2023</v>
      </c>
      <c r="S111" s="95" t="s">
        <v>99</v>
      </c>
      <c r="T111" s="95" t="s">
        <v>122</v>
      </c>
      <c r="U111" s="95" t="s">
        <v>71</v>
      </c>
      <c r="V111" s="95" t="s">
        <v>71</v>
      </c>
      <c r="W111" s="95" t="s">
        <v>72</v>
      </c>
      <c r="X111" s="95" t="s">
        <v>71</v>
      </c>
      <c r="Y111" s="95" t="s">
        <v>71</v>
      </c>
      <c r="Z111" s="95" t="s">
        <v>71</v>
      </c>
      <c r="AA111" s="95" t="s">
        <v>71</v>
      </c>
      <c r="AB111" s="95" t="s">
        <v>71</v>
      </c>
      <c r="AC111" s="95" t="s">
        <v>71</v>
      </c>
      <c r="AD111" s="95" t="s">
        <v>72</v>
      </c>
      <c r="AE111" s="95" t="s">
        <v>71</v>
      </c>
      <c r="AF111" s="95" t="s">
        <v>71</v>
      </c>
      <c r="AG111" s="95" t="s">
        <v>72</v>
      </c>
      <c r="AH111" s="95" t="s">
        <v>71</v>
      </c>
      <c r="AI111" s="95" t="s">
        <v>71</v>
      </c>
      <c r="AK111" s="95" t="s">
        <v>71</v>
      </c>
    </row>
    <row r="112" spans="1:37" x14ac:dyDescent="0.2">
      <c r="A112" s="95" t="s">
        <v>73</v>
      </c>
      <c r="B112" s="95" t="s">
        <v>66</v>
      </c>
      <c r="C112" s="95" t="s">
        <v>91</v>
      </c>
      <c r="G112" s="95">
        <v>30</v>
      </c>
      <c r="I112" s="95">
        <v>3.47</v>
      </c>
      <c r="P112" s="95">
        <v>2023</v>
      </c>
      <c r="S112" s="95" t="s">
        <v>99</v>
      </c>
      <c r="T112" s="95" t="s">
        <v>123</v>
      </c>
      <c r="U112" s="95" t="s">
        <v>71</v>
      </c>
      <c r="V112" s="95" t="s">
        <v>71</v>
      </c>
      <c r="W112" s="95" t="s">
        <v>72</v>
      </c>
      <c r="X112" s="95" t="s">
        <v>71</v>
      </c>
      <c r="Y112" s="95" t="s">
        <v>71</v>
      </c>
      <c r="Z112" s="95" t="s">
        <v>71</v>
      </c>
      <c r="AA112" s="95" t="s">
        <v>71</v>
      </c>
      <c r="AB112" s="95" t="s">
        <v>71</v>
      </c>
      <c r="AC112" s="95" t="s">
        <v>71</v>
      </c>
      <c r="AD112" s="95" t="s">
        <v>72</v>
      </c>
      <c r="AE112" s="95" t="s">
        <v>71</v>
      </c>
      <c r="AF112" s="95" t="s">
        <v>71</v>
      </c>
      <c r="AG112" s="95" t="s">
        <v>72</v>
      </c>
      <c r="AH112" s="95" t="s">
        <v>71</v>
      </c>
      <c r="AI112" s="95" t="s">
        <v>71</v>
      </c>
      <c r="AK112" s="95" t="s">
        <v>71</v>
      </c>
    </row>
    <row r="113" spans="1:37" x14ac:dyDescent="0.2">
      <c r="A113" s="95" t="s">
        <v>73</v>
      </c>
      <c r="B113" s="95" t="s">
        <v>66</v>
      </c>
      <c r="C113" s="95" t="s">
        <v>67</v>
      </c>
      <c r="D113" s="95" t="s">
        <v>81</v>
      </c>
      <c r="G113" s="95">
        <v>19</v>
      </c>
      <c r="I113" s="95">
        <v>0.65</v>
      </c>
      <c r="P113" s="95">
        <v>2023</v>
      </c>
      <c r="S113" s="95" t="s">
        <v>99</v>
      </c>
      <c r="T113" s="95" t="s">
        <v>124</v>
      </c>
      <c r="U113" s="95" t="s">
        <v>71</v>
      </c>
      <c r="V113" s="95" t="s">
        <v>71</v>
      </c>
      <c r="W113" s="95" t="s">
        <v>72</v>
      </c>
      <c r="X113" s="95" t="s">
        <v>71</v>
      </c>
      <c r="Y113" s="95" t="s">
        <v>71</v>
      </c>
      <c r="Z113" s="95" t="s">
        <v>71</v>
      </c>
      <c r="AA113" s="95" t="s">
        <v>71</v>
      </c>
      <c r="AB113" s="95" t="s">
        <v>71</v>
      </c>
      <c r="AC113" s="95" t="s">
        <v>71</v>
      </c>
      <c r="AD113" s="95" t="s">
        <v>72</v>
      </c>
      <c r="AE113" s="95" t="s">
        <v>71</v>
      </c>
      <c r="AF113" s="95" t="s">
        <v>71</v>
      </c>
      <c r="AG113" s="95" t="s">
        <v>72</v>
      </c>
      <c r="AH113" s="95" t="s">
        <v>71</v>
      </c>
      <c r="AI113" s="95" t="s">
        <v>71</v>
      </c>
      <c r="AK113" s="95" t="s">
        <v>71</v>
      </c>
    </row>
    <row r="114" spans="1:37" x14ac:dyDescent="0.2">
      <c r="A114" s="95" t="s">
        <v>73</v>
      </c>
      <c r="B114" s="95" t="s">
        <v>66</v>
      </c>
      <c r="C114" s="95" t="s">
        <v>67</v>
      </c>
      <c r="D114" s="95" t="s">
        <v>81</v>
      </c>
      <c r="G114" s="95">
        <v>38</v>
      </c>
      <c r="I114" s="95">
        <v>1.65</v>
      </c>
      <c r="P114" s="95">
        <v>2023</v>
      </c>
      <c r="S114" s="95" t="s">
        <v>99</v>
      </c>
      <c r="T114" s="95" t="s">
        <v>125</v>
      </c>
      <c r="U114" s="95" t="s">
        <v>71</v>
      </c>
      <c r="V114" s="95" t="s">
        <v>71</v>
      </c>
      <c r="W114" s="95" t="s">
        <v>72</v>
      </c>
      <c r="X114" s="95" t="s">
        <v>71</v>
      </c>
      <c r="Y114" s="95" t="s">
        <v>71</v>
      </c>
      <c r="Z114" s="95" t="s">
        <v>71</v>
      </c>
      <c r="AA114" s="95" t="s">
        <v>71</v>
      </c>
      <c r="AB114" s="95" t="s">
        <v>71</v>
      </c>
      <c r="AC114" s="95" t="s">
        <v>71</v>
      </c>
      <c r="AD114" s="95" t="s">
        <v>72</v>
      </c>
      <c r="AE114" s="95" t="s">
        <v>71</v>
      </c>
      <c r="AF114" s="95" t="s">
        <v>71</v>
      </c>
      <c r="AG114" s="95" t="s">
        <v>72</v>
      </c>
      <c r="AH114" s="95" t="s">
        <v>71</v>
      </c>
      <c r="AI114" s="95" t="s">
        <v>71</v>
      </c>
      <c r="AK114" s="95" t="s">
        <v>71</v>
      </c>
    </row>
    <row r="115" spans="1:37" x14ac:dyDescent="0.2">
      <c r="A115" s="95" t="s">
        <v>73</v>
      </c>
      <c r="B115" s="95" t="s">
        <v>66</v>
      </c>
      <c r="C115" s="95" t="s">
        <v>67</v>
      </c>
      <c r="D115" s="95" t="s">
        <v>81</v>
      </c>
      <c r="G115" s="95">
        <v>30</v>
      </c>
      <c r="I115" s="95">
        <v>1.44</v>
      </c>
      <c r="P115" s="95">
        <v>2023</v>
      </c>
      <c r="S115" s="95" t="s">
        <v>99</v>
      </c>
      <c r="T115" s="95" t="s">
        <v>126</v>
      </c>
      <c r="U115" s="95" t="s">
        <v>71</v>
      </c>
      <c r="V115" s="95" t="s">
        <v>71</v>
      </c>
      <c r="W115" s="95" t="s">
        <v>72</v>
      </c>
      <c r="X115" s="95" t="s">
        <v>71</v>
      </c>
      <c r="Y115" s="95" t="s">
        <v>71</v>
      </c>
      <c r="Z115" s="95" t="s">
        <v>71</v>
      </c>
      <c r="AA115" s="95" t="s">
        <v>71</v>
      </c>
      <c r="AB115" s="95" t="s">
        <v>71</v>
      </c>
      <c r="AC115" s="95" t="s">
        <v>71</v>
      </c>
      <c r="AD115" s="95" t="s">
        <v>72</v>
      </c>
      <c r="AE115" s="95" t="s">
        <v>71</v>
      </c>
      <c r="AF115" s="95" t="s">
        <v>71</v>
      </c>
      <c r="AG115" s="95" t="s">
        <v>72</v>
      </c>
      <c r="AH115" s="95" t="s">
        <v>71</v>
      </c>
      <c r="AI115" s="95" t="s">
        <v>71</v>
      </c>
      <c r="AK115" s="95" t="s">
        <v>71</v>
      </c>
    </row>
    <row r="116" spans="1:37" x14ac:dyDescent="0.2">
      <c r="A116" s="95" t="s">
        <v>73</v>
      </c>
      <c r="B116" s="95" t="s">
        <v>66</v>
      </c>
      <c r="C116" s="95" t="s">
        <v>67</v>
      </c>
      <c r="D116" s="95" t="s">
        <v>81</v>
      </c>
      <c r="G116" s="95">
        <v>21</v>
      </c>
      <c r="I116" s="95">
        <v>1.31</v>
      </c>
      <c r="P116" s="95">
        <v>2023</v>
      </c>
      <c r="S116" s="95" t="s">
        <v>99</v>
      </c>
      <c r="T116" s="95" t="s">
        <v>127</v>
      </c>
      <c r="U116" s="95" t="s">
        <v>71</v>
      </c>
      <c r="V116" s="95" t="s">
        <v>71</v>
      </c>
      <c r="W116" s="95" t="s">
        <v>72</v>
      </c>
      <c r="X116" s="95" t="s">
        <v>71</v>
      </c>
      <c r="Y116" s="95" t="s">
        <v>71</v>
      </c>
      <c r="Z116" s="95" t="s">
        <v>71</v>
      </c>
      <c r="AA116" s="95" t="s">
        <v>71</v>
      </c>
      <c r="AB116" s="95" t="s">
        <v>71</v>
      </c>
      <c r="AC116" s="95" t="s">
        <v>71</v>
      </c>
      <c r="AD116" s="95" t="s">
        <v>72</v>
      </c>
      <c r="AE116" s="95" t="s">
        <v>71</v>
      </c>
      <c r="AF116" s="95" t="s">
        <v>71</v>
      </c>
      <c r="AG116" s="95" t="s">
        <v>72</v>
      </c>
      <c r="AH116" s="95" t="s">
        <v>71</v>
      </c>
      <c r="AI116" s="95" t="s">
        <v>71</v>
      </c>
      <c r="AK116" s="95" t="s">
        <v>71</v>
      </c>
    </row>
    <row r="117" spans="1:37" x14ac:dyDescent="0.2">
      <c r="A117" s="95" t="s">
        <v>73</v>
      </c>
      <c r="B117" s="95" t="s">
        <v>66</v>
      </c>
      <c r="C117" s="95" t="s">
        <v>67</v>
      </c>
      <c r="D117" s="95" t="s">
        <v>81</v>
      </c>
      <c r="G117" s="95">
        <v>21</v>
      </c>
      <c r="I117" s="95">
        <v>1.33</v>
      </c>
      <c r="P117" s="95">
        <v>2023</v>
      </c>
      <c r="S117" s="95" t="s">
        <v>99</v>
      </c>
      <c r="T117" s="95" t="s">
        <v>128</v>
      </c>
      <c r="U117" s="95" t="s">
        <v>71</v>
      </c>
      <c r="V117" s="95" t="s">
        <v>71</v>
      </c>
      <c r="W117" s="95" t="s">
        <v>72</v>
      </c>
      <c r="X117" s="95" t="s">
        <v>71</v>
      </c>
      <c r="Y117" s="95" t="s">
        <v>71</v>
      </c>
      <c r="Z117" s="95" t="s">
        <v>71</v>
      </c>
      <c r="AA117" s="95" t="s">
        <v>71</v>
      </c>
      <c r="AB117" s="95" t="s">
        <v>71</v>
      </c>
      <c r="AC117" s="95" t="s">
        <v>71</v>
      </c>
      <c r="AD117" s="95" t="s">
        <v>72</v>
      </c>
      <c r="AE117" s="95" t="s">
        <v>71</v>
      </c>
      <c r="AF117" s="95" t="s">
        <v>71</v>
      </c>
      <c r="AG117" s="95" t="s">
        <v>72</v>
      </c>
      <c r="AH117" s="95" t="s">
        <v>71</v>
      </c>
      <c r="AI117" s="95" t="s">
        <v>71</v>
      </c>
      <c r="AK117" s="95" t="s">
        <v>71</v>
      </c>
    </row>
    <row r="118" spans="1:37" x14ac:dyDescent="0.2">
      <c r="A118" s="95" t="s">
        <v>73</v>
      </c>
      <c r="B118" s="95" t="s">
        <v>66</v>
      </c>
      <c r="C118" s="95" t="s">
        <v>67</v>
      </c>
      <c r="D118" s="95" t="s">
        <v>68</v>
      </c>
      <c r="G118" s="95">
        <v>13</v>
      </c>
      <c r="I118" s="95">
        <v>0.68</v>
      </c>
      <c r="P118" s="95">
        <v>2023</v>
      </c>
      <c r="S118" s="95" t="s">
        <v>99</v>
      </c>
      <c r="T118" s="95" t="s">
        <v>129</v>
      </c>
      <c r="U118" s="95" t="s">
        <v>71</v>
      </c>
      <c r="V118" s="95" t="s">
        <v>71</v>
      </c>
      <c r="W118" s="95" t="s">
        <v>72</v>
      </c>
      <c r="X118" s="95" t="s">
        <v>71</v>
      </c>
      <c r="Y118" s="95" t="s">
        <v>71</v>
      </c>
      <c r="Z118" s="95" t="s">
        <v>71</v>
      </c>
      <c r="AA118" s="95" t="s">
        <v>71</v>
      </c>
      <c r="AB118" s="95" t="s">
        <v>71</v>
      </c>
      <c r="AC118" s="95" t="s">
        <v>71</v>
      </c>
      <c r="AD118" s="95" t="s">
        <v>72</v>
      </c>
      <c r="AE118" s="95" t="s">
        <v>71</v>
      </c>
      <c r="AF118" s="95" t="s">
        <v>71</v>
      </c>
      <c r="AG118" s="95" t="s">
        <v>72</v>
      </c>
      <c r="AH118" s="95" t="s">
        <v>71</v>
      </c>
      <c r="AI118" s="95" t="s">
        <v>71</v>
      </c>
      <c r="AK118" s="95" t="s">
        <v>71</v>
      </c>
    </row>
    <row r="119" spans="1:37" x14ac:dyDescent="0.2">
      <c r="A119" s="95" t="s">
        <v>73</v>
      </c>
      <c r="B119" s="95" t="s">
        <v>66</v>
      </c>
      <c r="D119" s="95" t="s">
        <v>81</v>
      </c>
      <c r="G119" s="95">
        <v>49</v>
      </c>
      <c r="I119" s="95">
        <v>2.5099999999999998</v>
      </c>
      <c r="P119" s="95">
        <v>2023</v>
      </c>
      <c r="S119" s="95" t="s">
        <v>99</v>
      </c>
      <c r="T119" s="95" t="s">
        <v>130</v>
      </c>
      <c r="U119" s="95" t="s">
        <v>71</v>
      </c>
      <c r="V119" s="95" t="s">
        <v>71</v>
      </c>
      <c r="W119" s="95" t="s">
        <v>72</v>
      </c>
      <c r="X119" s="95" t="s">
        <v>71</v>
      </c>
      <c r="Y119" s="95" t="s">
        <v>71</v>
      </c>
      <c r="Z119" s="95" t="s">
        <v>71</v>
      </c>
      <c r="AA119" s="95" t="s">
        <v>71</v>
      </c>
      <c r="AB119" s="95" t="s">
        <v>71</v>
      </c>
      <c r="AC119" s="95" t="s">
        <v>71</v>
      </c>
      <c r="AD119" s="95" t="s">
        <v>72</v>
      </c>
      <c r="AE119" s="95" t="s">
        <v>71</v>
      </c>
      <c r="AF119" s="95" t="s">
        <v>71</v>
      </c>
      <c r="AG119" s="95" t="s">
        <v>72</v>
      </c>
      <c r="AH119" s="95" t="s">
        <v>71</v>
      </c>
      <c r="AI119" s="95" t="s">
        <v>71</v>
      </c>
      <c r="AK119" s="95" t="s">
        <v>71</v>
      </c>
    </row>
    <row r="120" spans="1:37" x14ac:dyDescent="0.2">
      <c r="A120" s="95" t="s">
        <v>73</v>
      </c>
      <c r="B120" s="95" t="s">
        <v>66</v>
      </c>
      <c r="C120" s="95" t="s">
        <v>67</v>
      </c>
      <c r="D120" s="95" t="s">
        <v>81</v>
      </c>
      <c r="G120" s="95">
        <v>15</v>
      </c>
      <c r="I120" s="95">
        <v>1.1499999999999999</v>
      </c>
      <c r="P120" s="95">
        <v>2023</v>
      </c>
      <c r="S120" s="95" t="s">
        <v>99</v>
      </c>
      <c r="T120" s="95" t="s">
        <v>131</v>
      </c>
      <c r="U120" s="95" t="s">
        <v>71</v>
      </c>
      <c r="V120" s="95" t="s">
        <v>71</v>
      </c>
      <c r="W120" s="95" t="s">
        <v>72</v>
      </c>
      <c r="X120" s="95" t="s">
        <v>71</v>
      </c>
      <c r="Y120" s="95" t="s">
        <v>71</v>
      </c>
      <c r="Z120" s="95" t="s">
        <v>71</v>
      </c>
      <c r="AA120" s="95" t="s">
        <v>71</v>
      </c>
      <c r="AB120" s="95" t="s">
        <v>71</v>
      </c>
      <c r="AC120" s="95" t="s">
        <v>71</v>
      </c>
      <c r="AD120" s="95" t="s">
        <v>72</v>
      </c>
      <c r="AE120" s="95" t="s">
        <v>71</v>
      </c>
      <c r="AF120" s="95" t="s">
        <v>71</v>
      </c>
      <c r="AG120" s="95" t="s">
        <v>72</v>
      </c>
      <c r="AH120" s="95" t="s">
        <v>71</v>
      </c>
      <c r="AI120" s="95" t="s">
        <v>71</v>
      </c>
      <c r="AK120" s="95" t="s">
        <v>71</v>
      </c>
    </row>
    <row r="121" spans="1:37" x14ac:dyDescent="0.2">
      <c r="A121" s="95" t="s">
        <v>73</v>
      </c>
      <c r="B121" s="95" t="s">
        <v>66</v>
      </c>
      <c r="C121" s="95" t="s">
        <v>67</v>
      </c>
      <c r="D121" s="95" t="s">
        <v>68</v>
      </c>
      <c r="G121" s="95">
        <v>19</v>
      </c>
      <c r="I121" s="95">
        <v>0.98</v>
      </c>
      <c r="P121" s="95">
        <v>2023</v>
      </c>
      <c r="S121" s="95" t="s">
        <v>99</v>
      </c>
      <c r="T121" s="95" t="s">
        <v>132</v>
      </c>
      <c r="U121" s="95" t="s">
        <v>71</v>
      </c>
      <c r="V121" s="95" t="s">
        <v>71</v>
      </c>
      <c r="W121" s="95" t="s">
        <v>72</v>
      </c>
      <c r="X121" s="95" t="s">
        <v>71</v>
      </c>
      <c r="Y121" s="95" t="s">
        <v>71</v>
      </c>
      <c r="Z121" s="95" t="s">
        <v>71</v>
      </c>
      <c r="AA121" s="95" t="s">
        <v>71</v>
      </c>
      <c r="AB121" s="95" t="s">
        <v>71</v>
      </c>
      <c r="AC121" s="95" t="s">
        <v>71</v>
      </c>
      <c r="AD121" s="95" t="s">
        <v>72</v>
      </c>
      <c r="AE121" s="95" t="s">
        <v>71</v>
      </c>
      <c r="AF121" s="95" t="s">
        <v>71</v>
      </c>
      <c r="AG121" s="95" t="s">
        <v>72</v>
      </c>
      <c r="AH121" s="95" t="s">
        <v>71</v>
      </c>
      <c r="AI121" s="95" t="s">
        <v>71</v>
      </c>
      <c r="AK121" s="95" t="s">
        <v>71</v>
      </c>
    </row>
    <row r="122" spans="1:37" x14ac:dyDescent="0.2">
      <c r="A122" s="95" t="s">
        <v>73</v>
      </c>
      <c r="B122" s="95" t="s">
        <v>66</v>
      </c>
      <c r="C122" s="95" t="s">
        <v>67</v>
      </c>
      <c r="D122" s="95" t="s">
        <v>81</v>
      </c>
      <c r="G122" s="95">
        <v>15</v>
      </c>
      <c r="I122" s="95">
        <v>1.1299999999999999</v>
      </c>
      <c r="P122" s="95">
        <v>2023</v>
      </c>
      <c r="S122" s="95" t="s">
        <v>99</v>
      </c>
      <c r="T122" s="95" t="s">
        <v>133</v>
      </c>
      <c r="U122" s="95" t="s">
        <v>71</v>
      </c>
      <c r="V122" s="95" t="s">
        <v>71</v>
      </c>
      <c r="W122" s="95" t="s">
        <v>72</v>
      </c>
      <c r="X122" s="95" t="s">
        <v>71</v>
      </c>
      <c r="Y122" s="95" t="s">
        <v>71</v>
      </c>
      <c r="Z122" s="95" t="s">
        <v>71</v>
      </c>
      <c r="AA122" s="95" t="s">
        <v>71</v>
      </c>
      <c r="AB122" s="95" t="s">
        <v>71</v>
      </c>
      <c r="AC122" s="95" t="s">
        <v>71</v>
      </c>
      <c r="AD122" s="95" t="s">
        <v>72</v>
      </c>
      <c r="AE122" s="95" t="s">
        <v>71</v>
      </c>
      <c r="AF122" s="95" t="s">
        <v>71</v>
      </c>
      <c r="AG122" s="95" t="s">
        <v>72</v>
      </c>
      <c r="AH122" s="95" t="s">
        <v>71</v>
      </c>
      <c r="AI122" s="95" t="s">
        <v>71</v>
      </c>
      <c r="AK122" s="95" t="s">
        <v>71</v>
      </c>
    </row>
    <row r="123" spans="1:37" x14ac:dyDescent="0.2">
      <c r="A123" s="95" t="s">
        <v>73</v>
      </c>
      <c r="B123" s="95" t="s">
        <v>66</v>
      </c>
      <c r="C123" s="95" t="s">
        <v>67</v>
      </c>
      <c r="D123" s="95" t="s">
        <v>68</v>
      </c>
      <c r="G123" s="95">
        <v>49</v>
      </c>
      <c r="I123" s="95">
        <v>2.37</v>
      </c>
      <c r="P123" s="95">
        <v>2023</v>
      </c>
      <c r="S123" s="95" t="s">
        <v>99</v>
      </c>
      <c r="T123" s="95" t="s">
        <v>134</v>
      </c>
      <c r="U123" s="95" t="s">
        <v>71</v>
      </c>
      <c r="V123" s="95" t="s">
        <v>71</v>
      </c>
      <c r="W123" s="95" t="s">
        <v>72</v>
      </c>
      <c r="X123" s="95" t="s">
        <v>71</v>
      </c>
      <c r="Y123" s="95" t="s">
        <v>71</v>
      </c>
      <c r="Z123" s="95" t="s">
        <v>71</v>
      </c>
      <c r="AA123" s="95" t="s">
        <v>71</v>
      </c>
      <c r="AB123" s="95" t="s">
        <v>71</v>
      </c>
      <c r="AC123" s="95" t="s">
        <v>71</v>
      </c>
      <c r="AD123" s="95" t="s">
        <v>72</v>
      </c>
      <c r="AE123" s="95" t="s">
        <v>71</v>
      </c>
      <c r="AF123" s="95" t="s">
        <v>71</v>
      </c>
      <c r="AG123" s="95" t="s">
        <v>72</v>
      </c>
      <c r="AH123" s="95" t="s">
        <v>71</v>
      </c>
      <c r="AI123" s="95" t="s">
        <v>71</v>
      </c>
      <c r="AK123" s="95" t="s">
        <v>71</v>
      </c>
    </row>
    <row r="124" spans="1:37" x14ac:dyDescent="0.2">
      <c r="A124" s="95" t="s">
        <v>73</v>
      </c>
      <c r="B124" s="95" t="s">
        <v>66</v>
      </c>
      <c r="C124" s="95" t="s">
        <v>67</v>
      </c>
      <c r="D124" s="95" t="s">
        <v>81</v>
      </c>
      <c r="G124" s="95">
        <v>30</v>
      </c>
      <c r="I124" s="95">
        <v>1.72</v>
      </c>
      <c r="P124" s="95">
        <v>2023</v>
      </c>
      <c r="S124" s="95" t="s">
        <v>99</v>
      </c>
      <c r="T124" s="95" t="s">
        <v>135</v>
      </c>
      <c r="U124" s="95" t="s">
        <v>71</v>
      </c>
      <c r="V124" s="95" t="s">
        <v>71</v>
      </c>
      <c r="W124" s="95" t="s">
        <v>72</v>
      </c>
      <c r="X124" s="95" t="s">
        <v>71</v>
      </c>
      <c r="Y124" s="95" t="s">
        <v>71</v>
      </c>
      <c r="Z124" s="95" t="s">
        <v>71</v>
      </c>
      <c r="AA124" s="95" t="s">
        <v>71</v>
      </c>
      <c r="AB124" s="95" t="s">
        <v>71</v>
      </c>
      <c r="AC124" s="95" t="s">
        <v>71</v>
      </c>
      <c r="AD124" s="95" t="s">
        <v>72</v>
      </c>
      <c r="AE124" s="95" t="s">
        <v>71</v>
      </c>
      <c r="AF124" s="95" t="s">
        <v>71</v>
      </c>
      <c r="AG124" s="95" t="s">
        <v>72</v>
      </c>
      <c r="AH124" s="95" t="s">
        <v>71</v>
      </c>
      <c r="AI124" s="95" t="s">
        <v>71</v>
      </c>
      <c r="AK124" s="95" t="s">
        <v>71</v>
      </c>
    </row>
    <row r="125" spans="1:37" x14ac:dyDescent="0.2">
      <c r="A125" s="95" t="s">
        <v>73</v>
      </c>
      <c r="B125" s="95" t="s">
        <v>66</v>
      </c>
      <c r="C125" s="95" t="s">
        <v>67</v>
      </c>
      <c r="D125" s="95" t="s">
        <v>68</v>
      </c>
      <c r="G125" s="95">
        <v>13</v>
      </c>
      <c r="I125" s="95">
        <v>0.68</v>
      </c>
      <c r="P125" s="95">
        <v>2023</v>
      </c>
      <c r="S125" s="95" t="s">
        <v>99</v>
      </c>
      <c r="T125" s="95" t="s">
        <v>136</v>
      </c>
      <c r="U125" s="95" t="s">
        <v>71</v>
      </c>
      <c r="V125" s="95" t="s">
        <v>71</v>
      </c>
      <c r="W125" s="95" t="s">
        <v>72</v>
      </c>
      <c r="X125" s="95" t="s">
        <v>71</v>
      </c>
      <c r="Y125" s="95" t="s">
        <v>71</v>
      </c>
      <c r="Z125" s="95" t="s">
        <v>71</v>
      </c>
      <c r="AA125" s="95" t="s">
        <v>71</v>
      </c>
      <c r="AB125" s="95" t="s">
        <v>71</v>
      </c>
      <c r="AC125" s="95" t="s">
        <v>71</v>
      </c>
      <c r="AD125" s="95" t="s">
        <v>72</v>
      </c>
      <c r="AE125" s="95" t="s">
        <v>71</v>
      </c>
      <c r="AF125" s="95" t="s">
        <v>71</v>
      </c>
      <c r="AG125" s="95" t="s">
        <v>72</v>
      </c>
      <c r="AH125" s="95" t="s">
        <v>71</v>
      </c>
      <c r="AI125" s="95" t="s">
        <v>71</v>
      </c>
      <c r="AK125" s="95" t="s">
        <v>71</v>
      </c>
    </row>
    <row r="126" spans="1:37" x14ac:dyDescent="0.2">
      <c r="A126" s="95" t="s">
        <v>73</v>
      </c>
      <c r="B126" s="95" t="s">
        <v>66</v>
      </c>
      <c r="C126" s="95" t="s">
        <v>67</v>
      </c>
      <c r="D126" s="95" t="s">
        <v>68</v>
      </c>
      <c r="G126" s="95">
        <v>19</v>
      </c>
      <c r="I126" s="95">
        <v>0.86</v>
      </c>
      <c r="P126" s="95">
        <v>2023</v>
      </c>
      <c r="S126" s="95" t="s">
        <v>99</v>
      </c>
      <c r="T126" s="95" t="s">
        <v>137</v>
      </c>
      <c r="U126" s="95" t="s">
        <v>71</v>
      </c>
      <c r="V126" s="95" t="s">
        <v>71</v>
      </c>
      <c r="W126" s="95" t="s">
        <v>72</v>
      </c>
      <c r="X126" s="95" t="s">
        <v>71</v>
      </c>
      <c r="Y126" s="95" t="s">
        <v>71</v>
      </c>
      <c r="Z126" s="95" t="s">
        <v>71</v>
      </c>
      <c r="AA126" s="95" t="s">
        <v>71</v>
      </c>
      <c r="AB126" s="95" t="s">
        <v>71</v>
      </c>
      <c r="AC126" s="95" t="s">
        <v>71</v>
      </c>
      <c r="AD126" s="95" t="s">
        <v>72</v>
      </c>
      <c r="AE126" s="95" t="s">
        <v>71</v>
      </c>
      <c r="AF126" s="95" t="s">
        <v>71</v>
      </c>
      <c r="AG126" s="95" t="s">
        <v>72</v>
      </c>
      <c r="AH126" s="95" t="s">
        <v>71</v>
      </c>
      <c r="AI126" s="95" t="s">
        <v>71</v>
      </c>
      <c r="AK126" s="95" t="s">
        <v>71</v>
      </c>
    </row>
    <row r="127" spans="1:37" x14ac:dyDescent="0.2">
      <c r="A127" s="95" t="s">
        <v>73</v>
      </c>
      <c r="B127" s="95" t="s">
        <v>66</v>
      </c>
      <c r="C127" s="95" t="s">
        <v>67</v>
      </c>
      <c r="D127" s="95" t="s">
        <v>68</v>
      </c>
      <c r="G127" s="95">
        <v>19</v>
      </c>
      <c r="I127" s="95">
        <v>1.1200000000000001</v>
      </c>
      <c r="P127" s="95">
        <v>2023</v>
      </c>
      <c r="S127" s="95" t="s">
        <v>99</v>
      </c>
      <c r="T127" s="95" t="s">
        <v>138</v>
      </c>
      <c r="U127" s="95" t="s">
        <v>71</v>
      </c>
      <c r="V127" s="95" t="s">
        <v>71</v>
      </c>
      <c r="W127" s="95" t="s">
        <v>72</v>
      </c>
      <c r="X127" s="95" t="s">
        <v>71</v>
      </c>
      <c r="Y127" s="95" t="s">
        <v>71</v>
      </c>
      <c r="Z127" s="95" t="s">
        <v>71</v>
      </c>
      <c r="AA127" s="95" t="s">
        <v>71</v>
      </c>
      <c r="AB127" s="95" t="s">
        <v>71</v>
      </c>
      <c r="AC127" s="95" t="s">
        <v>71</v>
      </c>
      <c r="AD127" s="95" t="s">
        <v>72</v>
      </c>
      <c r="AE127" s="95" t="s">
        <v>71</v>
      </c>
      <c r="AF127" s="95" t="s">
        <v>71</v>
      </c>
      <c r="AG127" s="95" t="s">
        <v>72</v>
      </c>
      <c r="AH127" s="95" t="s">
        <v>71</v>
      </c>
      <c r="AI127" s="95" t="s">
        <v>71</v>
      </c>
      <c r="AK127" s="95" t="s">
        <v>71</v>
      </c>
    </row>
    <row r="128" spans="1:37" x14ac:dyDescent="0.2">
      <c r="A128" s="95" t="s">
        <v>73</v>
      </c>
      <c r="B128" s="95" t="s">
        <v>66</v>
      </c>
      <c r="C128" s="95" t="s">
        <v>91</v>
      </c>
      <c r="G128" s="95">
        <v>21</v>
      </c>
      <c r="I128" s="95">
        <v>42.61</v>
      </c>
      <c r="P128" s="95">
        <v>2023</v>
      </c>
      <c r="S128" s="95" t="s">
        <v>99</v>
      </c>
      <c r="T128" s="4" t="s">
        <v>139</v>
      </c>
      <c r="U128" s="95" t="s">
        <v>71</v>
      </c>
      <c r="V128" s="95" t="s">
        <v>71</v>
      </c>
      <c r="W128" s="95" t="s">
        <v>72</v>
      </c>
      <c r="X128" s="95" t="s">
        <v>71</v>
      </c>
      <c r="Y128" s="95" t="s">
        <v>71</v>
      </c>
      <c r="Z128" s="95" t="s">
        <v>71</v>
      </c>
      <c r="AA128" s="95" t="s">
        <v>71</v>
      </c>
      <c r="AB128" s="95" t="s">
        <v>71</v>
      </c>
      <c r="AC128" s="95" t="s">
        <v>71</v>
      </c>
      <c r="AD128" s="95" t="s">
        <v>72</v>
      </c>
      <c r="AE128" s="95" t="s">
        <v>71</v>
      </c>
      <c r="AF128" s="95" t="s">
        <v>71</v>
      </c>
      <c r="AG128" s="95" t="s">
        <v>72</v>
      </c>
      <c r="AH128" s="95" t="s">
        <v>71</v>
      </c>
      <c r="AI128" s="95" t="s">
        <v>71</v>
      </c>
      <c r="AK128" s="95" t="s">
        <v>72</v>
      </c>
    </row>
    <row r="129" spans="1:37" x14ac:dyDescent="0.2">
      <c r="A129" s="95" t="s">
        <v>73</v>
      </c>
      <c r="B129" s="95" t="s">
        <v>66</v>
      </c>
      <c r="C129" s="95" t="s">
        <v>67</v>
      </c>
      <c r="D129" s="95" t="s">
        <v>68</v>
      </c>
      <c r="G129" s="95">
        <v>30</v>
      </c>
      <c r="I129" s="95">
        <v>1.36</v>
      </c>
      <c r="P129" s="95">
        <v>2023</v>
      </c>
      <c r="S129" s="95" t="s">
        <v>99</v>
      </c>
      <c r="T129" s="95" t="s">
        <v>140</v>
      </c>
      <c r="U129" s="95" t="s">
        <v>71</v>
      </c>
      <c r="V129" s="95" t="s">
        <v>71</v>
      </c>
      <c r="W129" s="95" t="s">
        <v>72</v>
      </c>
      <c r="X129" s="95" t="s">
        <v>71</v>
      </c>
      <c r="Y129" s="95" t="s">
        <v>71</v>
      </c>
      <c r="Z129" s="95" t="s">
        <v>71</v>
      </c>
      <c r="AA129" s="95" t="s">
        <v>71</v>
      </c>
      <c r="AB129" s="95" t="s">
        <v>71</v>
      </c>
      <c r="AC129" s="95" t="s">
        <v>71</v>
      </c>
      <c r="AD129" s="95" t="s">
        <v>72</v>
      </c>
      <c r="AE129" s="95" t="s">
        <v>71</v>
      </c>
      <c r="AF129" s="95" t="s">
        <v>71</v>
      </c>
      <c r="AG129" s="95" t="s">
        <v>72</v>
      </c>
      <c r="AH129" s="95" t="s">
        <v>71</v>
      </c>
      <c r="AI129" s="95" t="s">
        <v>71</v>
      </c>
      <c r="AK129" s="95" t="s">
        <v>71</v>
      </c>
    </row>
    <row r="130" spans="1:37" x14ac:dyDescent="0.2">
      <c r="A130" s="95" t="s">
        <v>73</v>
      </c>
      <c r="B130" s="95" t="s">
        <v>66</v>
      </c>
      <c r="C130" s="95" t="s">
        <v>67</v>
      </c>
      <c r="D130" s="95" t="s">
        <v>81</v>
      </c>
      <c r="G130" s="95">
        <v>13</v>
      </c>
      <c r="I130" s="95">
        <v>0.57999999999999996</v>
      </c>
      <c r="P130" s="95">
        <v>2023</v>
      </c>
      <c r="S130" s="95" t="s">
        <v>99</v>
      </c>
      <c r="T130" s="95" t="s">
        <v>141</v>
      </c>
      <c r="U130" s="95" t="s">
        <v>71</v>
      </c>
      <c r="V130" s="95" t="s">
        <v>71</v>
      </c>
      <c r="W130" s="95" t="s">
        <v>72</v>
      </c>
      <c r="X130" s="95" t="s">
        <v>71</v>
      </c>
      <c r="Y130" s="95" t="s">
        <v>71</v>
      </c>
      <c r="Z130" s="95" t="s">
        <v>71</v>
      </c>
      <c r="AA130" s="95" t="s">
        <v>71</v>
      </c>
      <c r="AB130" s="95" t="s">
        <v>71</v>
      </c>
      <c r="AC130" s="95" t="s">
        <v>71</v>
      </c>
      <c r="AD130" s="95" t="s">
        <v>72</v>
      </c>
      <c r="AE130" s="95" t="s">
        <v>71</v>
      </c>
      <c r="AF130" s="95" t="s">
        <v>71</v>
      </c>
      <c r="AG130" s="95" t="s">
        <v>72</v>
      </c>
      <c r="AH130" s="95" t="s">
        <v>71</v>
      </c>
      <c r="AI130" s="95" t="s">
        <v>71</v>
      </c>
      <c r="AK130" s="95" t="s">
        <v>71</v>
      </c>
    </row>
    <row r="131" spans="1:37" x14ac:dyDescent="0.2">
      <c r="A131" s="95" t="s">
        <v>73</v>
      </c>
      <c r="B131" s="95" t="s">
        <v>66</v>
      </c>
      <c r="C131" s="95" t="s">
        <v>67</v>
      </c>
      <c r="D131" s="95" t="s">
        <v>68</v>
      </c>
      <c r="G131" s="95">
        <v>13</v>
      </c>
      <c r="I131" s="95">
        <v>0.75</v>
      </c>
      <c r="P131" s="95">
        <v>2023</v>
      </c>
      <c r="S131" s="95" t="s">
        <v>99</v>
      </c>
      <c r="T131" s="95" t="s">
        <v>142</v>
      </c>
      <c r="U131" s="95" t="s">
        <v>71</v>
      </c>
      <c r="V131" s="95" t="s">
        <v>71</v>
      </c>
      <c r="W131" s="95" t="s">
        <v>72</v>
      </c>
      <c r="X131" s="95" t="s">
        <v>71</v>
      </c>
      <c r="Y131" s="95" t="s">
        <v>71</v>
      </c>
      <c r="Z131" s="95" t="s">
        <v>71</v>
      </c>
      <c r="AA131" s="95" t="s">
        <v>71</v>
      </c>
      <c r="AB131" s="95" t="s">
        <v>71</v>
      </c>
      <c r="AC131" s="95" t="s">
        <v>71</v>
      </c>
      <c r="AD131" s="95" t="s">
        <v>72</v>
      </c>
      <c r="AE131" s="95" t="s">
        <v>71</v>
      </c>
      <c r="AF131" s="95" t="s">
        <v>71</v>
      </c>
      <c r="AG131" s="95" t="s">
        <v>72</v>
      </c>
      <c r="AH131" s="95" t="s">
        <v>71</v>
      </c>
      <c r="AI131" s="95" t="s">
        <v>71</v>
      </c>
      <c r="AK131" s="95" t="s">
        <v>71</v>
      </c>
    </row>
    <row r="132" spans="1:37" x14ac:dyDescent="0.2">
      <c r="A132" s="95" t="s">
        <v>73</v>
      </c>
      <c r="B132" s="95" t="s">
        <v>66</v>
      </c>
      <c r="C132" s="95" t="s">
        <v>67</v>
      </c>
      <c r="D132" s="95" t="s">
        <v>81</v>
      </c>
      <c r="G132" s="95">
        <v>19</v>
      </c>
      <c r="I132" s="95">
        <v>1.02</v>
      </c>
      <c r="P132" s="95">
        <v>2023</v>
      </c>
      <c r="S132" s="95" t="s">
        <v>99</v>
      </c>
      <c r="T132" s="95" t="s">
        <v>143</v>
      </c>
      <c r="U132" s="95" t="s">
        <v>71</v>
      </c>
      <c r="V132" s="95" t="s">
        <v>71</v>
      </c>
      <c r="W132" s="95" t="s">
        <v>72</v>
      </c>
      <c r="X132" s="95" t="s">
        <v>71</v>
      </c>
      <c r="Y132" s="95" t="s">
        <v>71</v>
      </c>
      <c r="Z132" s="95" t="s">
        <v>71</v>
      </c>
      <c r="AA132" s="95" t="s">
        <v>71</v>
      </c>
      <c r="AB132" s="95" t="s">
        <v>71</v>
      </c>
      <c r="AC132" s="95" t="s">
        <v>71</v>
      </c>
      <c r="AD132" s="95" t="s">
        <v>72</v>
      </c>
      <c r="AE132" s="95" t="s">
        <v>71</v>
      </c>
      <c r="AF132" s="95" t="s">
        <v>71</v>
      </c>
      <c r="AG132" s="95" t="s">
        <v>72</v>
      </c>
      <c r="AH132" s="95" t="s">
        <v>71</v>
      </c>
      <c r="AI132" s="95" t="s">
        <v>71</v>
      </c>
      <c r="AK132" s="95" t="s">
        <v>71</v>
      </c>
    </row>
    <row r="133" spans="1:37" x14ac:dyDescent="0.2">
      <c r="A133" s="95" t="s">
        <v>73</v>
      </c>
      <c r="B133" s="95" t="s">
        <v>66</v>
      </c>
      <c r="C133" s="95" t="s">
        <v>67</v>
      </c>
      <c r="D133" s="95" t="s">
        <v>81</v>
      </c>
      <c r="G133" s="95">
        <v>19</v>
      </c>
      <c r="I133" s="95">
        <v>0.87</v>
      </c>
      <c r="P133" s="95">
        <v>2023</v>
      </c>
      <c r="S133" s="95" t="s">
        <v>99</v>
      </c>
      <c r="T133" s="95" t="s">
        <v>144</v>
      </c>
      <c r="U133" s="95" t="s">
        <v>71</v>
      </c>
      <c r="V133" s="95" t="s">
        <v>71</v>
      </c>
      <c r="W133" s="95" t="s">
        <v>72</v>
      </c>
      <c r="X133" s="95" t="s">
        <v>71</v>
      </c>
      <c r="Y133" s="95" t="s">
        <v>71</v>
      </c>
      <c r="Z133" s="95" t="s">
        <v>71</v>
      </c>
      <c r="AA133" s="95" t="s">
        <v>71</v>
      </c>
      <c r="AB133" s="95" t="s">
        <v>71</v>
      </c>
      <c r="AC133" s="95" t="s">
        <v>71</v>
      </c>
      <c r="AD133" s="95" t="s">
        <v>72</v>
      </c>
      <c r="AE133" s="95" t="s">
        <v>71</v>
      </c>
      <c r="AF133" s="95" t="s">
        <v>71</v>
      </c>
      <c r="AG133" s="95" t="s">
        <v>72</v>
      </c>
      <c r="AH133" s="95" t="s">
        <v>71</v>
      </c>
      <c r="AI133" s="95" t="s">
        <v>71</v>
      </c>
      <c r="AK133" s="95" t="s">
        <v>71</v>
      </c>
    </row>
    <row r="134" spans="1:37" x14ac:dyDescent="0.2">
      <c r="A134" s="95" t="s">
        <v>73</v>
      </c>
      <c r="B134" s="95" t="s">
        <v>66</v>
      </c>
      <c r="C134" s="95" t="s">
        <v>67</v>
      </c>
      <c r="D134" s="95" t="s">
        <v>81</v>
      </c>
      <c r="G134" s="95">
        <v>30</v>
      </c>
      <c r="I134" s="95">
        <v>1.33</v>
      </c>
      <c r="P134" s="95">
        <v>2023</v>
      </c>
      <c r="S134" s="95" t="s">
        <v>99</v>
      </c>
      <c r="T134" s="95" t="s">
        <v>145</v>
      </c>
      <c r="U134" s="95" t="s">
        <v>71</v>
      </c>
      <c r="V134" s="95" t="s">
        <v>71</v>
      </c>
      <c r="W134" s="95" t="s">
        <v>72</v>
      </c>
      <c r="X134" s="95" t="s">
        <v>71</v>
      </c>
      <c r="Y134" s="95" t="s">
        <v>71</v>
      </c>
      <c r="Z134" s="95" t="s">
        <v>71</v>
      </c>
      <c r="AA134" s="95" t="s">
        <v>71</v>
      </c>
      <c r="AB134" s="95" t="s">
        <v>71</v>
      </c>
      <c r="AC134" s="95" t="s">
        <v>71</v>
      </c>
      <c r="AD134" s="95" t="s">
        <v>72</v>
      </c>
      <c r="AE134" s="95" t="s">
        <v>71</v>
      </c>
      <c r="AF134" s="95" t="s">
        <v>71</v>
      </c>
      <c r="AG134" s="95" t="s">
        <v>72</v>
      </c>
      <c r="AH134" s="95" t="s">
        <v>71</v>
      </c>
      <c r="AI134" s="95" t="s">
        <v>71</v>
      </c>
      <c r="AK134" s="95" t="s">
        <v>71</v>
      </c>
    </row>
    <row r="135" spans="1:37" x14ac:dyDescent="0.2">
      <c r="A135" s="95" t="s">
        <v>73</v>
      </c>
      <c r="B135" s="95" t="s">
        <v>66</v>
      </c>
      <c r="C135" s="95" t="s">
        <v>91</v>
      </c>
      <c r="G135" s="95">
        <v>13</v>
      </c>
      <c r="I135" s="95">
        <v>23.26</v>
      </c>
      <c r="P135" s="95">
        <v>2023</v>
      </c>
      <c r="S135" s="95" t="s">
        <v>99</v>
      </c>
      <c r="T135" s="95" t="s">
        <v>146</v>
      </c>
      <c r="U135" s="95" t="s">
        <v>71</v>
      </c>
      <c r="V135" s="95" t="s">
        <v>71</v>
      </c>
      <c r="W135" s="95" t="s">
        <v>72</v>
      </c>
      <c r="X135" s="95" t="s">
        <v>71</v>
      </c>
      <c r="Y135" s="95" t="s">
        <v>71</v>
      </c>
      <c r="Z135" s="95" t="s">
        <v>71</v>
      </c>
      <c r="AA135" s="95" t="s">
        <v>71</v>
      </c>
      <c r="AB135" s="95" t="s">
        <v>71</v>
      </c>
      <c r="AC135" s="95" t="s">
        <v>71</v>
      </c>
      <c r="AD135" s="95" t="s">
        <v>72</v>
      </c>
      <c r="AE135" s="95" t="s">
        <v>71</v>
      </c>
      <c r="AF135" s="95" t="s">
        <v>71</v>
      </c>
      <c r="AG135" s="95" t="s">
        <v>72</v>
      </c>
      <c r="AH135" s="95" t="s">
        <v>71</v>
      </c>
      <c r="AI135" s="95" t="s">
        <v>71</v>
      </c>
      <c r="AK135" s="95" t="s">
        <v>72</v>
      </c>
    </row>
    <row r="136" spans="1:37" x14ac:dyDescent="0.2">
      <c r="A136" s="95" t="s">
        <v>73</v>
      </c>
      <c r="B136" s="95" t="s">
        <v>66</v>
      </c>
      <c r="C136" s="95" t="s">
        <v>67</v>
      </c>
      <c r="D136" s="95" t="s">
        <v>81</v>
      </c>
      <c r="G136" s="95">
        <v>19</v>
      </c>
      <c r="I136" s="95">
        <v>0.99</v>
      </c>
      <c r="P136" s="95">
        <v>2023</v>
      </c>
      <c r="S136" s="95" t="s">
        <v>99</v>
      </c>
      <c r="T136" s="95" t="s">
        <v>147</v>
      </c>
      <c r="U136" s="95" t="s">
        <v>71</v>
      </c>
      <c r="V136" s="95" t="s">
        <v>71</v>
      </c>
      <c r="W136" s="95" t="s">
        <v>72</v>
      </c>
      <c r="X136" s="95" t="s">
        <v>71</v>
      </c>
      <c r="Y136" s="95" t="s">
        <v>71</v>
      </c>
      <c r="Z136" s="95" t="s">
        <v>71</v>
      </c>
      <c r="AA136" s="95" t="s">
        <v>71</v>
      </c>
      <c r="AB136" s="95" t="s">
        <v>71</v>
      </c>
      <c r="AC136" s="95" t="s">
        <v>71</v>
      </c>
      <c r="AD136" s="95" t="s">
        <v>72</v>
      </c>
      <c r="AE136" s="95" t="s">
        <v>71</v>
      </c>
      <c r="AF136" s="95" t="s">
        <v>71</v>
      </c>
      <c r="AG136" s="95" t="s">
        <v>72</v>
      </c>
      <c r="AH136" s="95" t="s">
        <v>71</v>
      </c>
      <c r="AI136" s="95" t="s">
        <v>71</v>
      </c>
      <c r="AK136" s="95" t="s">
        <v>71</v>
      </c>
    </row>
    <row r="137" spans="1:37" x14ac:dyDescent="0.2">
      <c r="A137" s="95" t="s">
        <v>73</v>
      </c>
      <c r="B137" s="95" t="s">
        <v>66</v>
      </c>
      <c r="C137" s="95" t="s">
        <v>67</v>
      </c>
      <c r="D137" s="95" t="s">
        <v>68</v>
      </c>
      <c r="G137" s="95">
        <v>15</v>
      </c>
      <c r="I137" s="95">
        <v>1.27</v>
      </c>
      <c r="P137" s="95">
        <v>2023</v>
      </c>
      <c r="S137" s="95" t="s">
        <v>99</v>
      </c>
      <c r="T137" s="95" t="s">
        <v>148</v>
      </c>
      <c r="U137" s="95" t="s">
        <v>71</v>
      </c>
      <c r="V137" s="95" t="s">
        <v>71</v>
      </c>
      <c r="W137" s="95" t="s">
        <v>72</v>
      </c>
      <c r="X137" s="95" t="s">
        <v>71</v>
      </c>
      <c r="Y137" s="95" t="s">
        <v>71</v>
      </c>
      <c r="Z137" s="95" t="s">
        <v>71</v>
      </c>
      <c r="AA137" s="95" t="s">
        <v>71</v>
      </c>
      <c r="AB137" s="95" t="s">
        <v>71</v>
      </c>
      <c r="AC137" s="95" t="s">
        <v>71</v>
      </c>
      <c r="AD137" s="95" t="s">
        <v>72</v>
      </c>
      <c r="AE137" s="95" t="s">
        <v>71</v>
      </c>
      <c r="AF137" s="95" t="s">
        <v>71</v>
      </c>
      <c r="AG137" s="95" t="s">
        <v>72</v>
      </c>
      <c r="AH137" s="95" t="s">
        <v>71</v>
      </c>
      <c r="AI137" s="95" t="s">
        <v>71</v>
      </c>
      <c r="AK137" s="95" t="s">
        <v>71</v>
      </c>
    </row>
    <row r="138" spans="1:37" x14ac:dyDescent="0.2">
      <c r="A138" s="95" t="s">
        <v>73</v>
      </c>
      <c r="B138" s="95" t="s">
        <v>66</v>
      </c>
      <c r="C138" s="95" t="s">
        <v>67</v>
      </c>
      <c r="D138" s="95" t="s">
        <v>81</v>
      </c>
      <c r="G138" s="95">
        <v>13</v>
      </c>
      <c r="I138" s="95">
        <v>0.78</v>
      </c>
      <c r="P138" s="95">
        <v>2023</v>
      </c>
      <c r="S138" s="95" t="s">
        <v>99</v>
      </c>
      <c r="T138" s="95" t="s">
        <v>149</v>
      </c>
      <c r="U138" s="95" t="s">
        <v>71</v>
      </c>
      <c r="V138" s="95" t="s">
        <v>71</v>
      </c>
      <c r="W138" s="95" t="s">
        <v>72</v>
      </c>
      <c r="X138" s="95" t="s">
        <v>71</v>
      </c>
      <c r="Y138" s="95" t="s">
        <v>71</v>
      </c>
      <c r="Z138" s="95" t="s">
        <v>71</v>
      </c>
      <c r="AA138" s="95" t="s">
        <v>71</v>
      </c>
      <c r="AB138" s="95" t="s">
        <v>71</v>
      </c>
      <c r="AC138" s="95" t="s">
        <v>71</v>
      </c>
      <c r="AD138" s="95" t="s">
        <v>72</v>
      </c>
      <c r="AE138" s="95" t="s">
        <v>71</v>
      </c>
      <c r="AF138" s="95" t="s">
        <v>71</v>
      </c>
      <c r="AG138" s="95" t="s">
        <v>72</v>
      </c>
      <c r="AH138" s="95" t="s">
        <v>71</v>
      </c>
      <c r="AI138" s="95" t="s">
        <v>71</v>
      </c>
      <c r="AK138" s="95" t="s">
        <v>71</v>
      </c>
    </row>
    <row r="139" spans="1:37" x14ac:dyDescent="0.2">
      <c r="A139" s="95" t="s">
        <v>73</v>
      </c>
      <c r="B139" s="95" t="s">
        <v>66</v>
      </c>
      <c r="C139" s="95" t="s">
        <v>67</v>
      </c>
      <c r="D139" s="95" t="s">
        <v>68</v>
      </c>
      <c r="G139" s="95">
        <v>30</v>
      </c>
      <c r="I139" s="95">
        <v>1.74</v>
      </c>
      <c r="P139" s="95">
        <v>2023</v>
      </c>
      <c r="S139" s="95" t="s">
        <v>99</v>
      </c>
      <c r="T139" s="95" t="s">
        <v>150</v>
      </c>
      <c r="U139" s="95" t="s">
        <v>71</v>
      </c>
      <c r="V139" s="95" t="s">
        <v>71</v>
      </c>
      <c r="W139" s="95" t="s">
        <v>72</v>
      </c>
      <c r="X139" s="95" t="s">
        <v>71</v>
      </c>
      <c r="Y139" s="95" t="s">
        <v>71</v>
      </c>
      <c r="Z139" s="95" t="s">
        <v>71</v>
      </c>
      <c r="AA139" s="95" t="s">
        <v>71</v>
      </c>
      <c r="AB139" s="95" t="s">
        <v>71</v>
      </c>
      <c r="AC139" s="95" t="s">
        <v>71</v>
      </c>
      <c r="AD139" s="95" t="s">
        <v>72</v>
      </c>
      <c r="AE139" s="95" t="s">
        <v>71</v>
      </c>
      <c r="AF139" s="95" t="s">
        <v>71</v>
      </c>
      <c r="AG139" s="95" t="s">
        <v>72</v>
      </c>
      <c r="AH139" s="95" t="s">
        <v>71</v>
      </c>
      <c r="AI139" s="95" t="s">
        <v>71</v>
      </c>
      <c r="AK139" s="95" t="s">
        <v>71</v>
      </c>
    </row>
    <row r="140" spans="1:37" x14ac:dyDescent="0.2">
      <c r="A140" s="95" t="s">
        <v>73</v>
      </c>
      <c r="B140" s="95" t="s">
        <v>66</v>
      </c>
      <c r="G140" s="95">
        <v>19</v>
      </c>
      <c r="I140" s="95">
        <v>15.29</v>
      </c>
      <c r="P140" s="95">
        <v>2023</v>
      </c>
      <c r="S140" s="95" t="s">
        <v>99</v>
      </c>
      <c r="T140" s="95" t="s">
        <v>151</v>
      </c>
      <c r="U140" s="95" t="s">
        <v>71</v>
      </c>
      <c r="V140" s="95" t="s">
        <v>71</v>
      </c>
      <c r="W140" s="95" t="s">
        <v>72</v>
      </c>
      <c r="X140" s="95" t="s">
        <v>71</v>
      </c>
      <c r="Y140" s="95" t="s">
        <v>71</v>
      </c>
      <c r="Z140" s="95" t="s">
        <v>71</v>
      </c>
      <c r="AA140" s="95" t="s">
        <v>71</v>
      </c>
      <c r="AB140" s="95" t="s">
        <v>71</v>
      </c>
      <c r="AC140" s="95" t="s">
        <v>71</v>
      </c>
      <c r="AD140" s="95" t="s">
        <v>72</v>
      </c>
      <c r="AE140" s="95" t="s">
        <v>71</v>
      </c>
      <c r="AF140" s="95" t="s">
        <v>71</v>
      </c>
      <c r="AG140" s="95" t="s">
        <v>72</v>
      </c>
      <c r="AH140" s="95" t="s">
        <v>71</v>
      </c>
      <c r="AI140" s="95" t="s">
        <v>71</v>
      </c>
      <c r="AK140" s="95" t="s">
        <v>72</v>
      </c>
    </row>
    <row r="141" spans="1:37" x14ac:dyDescent="0.2">
      <c r="A141" s="95" t="s">
        <v>73</v>
      </c>
      <c r="B141" s="95" t="s">
        <v>66</v>
      </c>
      <c r="C141" s="95" t="s">
        <v>67</v>
      </c>
      <c r="D141" s="95" t="s">
        <v>81</v>
      </c>
      <c r="G141" s="95">
        <v>13</v>
      </c>
      <c r="I141" s="95">
        <v>0.42</v>
      </c>
      <c r="P141" s="95">
        <v>2023</v>
      </c>
      <c r="S141" s="95" t="s">
        <v>99</v>
      </c>
      <c r="T141" s="95" t="s">
        <v>152</v>
      </c>
      <c r="U141" s="95" t="s">
        <v>71</v>
      </c>
      <c r="V141" s="95" t="s">
        <v>71</v>
      </c>
      <c r="W141" s="95" t="s">
        <v>72</v>
      </c>
      <c r="X141" s="95" t="s">
        <v>71</v>
      </c>
      <c r="Y141" s="95" t="s">
        <v>71</v>
      </c>
      <c r="Z141" s="95" t="s">
        <v>71</v>
      </c>
      <c r="AA141" s="95" t="s">
        <v>71</v>
      </c>
      <c r="AB141" s="95" t="s">
        <v>71</v>
      </c>
      <c r="AC141" s="95" t="s">
        <v>71</v>
      </c>
      <c r="AD141" s="95" t="s">
        <v>72</v>
      </c>
      <c r="AE141" s="95" t="s">
        <v>71</v>
      </c>
      <c r="AF141" s="95" t="s">
        <v>71</v>
      </c>
      <c r="AG141" s="95" t="s">
        <v>72</v>
      </c>
      <c r="AH141" s="95" t="s">
        <v>71</v>
      </c>
      <c r="AI141" s="95" t="s">
        <v>71</v>
      </c>
      <c r="AK141" s="95" t="s">
        <v>71</v>
      </c>
    </row>
    <row r="142" spans="1:37" x14ac:dyDescent="0.2">
      <c r="A142" s="95" t="s">
        <v>73</v>
      </c>
      <c r="B142" s="95" t="s">
        <v>66</v>
      </c>
      <c r="C142" s="95" t="s">
        <v>67</v>
      </c>
      <c r="D142" s="95" t="s">
        <v>81</v>
      </c>
      <c r="G142" s="95">
        <v>19</v>
      </c>
      <c r="I142" s="95">
        <v>0.76</v>
      </c>
      <c r="P142" s="95">
        <v>2023</v>
      </c>
      <c r="S142" s="95" t="s">
        <v>99</v>
      </c>
      <c r="T142" s="95" t="s">
        <v>153</v>
      </c>
      <c r="U142" s="95" t="s">
        <v>71</v>
      </c>
      <c r="V142" s="95" t="s">
        <v>71</v>
      </c>
      <c r="W142" s="95" t="s">
        <v>72</v>
      </c>
      <c r="X142" s="95" t="s">
        <v>71</v>
      </c>
      <c r="Y142" s="95" t="s">
        <v>71</v>
      </c>
      <c r="Z142" s="95" t="s">
        <v>71</v>
      </c>
      <c r="AA142" s="95" t="s">
        <v>71</v>
      </c>
      <c r="AB142" s="95" t="s">
        <v>71</v>
      </c>
      <c r="AC142" s="95" t="s">
        <v>71</v>
      </c>
      <c r="AD142" s="95" t="s">
        <v>72</v>
      </c>
      <c r="AE142" s="95" t="s">
        <v>71</v>
      </c>
      <c r="AF142" s="95" t="s">
        <v>71</v>
      </c>
      <c r="AG142" s="95" t="s">
        <v>72</v>
      </c>
      <c r="AH142" s="95" t="s">
        <v>71</v>
      </c>
      <c r="AI142" s="95" t="s">
        <v>71</v>
      </c>
      <c r="AK142" s="95" t="s">
        <v>71</v>
      </c>
    </row>
    <row r="143" spans="1:37" x14ac:dyDescent="0.2">
      <c r="A143" s="95" t="s">
        <v>73</v>
      </c>
      <c r="B143" s="95" t="s">
        <v>66</v>
      </c>
      <c r="C143" s="95" t="s">
        <v>67</v>
      </c>
      <c r="D143" s="95" t="s">
        <v>68</v>
      </c>
      <c r="G143" s="95">
        <v>30</v>
      </c>
      <c r="I143" s="95">
        <v>1.1599999999999999</v>
      </c>
      <c r="P143" s="95">
        <v>2023</v>
      </c>
      <c r="S143" s="95" t="s">
        <v>99</v>
      </c>
      <c r="T143" s="95" t="s">
        <v>154</v>
      </c>
      <c r="U143" s="95" t="s">
        <v>71</v>
      </c>
      <c r="V143" s="95" t="s">
        <v>71</v>
      </c>
      <c r="W143" s="95" t="s">
        <v>72</v>
      </c>
      <c r="X143" s="95" t="s">
        <v>71</v>
      </c>
      <c r="Y143" s="95" t="s">
        <v>71</v>
      </c>
      <c r="Z143" s="95" t="s">
        <v>71</v>
      </c>
      <c r="AA143" s="95" t="s">
        <v>71</v>
      </c>
      <c r="AB143" s="95" t="s">
        <v>71</v>
      </c>
      <c r="AC143" s="95" t="s">
        <v>71</v>
      </c>
      <c r="AD143" s="95" t="s">
        <v>72</v>
      </c>
      <c r="AE143" s="95" t="s">
        <v>71</v>
      </c>
      <c r="AF143" s="95" t="s">
        <v>71</v>
      </c>
      <c r="AG143" s="95" t="s">
        <v>72</v>
      </c>
      <c r="AH143" s="95" t="s">
        <v>71</v>
      </c>
      <c r="AI143" s="95" t="s">
        <v>71</v>
      </c>
      <c r="AK143" s="95" t="s">
        <v>71</v>
      </c>
    </row>
    <row r="144" spans="1:37" x14ac:dyDescent="0.2">
      <c r="A144" s="95" t="s">
        <v>73</v>
      </c>
      <c r="B144" s="95" t="s">
        <v>66</v>
      </c>
      <c r="C144" s="95" t="s">
        <v>67</v>
      </c>
      <c r="D144" s="95" t="s">
        <v>81</v>
      </c>
      <c r="G144" s="95">
        <v>15</v>
      </c>
      <c r="I144" s="95">
        <v>1.1200000000000001</v>
      </c>
      <c r="P144" s="95">
        <v>2023</v>
      </c>
      <c r="S144" s="95" t="s">
        <v>99</v>
      </c>
      <c r="T144" s="95" t="s">
        <v>155</v>
      </c>
      <c r="U144" s="95" t="s">
        <v>71</v>
      </c>
      <c r="V144" s="95" t="s">
        <v>71</v>
      </c>
      <c r="W144" s="95" t="s">
        <v>72</v>
      </c>
      <c r="X144" s="95" t="s">
        <v>71</v>
      </c>
      <c r="Y144" s="95" t="s">
        <v>71</v>
      </c>
      <c r="Z144" s="95" t="s">
        <v>71</v>
      </c>
      <c r="AA144" s="95" t="s">
        <v>71</v>
      </c>
      <c r="AB144" s="95" t="s">
        <v>71</v>
      </c>
      <c r="AC144" s="95" t="s">
        <v>71</v>
      </c>
      <c r="AD144" s="95" t="s">
        <v>72</v>
      </c>
      <c r="AE144" s="95" t="s">
        <v>71</v>
      </c>
      <c r="AF144" s="95" t="s">
        <v>71</v>
      </c>
      <c r="AG144" s="95" t="s">
        <v>72</v>
      </c>
      <c r="AH144" s="95" t="s">
        <v>71</v>
      </c>
      <c r="AI144" s="95" t="s">
        <v>71</v>
      </c>
      <c r="AK144" s="95" t="s">
        <v>71</v>
      </c>
    </row>
    <row r="145" spans="1:37" x14ac:dyDescent="0.2">
      <c r="A145" s="95" t="s">
        <v>73</v>
      </c>
      <c r="B145" s="95" t="s">
        <v>66</v>
      </c>
      <c r="C145" s="95" t="s">
        <v>67</v>
      </c>
      <c r="D145" s="95" t="s">
        <v>68</v>
      </c>
      <c r="G145" s="95">
        <v>30</v>
      </c>
      <c r="I145" s="95">
        <v>1.47</v>
      </c>
      <c r="P145" s="95">
        <v>2023</v>
      </c>
      <c r="S145" s="95" t="s">
        <v>99</v>
      </c>
      <c r="T145" s="95" t="s">
        <v>156</v>
      </c>
      <c r="U145" s="95" t="s">
        <v>71</v>
      </c>
      <c r="V145" s="95" t="s">
        <v>71</v>
      </c>
      <c r="W145" s="95" t="s">
        <v>72</v>
      </c>
      <c r="X145" s="95" t="s">
        <v>71</v>
      </c>
      <c r="Y145" s="95" t="s">
        <v>71</v>
      </c>
      <c r="Z145" s="95" t="s">
        <v>71</v>
      </c>
      <c r="AA145" s="95" t="s">
        <v>71</v>
      </c>
      <c r="AB145" s="95" t="s">
        <v>71</v>
      </c>
      <c r="AC145" s="95" t="s">
        <v>71</v>
      </c>
      <c r="AD145" s="95" t="s">
        <v>72</v>
      </c>
      <c r="AE145" s="95" t="s">
        <v>71</v>
      </c>
      <c r="AF145" s="95" t="s">
        <v>71</v>
      </c>
      <c r="AG145" s="95" t="s">
        <v>72</v>
      </c>
      <c r="AH145" s="95" t="s">
        <v>71</v>
      </c>
      <c r="AI145" s="95" t="s">
        <v>71</v>
      </c>
      <c r="AK145" s="95" t="s">
        <v>71</v>
      </c>
    </row>
    <row r="146" spans="1:37" x14ac:dyDescent="0.2">
      <c r="A146" s="95" t="s">
        <v>73</v>
      </c>
      <c r="B146" s="95" t="s">
        <v>66</v>
      </c>
      <c r="C146" s="95" t="s">
        <v>67</v>
      </c>
      <c r="D146" s="95" t="s">
        <v>81</v>
      </c>
      <c r="G146" s="95">
        <v>19</v>
      </c>
      <c r="I146" s="95">
        <v>0.87</v>
      </c>
      <c r="P146" s="95">
        <v>2023</v>
      </c>
      <c r="S146" s="95" t="s">
        <v>99</v>
      </c>
      <c r="T146" s="95" t="s">
        <v>157</v>
      </c>
      <c r="U146" s="95" t="s">
        <v>71</v>
      </c>
      <c r="V146" s="95" t="s">
        <v>71</v>
      </c>
      <c r="W146" s="95" t="s">
        <v>72</v>
      </c>
      <c r="X146" s="95" t="s">
        <v>71</v>
      </c>
      <c r="Y146" s="95" t="s">
        <v>71</v>
      </c>
      <c r="Z146" s="95" t="s">
        <v>71</v>
      </c>
      <c r="AA146" s="95" t="s">
        <v>71</v>
      </c>
      <c r="AB146" s="95" t="s">
        <v>71</v>
      </c>
      <c r="AC146" s="95" t="s">
        <v>71</v>
      </c>
      <c r="AD146" s="95" t="s">
        <v>72</v>
      </c>
      <c r="AE146" s="95" t="s">
        <v>71</v>
      </c>
      <c r="AF146" s="95" t="s">
        <v>71</v>
      </c>
      <c r="AG146" s="95" t="s">
        <v>72</v>
      </c>
      <c r="AH146" s="95" t="s">
        <v>71</v>
      </c>
      <c r="AI146" s="95" t="s">
        <v>71</v>
      </c>
      <c r="AK146" s="95" t="s">
        <v>71</v>
      </c>
    </row>
    <row r="147" spans="1:37" x14ac:dyDescent="0.2">
      <c r="A147" s="95" t="s">
        <v>73</v>
      </c>
      <c r="B147" s="95" t="s">
        <v>66</v>
      </c>
      <c r="C147" s="95" t="s">
        <v>67</v>
      </c>
      <c r="D147" s="95" t="s">
        <v>81</v>
      </c>
      <c r="G147" s="95">
        <v>19</v>
      </c>
      <c r="I147" s="95">
        <v>0.97</v>
      </c>
      <c r="P147" s="95">
        <v>2023</v>
      </c>
      <c r="S147" s="95" t="s">
        <v>99</v>
      </c>
      <c r="T147" s="95" t="s">
        <v>158</v>
      </c>
      <c r="U147" s="95" t="s">
        <v>71</v>
      </c>
      <c r="V147" s="95" t="s">
        <v>71</v>
      </c>
      <c r="W147" s="95" t="s">
        <v>72</v>
      </c>
      <c r="X147" s="95" t="s">
        <v>71</v>
      </c>
      <c r="Y147" s="95" t="s">
        <v>71</v>
      </c>
      <c r="Z147" s="95" t="s">
        <v>71</v>
      </c>
      <c r="AA147" s="95" t="s">
        <v>71</v>
      </c>
      <c r="AB147" s="95" t="s">
        <v>71</v>
      </c>
      <c r="AC147" s="95" t="s">
        <v>71</v>
      </c>
      <c r="AD147" s="95" t="s">
        <v>72</v>
      </c>
      <c r="AE147" s="95" t="s">
        <v>71</v>
      </c>
      <c r="AF147" s="95" t="s">
        <v>71</v>
      </c>
      <c r="AG147" s="95" t="s">
        <v>72</v>
      </c>
      <c r="AH147" s="95" t="s">
        <v>71</v>
      </c>
      <c r="AI147" s="95" t="s">
        <v>71</v>
      </c>
      <c r="AK147" s="95" t="s">
        <v>71</v>
      </c>
    </row>
    <row r="148" spans="1:37" x14ac:dyDescent="0.2">
      <c r="A148" s="95" t="s">
        <v>73</v>
      </c>
      <c r="B148" s="95" t="s">
        <v>66</v>
      </c>
      <c r="C148" s="95" t="s">
        <v>67</v>
      </c>
      <c r="D148" s="95" t="s">
        <v>81</v>
      </c>
      <c r="G148" s="95">
        <v>13</v>
      </c>
      <c r="I148" s="95">
        <v>0.63</v>
      </c>
      <c r="P148" s="95">
        <v>2023</v>
      </c>
      <c r="S148" s="95" t="s">
        <v>99</v>
      </c>
      <c r="T148" s="95" t="s">
        <v>159</v>
      </c>
      <c r="U148" s="95" t="s">
        <v>71</v>
      </c>
      <c r="V148" s="95" t="s">
        <v>71</v>
      </c>
      <c r="W148" s="95" t="s">
        <v>72</v>
      </c>
      <c r="X148" s="95" t="s">
        <v>71</v>
      </c>
      <c r="Y148" s="95" t="s">
        <v>71</v>
      </c>
      <c r="Z148" s="95" t="s">
        <v>71</v>
      </c>
      <c r="AA148" s="95" t="s">
        <v>71</v>
      </c>
      <c r="AB148" s="95" t="s">
        <v>71</v>
      </c>
      <c r="AC148" s="95" t="s">
        <v>71</v>
      </c>
      <c r="AD148" s="95" t="s">
        <v>72</v>
      </c>
      <c r="AE148" s="95" t="s">
        <v>71</v>
      </c>
      <c r="AF148" s="95" t="s">
        <v>71</v>
      </c>
      <c r="AG148" s="95" t="s">
        <v>72</v>
      </c>
      <c r="AH148" s="95" t="s">
        <v>71</v>
      </c>
      <c r="AI148" s="95" t="s">
        <v>71</v>
      </c>
      <c r="AK148" s="95" t="s">
        <v>71</v>
      </c>
    </row>
    <row r="149" spans="1:37" x14ac:dyDescent="0.2">
      <c r="A149" s="95" t="s">
        <v>73</v>
      </c>
      <c r="B149" s="95" t="s">
        <v>66</v>
      </c>
      <c r="C149" s="95" t="s">
        <v>67</v>
      </c>
      <c r="D149" s="95" t="s">
        <v>68</v>
      </c>
      <c r="G149" s="95">
        <v>6</v>
      </c>
      <c r="I149" s="95">
        <v>1.87</v>
      </c>
      <c r="P149" s="95">
        <v>2023</v>
      </c>
      <c r="S149" s="95" t="s">
        <v>99</v>
      </c>
      <c r="T149" s="95" t="s">
        <v>160</v>
      </c>
      <c r="U149" s="95" t="s">
        <v>71</v>
      </c>
      <c r="V149" s="95" t="s">
        <v>71</v>
      </c>
      <c r="W149" s="95" t="s">
        <v>72</v>
      </c>
      <c r="X149" s="95" t="s">
        <v>71</v>
      </c>
      <c r="Y149" s="95" t="s">
        <v>71</v>
      </c>
      <c r="Z149" s="95" t="s">
        <v>71</v>
      </c>
      <c r="AA149" s="95" t="s">
        <v>71</v>
      </c>
      <c r="AB149" s="95" t="s">
        <v>71</v>
      </c>
      <c r="AC149" s="95" t="s">
        <v>71</v>
      </c>
      <c r="AD149" s="95" t="s">
        <v>72</v>
      </c>
      <c r="AE149" s="95" t="s">
        <v>71</v>
      </c>
      <c r="AF149" s="95" t="s">
        <v>71</v>
      </c>
      <c r="AG149" s="95" t="s">
        <v>72</v>
      </c>
      <c r="AH149" s="95" t="s">
        <v>71</v>
      </c>
      <c r="AI149" s="95" t="s">
        <v>71</v>
      </c>
      <c r="AK149" s="95" t="s">
        <v>71</v>
      </c>
    </row>
    <row r="150" spans="1:37" x14ac:dyDescent="0.2">
      <c r="A150" s="95" t="s">
        <v>73</v>
      </c>
      <c r="B150" s="95" t="s">
        <v>66</v>
      </c>
      <c r="C150" s="95" t="s">
        <v>67</v>
      </c>
      <c r="D150" s="95" t="s">
        <v>68</v>
      </c>
      <c r="G150" s="95">
        <v>30</v>
      </c>
      <c r="I150" s="95">
        <v>1.24</v>
      </c>
      <c r="P150" s="95">
        <v>2023</v>
      </c>
      <c r="S150" s="95" t="s">
        <v>99</v>
      </c>
      <c r="T150" s="95" t="s">
        <v>161</v>
      </c>
      <c r="U150" s="95" t="s">
        <v>71</v>
      </c>
      <c r="V150" s="95" t="s">
        <v>71</v>
      </c>
      <c r="W150" s="95" t="s">
        <v>72</v>
      </c>
      <c r="X150" s="95" t="s">
        <v>71</v>
      </c>
      <c r="Y150" s="95" t="s">
        <v>71</v>
      </c>
      <c r="Z150" s="95" t="s">
        <v>71</v>
      </c>
      <c r="AA150" s="95" t="s">
        <v>71</v>
      </c>
      <c r="AB150" s="95" t="s">
        <v>71</v>
      </c>
      <c r="AC150" s="95" t="s">
        <v>71</v>
      </c>
      <c r="AD150" s="95" t="s">
        <v>72</v>
      </c>
      <c r="AE150" s="95" t="s">
        <v>71</v>
      </c>
      <c r="AF150" s="95" t="s">
        <v>71</v>
      </c>
      <c r="AG150" s="95" t="s">
        <v>72</v>
      </c>
      <c r="AH150" s="95" t="s">
        <v>71</v>
      </c>
      <c r="AI150" s="95" t="s">
        <v>71</v>
      </c>
      <c r="AK150" s="95" t="s">
        <v>71</v>
      </c>
    </row>
    <row r="151" spans="1:37" x14ac:dyDescent="0.2">
      <c r="A151" s="95" t="s">
        <v>73</v>
      </c>
      <c r="B151" s="95" t="s">
        <v>66</v>
      </c>
      <c r="C151" s="95" t="s">
        <v>67</v>
      </c>
      <c r="D151" s="95" t="s">
        <v>68</v>
      </c>
      <c r="G151" s="95">
        <v>30</v>
      </c>
      <c r="I151" s="95">
        <v>19.57</v>
      </c>
      <c r="P151" s="95">
        <v>2023</v>
      </c>
      <c r="S151" s="95" t="s">
        <v>99</v>
      </c>
      <c r="T151" s="95" t="s">
        <v>162</v>
      </c>
      <c r="U151" s="95" t="s">
        <v>71</v>
      </c>
      <c r="V151" s="95" t="s">
        <v>71</v>
      </c>
      <c r="W151" s="95" t="s">
        <v>72</v>
      </c>
      <c r="X151" s="95" t="s">
        <v>71</v>
      </c>
      <c r="Y151" s="95" t="s">
        <v>71</v>
      </c>
      <c r="Z151" s="95" t="s">
        <v>71</v>
      </c>
      <c r="AA151" s="95" t="s">
        <v>71</v>
      </c>
      <c r="AB151" s="95" t="s">
        <v>71</v>
      </c>
      <c r="AC151" s="95" t="s">
        <v>71</v>
      </c>
      <c r="AD151" s="95" t="s">
        <v>72</v>
      </c>
      <c r="AE151" s="95" t="s">
        <v>71</v>
      </c>
      <c r="AF151" s="95" t="s">
        <v>71</v>
      </c>
      <c r="AG151" s="95" t="s">
        <v>72</v>
      </c>
      <c r="AH151" s="95" t="s">
        <v>71</v>
      </c>
      <c r="AI151" s="95" t="s">
        <v>71</v>
      </c>
      <c r="AK151" s="95" t="s">
        <v>72</v>
      </c>
    </row>
    <row r="152" spans="1:37" x14ac:dyDescent="0.2">
      <c r="A152" s="95" t="s">
        <v>73</v>
      </c>
      <c r="B152" s="95" t="s">
        <v>66</v>
      </c>
      <c r="C152" s="95" t="s">
        <v>67</v>
      </c>
      <c r="D152" s="95" t="s">
        <v>81</v>
      </c>
      <c r="G152" s="95">
        <v>13</v>
      </c>
      <c r="I152" s="95">
        <v>0.82</v>
      </c>
      <c r="P152" s="95">
        <v>2023</v>
      </c>
      <c r="S152" s="95" t="s">
        <v>99</v>
      </c>
      <c r="T152" s="95" t="s">
        <v>163</v>
      </c>
      <c r="U152" s="95" t="s">
        <v>71</v>
      </c>
      <c r="V152" s="95" t="s">
        <v>71</v>
      </c>
      <c r="W152" s="95" t="s">
        <v>72</v>
      </c>
      <c r="X152" s="95" t="s">
        <v>71</v>
      </c>
      <c r="Y152" s="95" t="s">
        <v>71</v>
      </c>
      <c r="Z152" s="95" t="s">
        <v>71</v>
      </c>
      <c r="AA152" s="95" t="s">
        <v>71</v>
      </c>
      <c r="AB152" s="95" t="s">
        <v>71</v>
      </c>
      <c r="AC152" s="95" t="s">
        <v>71</v>
      </c>
      <c r="AD152" s="95" t="s">
        <v>72</v>
      </c>
      <c r="AE152" s="95" t="s">
        <v>71</v>
      </c>
      <c r="AF152" s="95" t="s">
        <v>71</v>
      </c>
      <c r="AG152" s="95" t="s">
        <v>72</v>
      </c>
      <c r="AH152" s="95" t="s">
        <v>71</v>
      </c>
      <c r="AI152" s="95" t="s">
        <v>71</v>
      </c>
      <c r="AK152" s="95" t="s">
        <v>71</v>
      </c>
    </row>
    <row r="153" spans="1:37" x14ac:dyDescent="0.2">
      <c r="A153" s="95" t="s">
        <v>73</v>
      </c>
      <c r="B153" s="95" t="s">
        <v>66</v>
      </c>
      <c r="C153" s="95" t="s">
        <v>67</v>
      </c>
      <c r="D153" s="95" t="s">
        <v>81</v>
      </c>
      <c r="G153" s="95">
        <v>30</v>
      </c>
      <c r="I153" s="95">
        <v>1.43</v>
      </c>
      <c r="P153" s="95">
        <v>2023</v>
      </c>
      <c r="S153" s="95" t="s">
        <v>99</v>
      </c>
      <c r="T153" s="95" t="s">
        <v>164</v>
      </c>
      <c r="U153" s="95" t="s">
        <v>71</v>
      </c>
      <c r="V153" s="95" t="s">
        <v>71</v>
      </c>
      <c r="W153" s="95" t="s">
        <v>72</v>
      </c>
      <c r="X153" s="95" t="s">
        <v>71</v>
      </c>
      <c r="Y153" s="95" t="s">
        <v>71</v>
      </c>
      <c r="Z153" s="95" t="s">
        <v>71</v>
      </c>
      <c r="AA153" s="95" t="s">
        <v>71</v>
      </c>
      <c r="AB153" s="95" t="s">
        <v>71</v>
      </c>
      <c r="AC153" s="95" t="s">
        <v>71</v>
      </c>
      <c r="AD153" s="95" t="s">
        <v>72</v>
      </c>
      <c r="AE153" s="95" t="s">
        <v>71</v>
      </c>
      <c r="AF153" s="95" t="s">
        <v>71</v>
      </c>
      <c r="AG153" s="95" t="s">
        <v>72</v>
      </c>
      <c r="AH153" s="95" t="s">
        <v>71</v>
      </c>
      <c r="AI153" s="95" t="s">
        <v>71</v>
      </c>
      <c r="AK153" s="95" t="s">
        <v>71</v>
      </c>
    </row>
    <row r="154" spans="1:37" x14ac:dyDescent="0.2">
      <c r="A154" s="95" t="s">
        <v>73</v>
      </c>
      <c r="B154" s="95" t="s">
        <v>66</v>
      </c>
      <c r="C154" s="95" t="s">
        <v>67</v>
      </c>
      <c r="D154" s="95" t="s">
        <v>81</v>
      </c>
      <c r="G154" s="95">
        <v>13</v>
      </c>
      <c r="I154" s="95">
        <v>0.84</v>
      </c>
      <c r="P154" s="95">
        <v>2023</v>
      </c>
      <c r="S154" s="95" t="s">
        <v>99</v>
      </c>
      <c r="T154" s="95" t="s">
        <v>165</v>
      </c>
      <c r="U154" s="95" t="s">
        <v>71</v>
      </c>
      <c r="V154" s="95" t="s">
        <v>71</v>
      </c>
      <c r="W154" s="95" t="s">
        <v>72</v>
      </c>
      <c r="X154" s="95" t="s">
        <v>71</v>
      </c>
      <c r="Y154" s="95" t="s">
        <v>71</v>
      </c>
      <c r="Z154" s="95" t="s">
        <v>71</v>
      </c>
      <c r="AA154" s="95" t="s">
        <v>71</v>
      </c>
      <c r="AB154" s="95" t="s">
        <v>71</v>
      </c>
      <c r="AC154" s="95" t="s">
        <v>71</v>
      </c>
      <c r="AD154" s="95" t="s">
        <v>72</v>
      </c>
      <c r="AE154" s="95" t="s">
        <v>71</v>
      </c>
      <c r="AF154" s="95" t="s">
        <v>71</v>
      </c>
      <c r="AG154" s="95" t="s">
        <v>72</v>
      </c>
      <c r="AH154" s="95" t="s">
        <v>71</v>
      </c>
      <c r="AI154" s="95" t="s">
        <v>71</v>
      </c>
      <c r="AK154" s="95" t="s">
        <v>71</v>
      </c>
    </row>
    <row r="155" spans="1:37" x14ac:dyDescent="0.2">
      <c r="A155" s="95" t="s">
        <v>73</v>
      </c>
      <c r="B155" s="95" t="s">
        <v>66</v>
      </c>
      <c r="C155" s="95" t="s">
        <v>67</v>
      </c>
      <c r="D155" s="95" t="s">
        <v>81</v>
      </c>
      <c r="G155" s="95">
        <v>19</v>
      </c>
      <c r="I155" s="95">
        <v>0.85</v>
      </c>
      <c r="P155" s="95">
        <v>2023</v>
      </c>
      <c r="S155" s="95" t="s">
        <v>99</v>
      </c>
      <c r="T155" s="95" t="s">
        <v>166</v>
      </c>
      <c r="U155" s="95" t="s">
        <v>71</v>
      </c>
      <c r="V155" s="95" t="s">
        <v>71</v>
      </c>
      <c r="W155" s="95" t="s">
        <v>72</v>
      </c>
      <c r="X155" s="95" t="s">
        <v>71</v>
      </c>
      <c r="Y155" s="95" t="s">
        <v>71</v>
      </c>
      <c r="Z155" s="95" t="s">
        <v>71</v>
      </c>
      <c r="AA155" s="95" t="s">
        <v>71</v>
      </c>
      <c r="AB155" s="95" t="s">
        <v>71</v>
      </c>
      <c r="AC155" s="95" t="s">
        <v>71</v>
      </c>
      <c r="AD155" s="95" t="s">
        <v>72</v>
      </c>
      <c r="AE155" s="95" t="s">
        <v>71</v>
      </c>
      <c r="AF155" s="95" t="s">
        <v>71</v>
      </c>
      <c r="AG155" s="95" t="s">
        <v>72</v>
      </c>
      <c r="AH155" s="95" t="s">
        <v>71</v>
      </c>
      <c r="AI155" s="95" t="s">
        <v>71</v>
      </c>
      <c r="AK155" s="95" t="s">
        <v>71</v>
      </c>
    </row>
    <row r="156" spans="1:37" x14ac:dyDescent="0.2">
      <c r="A156" s="95" t="s">
        <v>73</v>
      </c>
      <c r="B156" s="95" t="s">
        <v>66</v>
      </c>
      <c r="C156" s="95" t="s">
        <v>67</v>
      </c>
      <c r="D156" s="95" t="s">
        <v>81</v>
      </c>
      <c r="G156" s="95">
        <v>19</v>
      </c>
      <c r="I156" s="95">
        <v>1.26</v>
      </c>
      <c r="P156" s="95">
        <v>2023</v>
      </c>
      <c r="S156" s="95" t="s">
        <v>99</v>
      </c>
      <c r="T156" s="95" t="s">
        <v>167</v>
      </c>
      <c r="U156" s="95" t="s">
        <v>71</v>
      </c>
      <c r="V156" s="95" t="s">
        <v>71</v>
      </c>
      <c r="W156" s="95" t="s">
        <v>72</v>
      </c>
      <c r="X156" s="95" t="s">
        <v>71</v>
      </c>
      <c r="Y156" s="95" t="s">
        <v>71</v>
      </c>
      <c r="Z156" s="95" t="s">
        <v>71</v>
      </c>
      <c r="AA156" s="95" t="s">
        <v>71</v>
      </c>
      <c r="AB156" s="95" t="s">
        <v>71</v>
      </c>
      <c r="AC156" s="95" t="s">
        <v>71</v>
      </c>
      <c r="AD156" s="95" t="s">
        <v>72</v>
      </c>
      <c r="AE156" s="95" t="s">
        <v>71</v>
      </c>
      <c r="AF156" s="95" t="s">
        <v>71</v>
      </c>
      <c r="AG156" s="95" t="s">
        <v>72</v>
      </c>
      <c r="AH156" s="95" t="s">
        <v>71</v>
      </c>
      <c r="AI156" s="95" t="s">
        <v>71</v>
      </c>
      <c r="AK156" s="95" t="s">
        <v>71</v>
      </c>
    </row>
    <row r="157" spans="1:37" x14ac:dyDescent="0.2">
      <c r="A157" s="95" t="s">
        <v>73</v>
      </c>
      <c r="B157" s="95" t="s">
        <v>66</v>
      </c>
      <c r="C157" s="95" t="s">
        <v>67</v>
      </c>
      <c r="D157" s="95" t="s">
        <v>68</v>
      </c>
      <c r="G157" s="95">
        <v>30</v>
      </c>
      <c r="I157" s="95">
        <v>1.48</v>
      </c>
      <c r="P157" s="95">
        <v>2023</v>
      </c>
      <c r="S157" s="95" t="s">
        <v>99</v>
      </c>
      <c r="T157" s="95" t="s">
        <v>168</v>
      </c>
      <c r="U157" s="95" t="s">
        <v>71</v>
      </c>
      <c r="V157" s="95" t="s">
        <v>71</v>
      </c>
      <c r="W157" s="95" t="s">
        <v>72</v>
      </c>
      <c r="X157" s="95" t="s">
        <v>71</v>
      </c>
      <c r="Y157" s="95" t="s">
        <v>71</v>
      </c>
      <c r="Z157" s="95" t="s">
        <v>71</v>
      </c>
      <c r="AA157" s="95" t="s">
        <v>71</v>
      </c>
      <c r="AB157" s="95" t="s">
        <v>71</v>
      </c>
      <c r="AC157" s="95" t="s">
        <v>71</v>
      </c>
      <c r="AD157" s="95" t="s">
        <v>72</v>
      </c>
      <c r="AE157" s="95" t="s">
        <v>71</v>
      </c>
      <c r="AF157" s="95" t="s">
        <v>71</v>
      </c>
      <c r="AG157" s="95" t="s">
        <v>72</v>
      </c>
      <c r="AH157" s="95" t="s">
        <v>71</v>
      </c>
      <c r="AI157" s="95" t="s">
        <v>71</v>
      </c>
      <c r="AK157" s="95" t="s">
        <v>71</v>
      </c>
    </row>
    <row r="158" spans="1:37" x14ac:dyDescent="0.2">
      <c r="A158" s="95" t="s">
        <v>73</v>
      </c>
      <c r="B158" s="95" t="s">
        <v>66</v>
      </c>
      <c r="C158" s="95" t="s">
        <v>67</v>
      </c>
      <c r="D158" s="95" t="s">
        <v>81</v>
      </c>
      <c r="G158" s="95">
        <v>19</v>
      </c>
      <c r="I158" s="95">
        <v>1.1499999999999999</v>
      </c>
      <c r="P158" s="95">
        <v>2023</v>
      </c>
      <c r="S158" s="95" t="s">
        <v>99</v>
      </c>
      <c r="T158" s="95" t="s">
        <v>169</v>
      </c>
      <c r="U158" s="95" t="s">
        <v>71</v>
      </c>
      <c r="V158" s="95" t="s">
        <v>71</v>
      </c>
      <c r="W158" s="95" t="s">
        <v>72</v>
      </c>
      <c r="X158" s="95" t="s">
        <v>71</v>
      </c>
      <c r="Y158" s="95" t="s">
        <v>71</v>
      </c>
      <c r="Z158" s="95" t="s">
        <v>71</v>
      </c>
      <c r="AA158" s="95" t="s">
        <v>71</v>
      </c>
      <c r="AB158" s="95" t="s">
        <v>71</v>
      </c>
      <c r="AC158" s="95" t="s">
        <v>71</v>
      </c>
      <c r="AD158" s="95" t="s">
        <v>72</v>
      </c>
      <c r="AE158" s="95" t="s">
        <v>71</v>
      </c>
      <c r="AF158" s="95" t="s">
        <v>71</v>
      </c>
      <c r="AG158" s="95" t="s">
        <v>72</v>
      </c>
      <c r="AH158" s="95" t="s">
        <v>71</v>
      </c>
      <c r="AI158" s="95" t="s">
        <v>71</v>
      </c>
      <c r="AK158" s="95" t="s">
        <v>71</v>
      </c>
    </row>
    <row r="159" spans="1:37" x14ac:dyDescent="0.2">
      <c r="A159" s="95" t="s">
        <v>73</v>
      </c>
      <c r="B159" s="95" t="s">
        <v>66</v>
      </c>
      <c r="C159" s="95" t="s">
        <v>67</v>
      </c>
      <c r="D159" s="95" t="s">
        <v>81</v>
      </c>
      <c r="G159" s="95">
        <v>13</v>
      </c>
      <c r="I159" s="95">
        <v>0.96</v>
      </c>
      <c r="P159" s="95">
        <v>2023</v>
      </c>
      <c r="S159" s="95" t="s">
        <v>99</v>
      </c>
      <c r="T159" s="95" t="s">
        <v>170</v>
      </c>
      <c r="U159" s="95" t="s">
        <v>71</v>
      </c>
      <c r="V159" s="95" t="s">
        <v>71</v>
      </c>
      <c r="W159" s="95" t="s">
        <v>72</v>
      </c>
      <c r="X159" s="95" t="s">
        <v>71</v>
      </c>
      <c r="Y159" s="95" t="s">
        <v>71</v>
      </c>
      <c r="Z159" s="95" t="s">
        <v>71</v>
      </c>
      <c r="AA159" s="95" t="s">
        <v>71</v>
      </c>
      <c r="AB159" s="95" t="s">
        <v>71</v>
      </c>
      <c r="AC159" s="95" t="s">
        <v>71</v>
      </c>
      <c r="AD159" s="95" t="s">
        <v>72</v>
      </c>
      <c r="AE159" s="95" t="s">
        <v>71</v>
      </c>
      <c r="AF159" s="95" t="s">
        <v>71</v>
      </c>
      <c r="AG159" s="95" t="s">
        <v>72</v>
      </c>
      <c r="AH159" s="95" t="s">
        <v>71</v>
      </c>
      <c r="AI159" s="95" t="s">
        <v>71</v>
      </c>
      <c r="AK159" s="95" t="s">
        <v>71</v>
      </c>
    </row>
    <row r="160" spans="1:37" x14ac:dyDescent="0.2">
      <c r="A160" s="95" t="s">
        <v>73</v>
      </c>
      <c r="B160" s="95" t="s">
        <v>66</v>
      </c>
      <c r="C160" s="95" t="s">
        <v>67</v>
      </c>
      <c r="D160" s="95" t="s">
        <v>81</v>
      </c>
      <c r="G160" s="95">
        <v>19</v>
      </c>
      <c r="I160" s="95">
        <v>1.08</v>
      </c>
      <c r="P160" s="95">
        <v>2023</v>
      </c>
      <c r="S160" s="95" t="s">
        <v>99</v>
      </c>
      <c r="T160" s="95" t="s">
        <v>171</v>
      </c>
      <c r="U160" s="95" t="s">
        <v>71</v>
      </c>
      <c r="V160" s="95" t="s">
        <v>71</v>
      </c>
      <c r="W160" s="95" t="s">
        <v>72</v>
      </c>
      <c r="X160" s="95" t="s">
        <v>71</v>
      </c>
      <c r="Y160" s="95" t="s">
        <v>71</v>
      </c>
      <c r="Z160" s="95" t="s">
        <v>71</v>
      </c>
      <c r="AA160" s="95" t="s">
        <v>71</v>
      </c>
      <c r="AB160" s="95" t="s">
        <v>71</v>
      </c>
      <c r="AC160" s="95" t="s">
        <v>71</v>
      </c>
      <c r="AD160" s="95" t="s">
        <v>72</v>
      </c>
      <c r="AE160" s="95" t="s">
        <v>71</v>
      </c>
      <c r="AF160" s="95" t="s">
        <v>71</v>
      </c>
      <c r="AG160" s="95" t="s">
        <v>72</v>
      </c>
      <c r="AH160" s="95" t="s">
        <v>71</v>
      </c>
      <c r="AI160" s="95" t="s">
        <v>71</v>
      </c>
      <c r="AK160" s="95" t="s">
        <v>71</v>
      </c>
    </row>
    <row r="161" spans="1:37" x14ac:dyDescent="0.2">
      <c r="A161" s="95" t="s">
        <v>73</v>
      </c>
      <c r="B161" s="95" t="s">
        <v>66</v>
      </c>
      <c r="C161" s="95" t="s">
        <v>67</v>
      </c>
      <c r="D161" s="95" t="s">
        <v>68</v>
      </c>
      <c r="G161" s="95">
        <v>13</v>
      </c>
      <c r="I161" s="95">
        <v>0.93</v>
      </c>
      <c r="P161" s="95">
        <v>2023</v>
      </c>
      <c r="S161" s="95" t="s">
        <v>99</v>
      </c>
      <c r="T161" s="95" t="s">
        <v>172</v>
      </c>
      <c r="U161" s="95" t="s">
        <v>71</v>
      </c>
      <c r="V161" s="95" t="s">
        <v>71</v>
      </c>
      <c r="W161" s="95" t="s">
        <v>72</v>
      </c>
      <c r="X161" s="95" t="s">
        <v>71</v>
      </c>
      <c r="Y161" s="95" t="s">
        <v>71</v>
      </c>
      <c r="Z161" s="95" t="s">
        <v>71</v>
      </c>
      <c r="AA161" s="95" t="s">
        <v>71</v>
      </c>
      <c r="AB161" s="95" t="s">
        <v>71</v>
      </c>
      <c r="AC161" s="95" t="s">
        <v>71</v>
      </c>
      <c r="AD161" s="95" t="s">
        <v>72</v>
      </c>
      <c r="AE161" s="95" t="s">
        <v>71</v>
      </c>
      <c r="AF161" s="95" t="s">
        <v>71</v>
      </c>
      <c r="AG161" s="95" t="s">
        <v>72</v>
      </c>
      <c r="AH161" s="95" t="s">
        <v>71</v>
      </c>
      <c r="AI161" s="95" t="s">
        <v>71</v>
      </c>
      <c r="AK161" s="95" t="s">
        <v>71</v>
      </c>
    </row>
    <row r="162" spans="1:37" x14ac:dyDescent="0.2">
      <c r="A162" s="95" t="s">
        <v>73</v>
      </c>
      <c r="B162" s="95" t="s">
        <v>66</v>
      </c>
      <c r="C162" s="95" t="s">
        <v>67</v>
      </c>
      <c r="D162" s="95" t="s">
        <v>68</v>
      </c>
      <c r="G162" s="95">
        <v>7</v>
      </c>
      <c r="I162" s="95">
        <v>1.99</v>
      </c>
      <c r="P162" s="95">
        <v>2023</v>
      </c>
      <c r="S162" s="95" t="s">
        <v>99</v>
      </c>
      <c r="T162" s="95" t="s">
        <v>173</v>
      </c>
      <c r="U162" s="95" t="s">
        <v>71</v>
      </c>
      <c r="V162" s="95" t="s">
        <v>71</v>
      </c>
      <c r="W162" s="95" t="s">
        <v>72</v>
      </c>
      <c r="X162" s="95" t="s">
        <v>71</v>
      </c>
      <c r="Y162" s="95" t="s">
        <v>71</v>
      </c>
      <c r="Z162" s="95" t="s">
        <v>71</v>
      </c>
      <c r="AA162" s="95" t="s">
        <v>71</v>
      </c>
      <c r="AB162" s="95" t="s">
        <v>71</v>
      </c>
      <c r="AC162" s="95" t="s">
        <v>71</v>
      </c>
      <c r="AD162" s="95" t="s">
        <v>72</v>
      </c>
      <c r="AE162" s="95" t="s">
        <v>71</v>
      </c>
      <c r="AF162" s="95" t="s">
        <v>71</v>
      </c>
      <c r="AG162" s="95" t="s">
        <v>72</v>
      </c>
      <c r="AH162" s="95" t="s">
        <v>71</v>
      </c>
      <c r="AI162" s="95" t="s">
        <v>71</v>
      </c>
      <c r="AK162" s="95" t="s">
        <v>71</v>
      </c>
    </row>
    <row r="163" spans="1:37" x14ac:dyDescent="0.2">
      <c r="A163" s="95" t="s">
        <v>73</v>
      </c>
      <c r="B163" s="95" t="s">
        <v>66</v>
      </c>
      <c r="C163" s="95" t="s">
        <v>67</v>
      </c>
      <c r="D163" s="95" t="s">
        <v>68</v>
      </c>
      <c r="G163" s="95">
        <v>6</v>
      </c>
      <c r="I163" s="95">
        <v>95.58</v>
      </c>
      <c r="P163" s="95">
        <v>2023</v>
      </c>
      <c r="S163" s="95" t="s">
        <v>99</v>
      </c>
      <c r="T163" s="95" t="s">
        <v>174</v>
      </c>
      <c r="U163" s="95" t="s">
        <v>71</v>
      </c>
      <c r="V163" s="95" t="s">
        <v>71</v>
      </c>
      <c r="W163" s="95" t="s">
        <v>72</v>
      </c>
      <c r="X163" s="95" t="s">
        <v>71</v>
      </c>
      <c r="Y163" s="95" t="s">
        <v>71</v>
      </c>
      <c r="Z163" s="95" t="s">
        <v>71</v>
      </c>
      <c r="AA163" s="95" t="s">
        <v>71</v>
      </c>
      <c r="AB163" s="95" t="s">
        <v>71</v>
      </c>
      <c r="AC163" s="95" t="s">
        <v>71</v>
      </c>
      <c r="AD163" s="95" t="s">
        <v>72</v>
      </c>
      <c r="AE163" s="95" t="s">
        <v>71</v>
      </c>
      <c r="AF163" s="95" t="s">
        <v>71</v>
      </c>
      <c r="AG163" s="95" t="s">
        <v>72</v>
      </c>
      <c r="AH163" s="95" t="s">
        <v>71</v>
      </c>
      <c r="AI163" s="95" t="s">
        <v>71</v>
      </c>
      <c r="AK163" s="95" t="s">
        <v>72</v>
      </c>
    </row>
    <row r="164" spans="1:37" x14ac:dyDescent="0.2">
      <c r="A164" s="95" t="s">
        <v>73</v>
      </c>
      <c r="B164" s="95" t="s">
        <v>66</v>
      </c>
      <c r="C164" s="95" t="s">
        <v>67</v>
      </c>
      <c r="D164" s="95" t="s">
        <v>81</v>
      </c>
      <c r="G164" s="95">
        <v>13</v>
      </c>
      <c r="I164" s="95">
        <v>0.75</v>
      </c>
      <c r="P164" s="95">
        <v>2023</v>
      </c>
      <c r="S164" s="95" t="s">
        <v>99</v>
      </c>
      <c r="T164" s="95" t="s">
        <v>175</v>
      </c>
      <c r="U164" s="95" t="s">
        <v>71</v>
      </c>
      <c r="V164" s="95" t="s">
        <v>71</v>
      </c>
      <c r="W164" s="95" t="s">
        <v>72</v>
      </c>
      <c r="X164" s="95" t="s">
        <v>71</v>
      </c>
      <c r="Y164" s="95" t="s">
        <v>71</v>
      </c>
      <c r="Z164" s="95" t="s">
        <v>71</v>
      </c>
      <c r="AA164" s="95" t="s">
        <v>71</v>
      </c>
      <c r="AB164" s="95" t="s">
        <v>71</v>
      </c>
      <c r="AC164" s="95" t="s">
        <v>71</v>
      </c>
      <c r="AD164" s="95" t="s">
        <v>72</v>
      </c>
      <c r="AE164" s="95" t="s">
        <v>71</v>
      </c>
      <c r="AF164" s="95" t="s">
        <v>71</v>
      </c>
      <c r="AG164" s="95" t="s">
        <v>72</v>
      </c>
      <c r="AH164" s="95" t="s">
        <v>71</v>
      </c>
      <c r="AI164" s="95" t="s">
        <v>71</v>
      </c>
      <c r="AK164" s="95" t="s">
        <v>71</v>
      </c>
    </row>
    <row r="165" spans="1:37" x14ac:dyDescent="0.2">
      <c r="A165" s="95" t="s">
        <v>65</v>
      </c>
      <c r="B165" s="95" t="s">
        <v>66</v>
      </c>
      <c r="C165" s="95" t="s">
        <v>86</v>
      </c>
      <c r="D165" s="95" t="s">
        <v>68</v>
      </c>
      <c r="F165" s="95">
        <v>0.5</v>
      </c>
      <c r="G165" s="95">
        <v>3</v>
      </c>
      <c r="I165" s="95">
        <v>0.43687500000000001</v>
      </c>
      <c r="P165" s="95">
        <v>2023</v>
      </c>
      <c r="Q165" s="95" t="s">
        <v>176</v>
      </c>
      <c r="R165" s="95" t="s">
        <v>177</v>
      </c>
      <c r="S165" s="95" t="s">
        <v>99</v>
      </c>
      <c r="T165" s="95" t="s">
        <v>178</v>
      </c>
      <c r="U165" s="95" t="s">
        <v>71</v>
      </c>
      <c r="V165" s="95" t="s">
        <v>71</v>
      </c>
      <c r="W165" s="95" t="s">
        <v>72</v>
      </c>
      <c r="X165" s="95" t="s">
        <v>71</v>
      </c>
      <c r="Y165" s="95" t="s">
        <v>72</v>
      </c>
      <c r="Z165" s="95" t="s">
        <v>71</v>
      </c>
      <c r="AA165" s="95" t="s">
        <v>72</v>
      </c>
      <c r="AB165" s="95" t="s">
        <v>72</v>
      </c>
      <c r="AC165" s="95" t="s">
        <v>72</v>
      </c>
      <c r="AD165" s="95" t="s">
        <v>72</v>
      </c>
      <c r="AE165" s="95" t="s">
        <v>71</v>
      </c>
      <c r="AF165" s="95" t="s">
        <v>72</v>
      </c>
      <c r="AG165" s="95" t="s">
        <v>71</v>
      </c>
      <c r="AH165" s="95" t="s">
        <v>71</v>
      </c>
      <c r="AI165" s="95" t="s">
        <v>71</v>
      </c>
      <c r="AK165" s="95" t="s">
        <v>71</v>
      </c>
    </row>
    <row r="166" spans="1:37" x14ac:dyDescent="0.2">
      <c r="A166" s="95" t="s">
        <v>65</v>
      </c>
      <c r="B166" s="95" t="s">
        <v>66</v>
      </c>
      <c r="C166" s="95" t="s">
        <v>84</v>
      </c>
      <c r="D166" s="95" t="s">
        <v>81</v>
      </c>
      <c r="F166" s="95">
        <v>0.5</v>
      </c>
      <c r="G166" s="95">
        <v>3.2</v>
      </c>
      <c r="H166" s="95">
        <v>6.4</v>
      </c>
      <c r="I166" s="95">
        <v>0.62250000000000005</v>
      </c>
      <c r="P166" s="95">
        <v>2023</v>
      </c>
      <c r="Q166" s="95" t="s">
        <v>179</v>
      </c>
      <c r="R166" s="95" t="s">
        <v>180</v>
      </c>
      <c r="S166" s="95" t="s">
        <v>99</v>
      </c>
      <c r="T166" s="4" t="s">
        <v>181</v>
      </c>
      <c r="U166" s="95" t="s">
        <v>71</v>
      </c>
      <c r="V166" s="95" t="s">
        <v>71</v>
      </c>
      <c r="W166" s="95" t="s">
        <v>72</v>
      </c>
      <c r="X166" s="95" t="s">
        <v>71</v>
      </c>
      <c r="Y166" s="95" t="s">
        <v>72</v>
      </c>
      <c r="Z166" s="95" t="s">
        <v>71</v>
      </c>
      <c r="AA166" s="95" t="s">
        <v>72</v>
      </c>
      <c r="AB166" s="95" t="s">
        <v>72</v>
      </c>
      <c r="AC166" s="95" t="s">
        <v>72</v>
      </c>
      <c r="AD166" s="95" t="s">
        <v>72</v>
      </c>
      <c r="AE166" s="95" t="s">
        <v>71</v>
      </c>
      <c r="AF166" s="95" t="s">
        <v>72</v>
      </c>
      <c r="AG166" s="95" t="s">
        <v>71</v>
      </c>
      <c r="AH166" s="95" t="s">
        <v>71</v>
      </c>
      <c r="AI166" s="95" t="s">
        <v>71</v>
      </c>
      <c r="AK166" s="95" t="s">
        <v>71</v>
      </c>
    </row>
    <row r="167" spans="1:37" x14ac:dyDescent="0.2">
      <c r="A167" s="95" t="s">
        <v>65</v>
      </c>
      <c r="B167" s="95" t="s">
        <v>66</v>
      </c>
      <c r="C167" s="95" t="s">
        <v>85</v>
      </c>
      <c r="F167" s="95">
        <v>0.5</v>
      </c>
      <c r="G167" s="95">
        <v>1.93</v>
      </c>
      <c r="H167" s="250"/>
      <c r="I167" s="101">
        <f>10.45/32</f>
        <v>0.32656249999999998</v>
      </c>
      <c r="S167" s="95" t="s">
        <v>4596</v>
      </c>
      <c r="T167" s="4" t="s">
        <v>4597</v>
      </c>
      <c r="U167" s="95" t="s">
        <v>71</v>
      </c>
      <c r="V167" s="95" t="s">
        <v>71</v>
      </c>
      <c r="W167" s="95" t="s">
        <v>72</v>
      </c>
      <c r="X167" s="95" t="s">
        <v>71</v>
      </c>
      <c r="Y167" s="95" t="s">
        <v>72</v>
      </c>
      <c r="Z167" s="95" t="s">
        <v>71</v>
      </c>
      <c r="AA167" s="95" t="s">
        <v>72</v>
      </c>
      <c r="AB167" s="95" t="s">
        <v>72</v>
      </c>
      <c r="AC167" s="95" t="s">
        <v>72</v>
      </c>
      <c r="AD167" s="95" t="s">
        <v>72</v>
      </c>
      <c r="AE167" s="95" t="s">
        <v>71</v>
      </c>
      <c r="AF167" s="95" t="s">
        <v>72</v>
      </c>
      <c r="AG167" s="95" t="s">
        <v>71</v>
      </c>
      <c r="AH167" s="95" t="s">
        <v>71</v>
      </c>
      <c r="AI167" s="95" t="s">
        <v>71</v>
      </c>
      <c r="AK167" s="95" t="s">
        <v>71</v>
      </c>
    </row>
    <row r="168" spans="1:37" x14ac:dyDescent="0.2">
      <c r="A168" s="95" t="s">
        <v>65</v>
      </c>
      <c r="B168" s="95" t="s">
        <v>69</v>
      </c>
      <c r="C168" s="95" t="s">
        <v>85</v>
      </c>
      <c r="F168" s="95">
        <v>0.5</v>
      </c>
      <c r="G168" s="95">
        <v>2</v>
      </c>
      <c r="H168" s="250"/>
      <c r="I168" s="101">
        <f>10.02/32</f>
        <v>0.31312499999999999</v>
      </c>
      <c r="S168" s="95" t="s">
        <v>3526</v>
      </c>
      <c r="T168" s="4" t="s">
        <v>4586</v>
      </c>
      <c r="U168" s="95" t="s">
        <v>71</v>
      </c>
      <c r="V168" s="95" t="s">
        <v>71</v>
      </c>
      <c r="W168" s="95" t="s">
        <v>72</v>
      </c>
      <c r="X168" s="95" t="s">
        <v>71</v>
      </c>
      <c r="Y168" s="95" t="s">
        <v>72</v>
      </c>
      <c r="Z168" s="95" t="s">
        <v>71</v>
      </c>
      <c r="AA168" s="95" t="s">
        <v>72</v>
      </c>
      <c r="AB168" s="95" t="s">
        <v>72</v>
      </c>
      <c r="AC168" s="95" t="s">
        <v>72</v>
      </c>
      <c r="AD168" s="95" t="s">
        <v>72</v>
      </c>
      <c r="AE168" s="95" t="s">
        <v>71</v>
      </c>
      <c r="AF168" s="95" t="s">
        <v>72</v>
      </c>
      <c r="AG168" s="95" t="s">
        <v>71</v>
      </c>
      <c r="AH168" s="95" t="s">
        <v>71</v>
      </c>
      <c r="AI168" s="95" t="s">
        <v>71</v>
      </c>
      <c r="AK168" s="95" t="s">
        <v>71</v>
      </c>
    </row>
    <row r="169" spans="1:37" x14ac:dyDescent="0.2">
      <c r="A169" s="95" t="s">
        <v>65</v>
      </c>
      <c r="B169" s="95" t="s">
        <v>66</v>
      </c>
      <c r="C169" s="95" t="s">
        <v>86</v>
      </c>
      <c r="D169" s="95" t="s">
        <v>68</v>
      </c>
      <c r="F169" s="95">
        <v>1</v>
      </c>
      <c r="G169" s="95">
        <v>5</v>
      </c>
      <c r="I169" s="95">
        <v>0.97875000000000001</v>
      </c>
      <c r="P169" s="95">
        <v>2023</v>
      </c>
      <c r="Q169" s="95" t="s">
        <v>188</v>
      </c>
      <c r="R169" s="95" t="s">
        <v>189</v>
      </c>
      <c r="S169" s="95" t="s">
        <v>99</v>
      </c>
      <c r="T169" s="95" t="s">
        <v>190</v>
      </c>
      <c r="U169" s="95" t="s">
        <v>71</v>
      </c>
      <c r="V169" s="95" t="s">
        <v>71</v>
      </c>
      <c r="W169" s="95" t="s">
        <v>72</v>
      </c>
      <c r="X169" s="95" t="s">
        <v>71</v>
      </c>
      <c r="Y169" s="95" t="s">
        <v>72</v>
      </c>
      <c r="Z169" s="95" t="s">
        <v>71</v>
      </c>
      <c r="AA169" s="95" t="s">
        <v>72</v>
      </c>
      <c r="AB169" s="95" t="s">
        <v>72</v>
      </c>
      <c r="AC169" s="95" t="s">
        <v>72</v>
      </c>
      <c r="AD169" s="95" t="s">
        <v>72</v>
      </c>
      <c r="AE169" s="95" t="s">
        <v>71</v>
      </c>
      <c r="AF169" s="95" t="s">
        <v>72</v>
      </c>
      <c r="AG169" s="95" t="s">
        <v>71</v>
      </c>
      <c r="AH169" s="95" t="s">
        <v>71</v>
      </c>
      <c r="AI169" s="95" t="s">
        <v>71</v>
      </c>
      <c r="AK169" s="95" t="s">
        <v>71</v>
      </c>
    </row>
    <row r="170" spans="1:37" x14ac:dyDescent="0.2">
      <c r="A170" s="95" t="s">
        <v>65</v>
      </c>
      <c r="B170" s="95" t="s">
        <v>66</v>
      </c>
      <c r="C170" s="95" t="s">
        <v>85</v>
      </c>
      <c r="D170" s="95" t="s">
        <v>68</v>
      </c>
      <c r="F170" s="95">
        <v>0.75</v>
      </c>
      <c r="G170" s="95">
        <v>2.65</v>
      </c>
      <c r="I170" s="95">
        <v>2.5950000000000002</v>
      </c>
      <c r="P170" s="95">
        <v>2023</v>
      </c>
      <c r="Q170" s="95" t="s">
        <v>185</v>
      </c>
      <c r="R170" s="95" t="s">
        <v>186</v>
      </c>
      <c r="S170" s="95" t="s">
        <v>99</v>
      </c>
      <c r="T170" s="95" t="s">
        <v>187</v>
      </c>
      <c r="U170" s="95" t="s">
        <v>71</v>
      </c>
      <c r="V170" s="95" t="s">
        <v>71</v>
      </c>
      <c r="W170" s="95" t="s">
        <v>72</v>
      </c>
      <c r="X170" s="95" t="s">
        <v>71</v>
      </c>
      <c r="Y170" s="95" t="s">
        <v>72</v>
      </c>
      <c r="Z170" s="95" t="s">
        <v>71</v>
      </c>
      <c r="AA170" s="95" t="s">
        <v>72</v>
      </c>
      <c r="AB170" s="95" t="s">
        <v>72</v>
      </c>
      <c r="AC170" s="95" t="s">
        <v>72</v>
      </c>
      <c r="AD170" s="95" t="s">
        <v>72</v>
      </c>
      <c r="AE170" s="95" t="s">
        <v>71</v>
      </c>
      <c r="AF170" s="95" t="s">
        <v>72</v>
      </c>
      <c r="AG170" s="95" t="s">
        <v>71</v>
      </c>
      <c r="AH170" s="95" t="s">
        <v>71</v>
      </c>
      <c r="AI170" s="95" t="s">
        <v>71</v>
      </c>
      <c r="AK170" s="95" t="s">
        <v>71</v>
      </c>
    </row>
    <row r="171" spans="1:37" x14ac:dyDescent="0.2">
      <c r="A171" s="95" t="s">
        <v>65</v>
      </c>
      <c r="B171" s="95" t="s">
        <v>66</v>
      </c>
      <c r="C171" s="95" t="s">
        <v>85</v>
      </c>
      <c r="E171" s="95" t="s">
        <v>2648</v>
      </c>
      <c r="F171" s="95">
        <v>0.75</v>
      </c>
      <c r="G171" s="95">
        <v>2.65</v>
      </c>
      <c r="H171" s="250"/>
      <c r="I171" s="101">
        <f>10.38/5</f>
        <v>2.0760000000000001</v>
      </c>
      <c r="S171" s="95" t="s">
        <v>4561</v>
      </c>
      <c r="T171" s="4" t="s">
        <v>4563</v>
      </c>
      <c r="U171" s="95" t="s">
        <v>71</v>
      </c>
      <c r="V171" s="95" t="s">
        <v>71</v>
      </c>
      <c r="W171" s="95" t="s">
        <v>72</v>
      </c>
      <c r="X171" s="95" t="s">
        <v>71</v>
      </c>
      <c r="Y171" s="95" t="s">
        <v>72</v>
      </c>
      <c r="Z171" s="95" t="s">
        <v>71</v>
      </c>
      <c r="AA171" s="95" t="s">
        <v>72</v>
      </c>
      <c r="AB171" s="95" t="s">
        <v>72</v>
      </c>
      <c r="AC171" s="95" t="s">
        <v>72</v>
      </c>
      <c r="AD171" s="95" t="s">
        <v>72</v>
      </c>
      <c r="AE171" s="95" t="s">
        <v>71</v>
      </c>
      <c r="AF171" s="95" t="s">
        <v>72</v>
      </c>
      <c r="AG171" s="95" t="s">
        <v>71</v>
      </c>
      <c r="AH171" s="95" t="s">
        <v>71</v>
      </c>
      <c r="AI171" s="95" t="s">
        <v>71</v>
      </c>
      <c r="AK171" s="95" t="s">
        <v>71</v>
      </c>
    </row>
    <row r="172" spans="1:37" x14ac:dyDescent="0.2">
      <c r="A172" s="95" t="s">
        <v>65</v>
      </c>
      <c r="B172" s="95" t="s">
        <v>66</v>
      </c>
      <c r="C172" s="95" t="s">
        <v>86</v>
      </c>
      <c r="D172" s="95" t="s">
        <v>68</v>
      </c>
      <c r="F172" s="95">
        <v>1</v>
      </c>
      <c r="G172" s="95">
        <v>5</v>
      </c>
      <c r="I172" s="95">
        <v>1.7450000000000001</v>
      </c>
      <c r="P172" s="95">
        <v>2023</v>
      </c>
      <c r="Q172" s="95" t="s">
        <v>16</v>
      </c>
      <c r="R172" s="95" t="s">
        <v>197</v>
      </c>
      <c r="S172" s="95" t="s">
        <v>99</v>
      </c>
      <c r="T172" s="95" t="s">
        <v>198</v>
      </c>
      <c r="U172" s="95" t="s">
        <v>71</v>
      </c>
      <c r="V172" s="95" t="s">
        <v>71</v>
      </c>
      <c r="W172" s="95" t="s">
        <v>72</v>
      </c>
      <c r="X172" s="95" t="s">
        <v>71</v>
      </c>
      <c r="Y172" s="95" t="s">
        <v>72</v>
      </c>
      <c r="Z172" s="95" t="s">
        <v>71</v>
      </c>
      <c r="AA172" s="95" t="s">
        <v>72</v>
      </c>
      <c r="AB172" s="95" t="s">
        <v>72</v>
      </c>
      <c r="AC172" s="95" t="s">
        <v>72</v>
      </c>
      <c r="AD172" s="95" t="s">
        <v>72</v>
      </c>
      <c r="AE172" s="95" t="s">
        <v>71</v>
      </c>
      <c r="AF172" s="95" t="s">
        <v>72</v>
      </c>
      <c r="AG172" s="95" t="s">
        <v>71</v>
      </c>
      <c r="AH172" s="95" t="s">
        <v>71</v>
      </c>
      <c r="AI172" s="95" t="s">
        <v>71</v>
      </c>
      <c r="AK172" s="95" t="s">
        <v>71</v>
      </c>
    </row>
    <row r="173" spans="1:37" x14ac:dyDescent="0.2">
      <c r="A173" s="95" t="s">
        <v>65</v>
      </c>
      <c r="B173" s="95" t="s">
        <v>66</v>
      </c>
      <c r="C173" s="95" t="s">
        <v>86</v>
      </c>
      <c r="D173" s="95" t="s">
        <v>81</v>
      </c>
      <c r="F173" s="95">
        <v>1</v>
      </c>
      <c r="G173" s="95">
        <v>5</v>
      </c>
      <c r="I173" s="95">
        <v>3.85</v>
      </c>
      <c r="P173" s="95">
        <v>2023</v>
      </c>
      <c r="Q173" s="95" t="s">
        <v>199</v>
      </c>
      <c r="R173" s="95" t="s">
        <v>200</v>
      </c>
      <c r="S173" s="95" t="s">
        <v>99</v>
      </c>
      <c r="T173" s="95" t="s">
        <v>201</v>
      </c>
      <c r="U173" s="95" t="s">
        <v>71</v>
      </c>
      <c r="V173" s="95" t="s">
        <v>71</v>
      </c>
      <c r="W173" s="95" t="s">
        <v>72</v>
      </c>
      <c r="X173" s="95" t="s">
        <v>71</v>
      </c>
      <c r="Y173" s="95" t="s">
        <v>72</v>
      </c>
      <c r="Z173" s="95" t="s">
        <v>71</v>
      </c>
      <c r="AA173" s="95" t="s">
        <v>72</v>
      </c>
      <c r="AB173" s="95" t="s">
        <v>72</v>
      </c>
      <c r="AC173" s="95" t="s">
        <v>72</v>
      </c>
      <c r="AD173" s="95" t="s">
        <v>72</v>
      </c>
      <c r="AE173" s="95" t="s">
        <v>71</v>
      </c>
      <c r="AF173" s="95" t="s">
        <v>72</v>
      </c>
      <c r="AG173" s="95" t="s">
        <v>71</v>
      </c>
      <c r="AH173" s="95" t="s">
        <v>71</v>
      </c>
      <c r="AI173" s="95" t="s">
        <v>71</v>
      </c>
      <c r="AK173" s="95" t="s">
        <v>71</v>
      </c>
    </row>
    <row r="174" spans="1:37" x14ac:dyDescent="0.2">
      <c r="A174" s="95" t="s">
        <v>65</v>
      </c>
      <c r="B174" s="95" t="s">
        <v>66</v>
      </c>
      <c r="C174" s="95" t="s">
        <v>86</v>
      </c>
      <c r="D174" s="95" t="s">
        <v>81</v>
      </c>
      <c r="F174" s="95">
        <v>1</v>
      </c>
      <c r="G174" s="95">
        <v>5</v>
      </c>
      <c r="I174" s="95">
        <v>3.66</v>
      </c>
      <c r="P174" s="95">
        <v>2023</v>
      </c>
      <c r="Q174" s="95" t="s">
        <v>199</v>
      </c>
      <c r="R174" s="95" t="s">
        <v>202</v>
      </c>
      <c r="S174" s="95" t="s">
        <v>99</v>
      </c>
      <c r="T174" s="95" t="s">
        <v>203</v>
      </c>
      <c r="U174" s="95" t="s">
        <v>71</v>
      </c>
      <c r="V174" s="95" t="s">
        <v>71</v>
      </c>
      <c r="W174" s="95" t="s">
        <v>72</v>
      </c>
      <c r="X174" s="95" t="s">
        <v>71</v>
      </c>
      <c r="Y174" s="95" t="s">
        <v>72</v>
      </c>
      <c r="Z174" s="95" t="s">
        <v>71</v>
      </c>
      <c r="AA174" s="95" t="s">
        <v>72</v>
      </c>
      <c r="AB174" s="95" t="s">
        <v>72</v>
      </c>
      <c r="AC174" s="95" t="s">
        <v>72</v>
      </c>
      <c r="AD174" s="95" t="s">
        <v>72</v>
      </c>
      <c r="AE174" s="95" t="s">
        <v>71</v>
      </c>
      <c r="AF174" s="95" t="s">
        <v>72</v>
      </c>
      <c r="AG174" s="95" t="s">
        <v>71</v>
      </c>
      <c r="AH174" s="95" t="s">
        <v>71</v>
      </c>
      <c r="AI174" s="95" t="s">
        <v>71</v>
      </c>
      <c r="AK174" s="95" t="s">
        <v>71</v>
      </c>
    </row>
    <row r="175" spans="1:37" x14ac:dyDescent="0.2">
      <c r="A175" s="95" t="s">
        <v>65</v>
      </c>
      <c r="B175" s="95" t="s">
        <v>66</v>
      </c>
      <c r="C175" s="95" t="s">
        <v>86</v>
      </c>
      <c r="D175" s="95" t="s">
        <v>81</v>
      </c>
      <c r="F175" s="95">
        <v>1</v>
      </c>
      <c r="G175" s="95">
        <v>5</v>
      </c>
      <c r="I175" s="95">
        <v>3.9950000000000001</v>
      </c>
      <c r="P175" s="95">
        <v>2023</v>
      </c>
      <c r="Q175" s="95" t="s">
        <v>199</v>
      </c>
      <c r="R175" s="95" t="s">
        <v>204</v>
      </c>
      <c r="S175" s="95" t="s">
        <v>99</v>
      </c>
      <c r="T175" s="95" t="s">
        <v>205</v>
      </c>
      <c r="U175" s="95" t="s">
        <v>71</v>
      </c>
      <c r="V175" s="95" t="s">
        <v>71</v>
      </c>
      <c r="W175" s="95" t="s">
        <v>72</v>
      </c>
      <c r="X175" s="95" t="s">
        <v>71</v>
      </c>
      <c r="Y175" s="95" t="s">
        <v>72</v>
      </c>
      <c r="Z175" s="95" t="s">
        <v>71</v>
      </c>
      <c r="AA175" s="95" t="s">
        <v>72</v>
      </c>
      <c r="AB175" s="95" t="s">
        <v>72</v>
      </c>
      <c r="AC175" s="95" t="s">
        <v>72</v>
      </c>
      <c r="AD175" s="95" t="s">
        <v>72</v>
      </c>
      <c r="AE175" s="95" t="s">
        <v>71</v>
      </c>
      <c r="AF175" s="95" t="s">
        <v>72</v>
      </c>
      <c r="AG175" s="95" t="s">
        <v>71</v>
      </c>
      <c r="AH175" s="95" t="s">
        <v>71</v>
      </c>
      <c r="AI175" s="95" t="s">
        <v>71</v>
      </c>
      <c r="AK175" s="95" t="s">
        <v>71</v>
      </c>
    </row>
    <row r="176" spans="1:37" x14ac:dyDescent="0.2">
      <c r="A176" s="95" t="s">
        <v>65</v>
      </c>
      <c r="B176" s="95" t="s">
        <v>66</v>
      </c>
      <c r="C176" s="95" t="s">
        <v>86</v>
      </c>
      <c r="D176" s="95" t="s">
        <v>68</v>
      </c>
      <c r="F176" s="95">
        <v>1.5</v>
      </c>
      <c r="G176" s="95">
        <v>7.5</v>
      </c>
      <c r="I176" s="95">
        <v>1.1131249999999999</v>
      </c>
      <c r="P176" s="95">
        <v>2023</v>
      </c>
      <c r="Q176" s="95" t="s">
        <v>199</v>
      </c>
      <c r="R176" s="95" t="s">
        <v>206</v>
      </c>
      <c r="S176" s="95" t="s">
        <v>99</v>
      </c>
      <c r="T176" s="95" t="s">
        <v>207</v>
      </c>
      <c r="U176" s="95" t="s">
        <v>71</v>
      </c>
      <c r="V176" s="95" t="s">
        <v>71</v>
      </c>
      <c r="W176" s="95" t="s">
        <v>72</v>
      </c>
      <c r="X176" s="95" t="s">
        <v>71</v>
      </c>
      <c r="Y176" s="95" t="s">
        <v>72</v>
      </c>
      <c r="Z176" s="95" t="s">
        <v>71</v>
      </c>
      <c r="AA176" s="95" t="s">
        <v>72</v>
      </c>
      <c r="AB176" s="95" t="s">
        <v>72</v>
      </c>
      <c r="AC176" s="95" t="s">
        <v>72</v>
      </c>
      <c r="AD176" s="95" t="s">
        <v>72</v>
      </c>
      <c r="AE176" s="95" t="s">
        <v>71</v>
      </c>
      <c r="AF176" s="95" t="s">
        <v>72</v>
      </c>
      <c r="AG176" s="95" t="s">
        <v>71</v>
      </c>
      <c r="AH176" s="95" t="s">
        <v>71</v>
      </c>
      <c r="AI176" s="95" t="s">
        <v>71</v>
      </c>
      <c r="AK176" s="95" t="s">
        <v>71</v>
      </c>
    </row>
    <row r="177" spans="1:37" x14ac:dyDescent="0.2">
      <c r="A177" s="95" t="s">
        <v>65</v>
      </c>
      <c r="B177" s="95" t="s">
        <v>69</v>
      </c>
      <c r="C177" s="95" t="s">
        <v>85</v>
      </c>
      <c r="F177" s="95">
        <v>0.75</v>
      </c>
      <c r="G177" s="95">
        <v>2.9</v>
      </c>
      <c r="H177" s="250"/>
      <c r="I177" s="101">
        <f>8.28/16</f>
        <v>0.51749999999999996</v>
      </c>
      <c r="S177" s="95" t="s">
        <v>3526</v>
      </c>
      <c r="T177" s="4" t="s">
        <v>4593</v>
      </c>
      <c r="U177" s="95" t="s">
        <v>71</v>
      </c>
      <c r="V177" s="95" t="s">
        <v>71</v>
      </c>
      <c r="W177" s="95" t="s">
        <v>72</v>
      </c>
      <c r="X177" s="95" t="s">
        <v>71</v>
      </c>
      <c r="Y177" s="95" t="s">
        <v>72</v>
      </c>
      <c r="Z177" s="95" t="s">
        <v>71</v>
      </c>
      <c r="AA177" s="95" t="s">
        <v>72</v>
      </c>
      <c r="AB177" s="95" t="s">
        <v>72</v>
      </c>
      <c r="AC177" s="95" t="s">
        <v>72</v>
      </c>
      <c r="AD177" s="95" t="s">
        <v>72</v>
      </c>
      <c r="AE177" s="95" t="s">
        <v>71</v>
      </c>
      <c r="AF177" s="95" t="s">
        <v>72</v>
      </c>
      <c r="AG177" s="95" t="s">
        <v>71</v>
      </c>
      <c r="AH177" s="95" t="s">
        <v>71</v>
      </c>
      <c r="AI177" s="95" t="s">
        <v>71</v>
      </c>
      <c r="AK177" s="95" t="s">
        <v>71</v>
      </c>
    </row>
    <row r="178" spans="1:37" x14ac:dyDescent="0.2">
      <c r="A178" s="95" t="s">
        <v>65</v>
      </c>
      <c r="B178" s="95" t="s">
        <v>66</v>
      </c>
      <c r="C178" s="95" t="s">
        <v>86</v>
      </c>
      <c r="D178" s="95" t="s">
        <v>68</v>
      </c>
      <c r="F178" s="95">
        <v>2</v>
      </c>
      <c r="G178" s="95">
        <v>10</v>
      </c>
      <c r="I178" s="95">
        <v>1.89</v>
      </c>
      <c r="P178" s="95">
        <v>2023</v>
      </c>
      <c r="Q178" s="95" t="s">
        <v>210</v>
      </c>
      <c r="R178" s="95" t="s">
        <v>211</v>
      </c>
      <c r="S178" s="95" t="s">
        <v>99</v>
      </c>
      <c r="T178" s="95" t="s">
        <v>212</v>
      </c>
      <c r="U178" s="95" t="s">
        <v>71</v>
      </c>
      <c r="V178" s="95" t="s">
        <v>71</v>
      </c>
      <c r="W178" s="95" t="s">
        <v>72</v>
      </c>
      <c r="X178" s="95" t="s">
        <v>71</v>
      </c>
      <c r="Y178" s="95" t="s">
        <v>72</v>
      </c>
      <c r="Z178" s="95" t="s">
        <v>71</v>
      </c>
      <c r="AA178" s="95" t="s">
        <v>72</v>
      </c>
      <c r="AB178" s="95" t="s">
        <v>72</v>
      </c>
      <c r="AC178" s="95" t="s">
        <v>72</v>
      </c>
      <c r="AD178" s="95" t="s">
        <v>72</v>
      </c>
      <c r="AE178" s="95" t="s">
        <v>71</v>
      </c>
      <c r="AF178" s="95" t="s">
        <v>72</v>
      </c>
      <c r="AG178" s="95" t="s">
        <v>71</v>
      </c>
      <c r="AH178" s="95" t="s">
        <v>71</v>
      </c>
      <c r="AI178" s="95" t="s">
        <v>71</v>
      </c>
      <c r="AK178" s="95" t="s">
        <v>71</v>
      </c>
    </row>
    <row r="179" spans="1:37" x14ac:dyDescent="0.2">
      <c r="A179" s="95" t="s">
        <v>65</v>
      </c>
      <c r="B179" s="95" t="s">
        <v>66</v>
      </c>
      <c r="C179" s="95" t="s">
        <v>85</v>
      </c>
      <c r="D179" s="95" t="s">
        <v>81</v>
      </c>
      <c r="F179" s="95">
        <v>0.63</v>
      </c>
      <c r="G179" s="95">
        <v>3</v>
      </c>
      <c r="I179" s="95">
        <v>0.83250000000000002</v>
      </c>
      <c r="P179" s="95">
        <v>2023</v>
      </c>
      <c r="Q179" s="95" t="s">
        <v>182</v>
      </c>
      <c r="R179" s="95" t="s">
        <v>183</v>
      </c>
      <c r="S179" s="95" t="s">
        <v>99</v>
      </c>
      <c r="T179" s="95" t="s">
        <v>184</v>
      </c>
      <c r="U179" s="95" t="s">
        <v>71</v>
      </c>
      <c r="V179" s="95" t="s">
        <v>71</v>
      </c>
      <c r="W179" s="95" t="s">
        <v>72</v>
      </c>
      <c r="X179" s="95" t="s">
        <v>71</v>
      </c>
      <c r="Y179" s="95" t="s">
        <v>72</v>
      </c>
      <c r="Z179" s="95" t="s">
        <v>71</v>
      </c>
      <c r="AA179" s="95" t="s">
        <v>72</v>
      </c>
      <c r="AB179" s="95" t="s">
        <v>72</v>
      </c>
      <c r="AC179" s="95" t="s">
        <v>72</v>
      </c>
      <c r="AD179" s="95" t="s">
        <v>72</v>
      </c>
      <c r="AE179" s="95" t="s">
        <v>71</v>
      </c>
      <c r="AF179" s="95" t="s">
        <v>72</v>
      </c>
      <c r="AG179" s="95" t="s">
        <v>71</v>
      </c>
      <c r="AH179" s="95" t="s">
        <v>71</v>
      </c>
      <c r="AI179" s="95" t="s">
        <v>71</v>
      </c>
      <c r="AK179" s="95" t="s">
        <v>71</v>
      </c>
    </row>
    <row r="180" spans="1:37" x14ac:dyDescent="0.2">
      <c r="A180" s="95" t="s">
        <v>65</v>
      </c>
      <c r="B180" s="95" t="s">
        <v>66</v>
      </c>
      <c r="C180" s="95" t="s">
        <v>86</v>
      </c>
      <c r="D180" s="95" t="s">
        <v>68</v>
      </c>
      <c r="F180" s="95">
        <v>2</v>
      </c>
      <c r="G180" s="95">
        <v>10</v>
      </c>
      <c r="I180" s="95">
        <v>1.85625</v>
      </c>
      <c r="P180" s="95">
        <v>2023</v>
      </c>
      <c r="Q180" s="95" t="s">
        <v>176</v>
      </c>
      <c r="R180" s="95" t="s">
        <v>215</v>
      </c>
      <c r="S180" s="95" t="s">
        <v>99</v>
      </c>
      <c r="T180" s="95" t="s">
        <v>216</v>
      </c>
      <c r="U180" s="95" t="s">
        <v>71</v>
      </c>
      <c r="V180" s="95" t="s">
        <v>71</v>
      </c>
      <c r="W180" s="95" t="s">
        <v>72</v>
      </c>
      <c r="X180" s="95" t="s">
        <v>71</v>
      </c>
      <c r="Y180" s="95" t="s">
        <v>72</v>
      </c>
      <c r="Z180" s="95" t="s">
        <v>71</v>
      </c>
      <c r="AA180" s="95" t="s">
        <v>72</v>
      </c>
      <c r="AB180" s="95" t="s">
        <v>72</v>
      </c>
      <c r="AC180" s="95" t="s">
        <v>72</v>
      </c>
      <c r="AD180" s="95" t="s">
        <v>72</v>
      </c>
      <c r="AE180" s="95" t="s">
        <v>71</v>
      </c>
      <c r="AF180" s="95" t="s">
        <v>72</v>
      </c>
      <c r="AG180" s="95" t="s">
        <v>71</v>
      </c>
      <c r="AH180" s="95" t="s">
        <v>71</v>
      </c>
      <c r="AI180" s="95" t="s">
        <v>71</v>
      </c>
      <c r="AK180" s="95" t="s">
        <v>71</v>
      </c>
    </row>
    <row r="181" spans="1:37" x14ac:dyDescent="0.2">
      <c r="A181" s="95" t="s">
        <v>65</v>
      </c>
      <c r="B181" s="95" t="s">
        <v>66</v>
      </c>
      <c r="C181" s="95" t="s">
        <v>86</v>
      </c>
      <c r="D181" s="95" t="s">
        <v>68</v>
      </c>
      <c r="F181" s="95">
        <v>2</v>
      </c>
      <c r="G181" s="95">
        <v>10</v>
      </c>
      <c r="I181" s="95">
        <v>1.85625</v>
      </c>
      <c r="P181" s="95">
        <v>2023</v>
      </c>
      <c r="Q181" s="95" t="s">
        <v>217</v>
      </c>
      <c r="R181" s="95" t="s">
        <v>218</v>
      </c>
      <c r="S181" s="95" t="s">
        <v>99</v>
      </c>
      <c r="T181" s="95" t="s">
        <v>219</v>
      </c>
      <c r="U181" s="95" t="s">
        <v>71</v>
      </c>
      <c r="V181" s="95" t="s">
        <v>71</v>
      </c>
      <c r="W181" s="95" t="s">
        <v>72</v>
      </c>
      <c r="X181" s="95" t="s">
        <v>71</v>
      </c>
      <c r="Y181" s="95" t="s">
        <v>72</v>
      </c>
      <c r="Z181" s="95" t="s">
        <v>71</v>
      </c>
      <c r="AA181" s="95" t="s">
        <v>72</v>
      </c>
      <c r="AB181" s="95" t="s">
        <v>72</v>
      </c>
      <c r="AC181" s="95" t="s">
        <v>72</v>
      </c>
      <c r="AD181" s="95" t="s">
        <v>72</v>
      </c>
      <c r="AE181" s="95" t="s">
        <v>71</v>
      </c>
      <c r="AF181" s="95" t="s">
        <v>72</v>
      </c>
      <c r="AG181" s="95" t="s">
        <v>71</v>
      </c>
      <c r="AH181" s="95" t="s">
        <v>71</v>
      </c>
      <c r="AI181" s="95" t="s">
        <v>71</v>
      </c>
      <c r="AK181" s="95" t="s">
        <v>71</v>
      </c>
    </row>
    <row r="182" spans="1:37" x14ac:dyDescent="0.2">
      <c r="A182" s="95" t="s">
        <v>65</v>
      </c>
      <c r="B182" s="95" t="s">
        <v>66</v>
      </c>
      <c r="C182" s="95" t="s">
        <v>85</v>
      </c>
      <c r="F182" s="249">
        <v>0.75</v>
      </c>
      <c r="G182" s="95">
        <v>3</v>
      </c>
      <c r="H182" s="250"/>
      <c r="I182" s="101">
        <f>12.18/32</f>
        <v>0.38062499999999999</v>
      </c>
      <c r="S182" s="95" t="s">
        <v>3435</v>
      </c>
      <c r="T182" s="4" t="s">
        <v>3521</v>
      </c>
      <c r="U182" s="95" t="s">
        <v>71</v>
      </c>
      <c r="V182" s="95" t="s">
        <v>71</v>
      </c>
      <c r="W182" s="95" t="s">
        <v>72</v>
      </c>
      <c r="X182" s="95" t="s">
        <v>71</v>
      </c>
      <c r="Y182" s="95" t="s">
        <v>72</v>
      </c>
      <c r="Z182" s="95" t="s">
        <v>71</v>
      </c>
      <c r="AA182" s="95" t="s">
        <v>72</v>
      </c>
      <c r="AB182" s="95" t="s">
        <v>72</v>
      </c>
      <c r="AC182" s="95" t="s">
        <v>72</v>
      </c>
      <c r="AD182" s="95" t="s">
        <v>72</v>
      </c>
      <c r="AE182" s="95" t="s">
        <v>71</v>
      </c>
      <c r="AF182" s="95" t="s">
        <v>72</v>
      </c>
      <c r="AG182" s="95" t="s">
        <v>71</v>
      </c>
      <c r="AH182" s="95" t="s">
        <v>71</v>
      </c>
      <c r="AI182" s="95" t="s">
        <v>71</v>
      </c>
      <c r="AK182" s="95" t="s">
        <v>71</v>
      </c>
    </row>
    <row r="183" spans="1:37" x14ac:dyDescent="0.2">
      <c r="A183" s="95" t="s">
        <v>65</v>
      </c>
      <c r="B183" s="95" t="s">
        <v>66</v>
      </c>
      <c r="C183" s="95" t="s">
        <v>86</v>
      </c>
      <c r="D183" s="95" t="s">
        <v>81</v>
      </c>
      <c r="F183" s="95">
        <v>2</v>
      </c>
      <c r="G183" s="95">
        <v>10</v>
      </c>
      <c r="I183" s="95">
        <v>5.2262500000000003</v>
      </c>
      <c r="P183" s="95">
        <v>2023</v>
      </c>
      <c r="Q183" s="95" t="s">
        <v>199</v>
      </c>
      <c r="R183" s="95" t="s">
        <v>222</v>
      </c>
      <c r="S183" s="95" t="s">
        <v>99</v>
      </c>
      <c r="T183" s="95" t="s">
        <v>223</v>
      </c>
      <c r="U183" s="95" t="s">
        <v>71</v>
      </c>
      <c r="V183" s="95" t="s">
        <v>71</v>
      </c>
      <c r="W183" s="95" t="s">
        <v>72</v>
      </c>
      <c r="X183" s="95" t="s">
        <v>71</v>
      </c>
      <c r="Y183" s="95" t="s">
        <v>72</v>
      </c>
      <c r="Z183" s="95" t="s">
        <v>71</v>
      </c>
      <c r="AA183" s="95" t="s">
        <v>72</v>
      </c>
      <c r="AB183" s="95" t="s">
        <v>72</v>
      </c>
      <c r="AC183" s="95" t="s">
        <v>72</v>
      </c>
      <c r="AD183" s="95" t="s">
        <v>72</v>
      </c>
      <c r="AE183" s="95" t="s">
        <v>71</v>
      </c>
      <c r="AF183" s="95" t="s">
        <v>72</v>
      </c>
      <c r="AG183" s="95" t="s">
        <v>71</v>
      </c>
      <c r="AH183" s="95" t="s">
        <v>71</v>
      </c>
      <c r="AI183" s="95" t="s">
        <v>71</v>
      </c>
      <c r="AK183" s="95" t="s">
        <v>71</v>
      </c>
    </row>
    <row r="184" spans="1:37" x14ac:dyDescent="0.2">
      <c r="A184" s="95" t="s">
        <v>65</v>
      </c>
      <c r="B184" s="95" t="s">
        <v>66</v>
      </c>
      <c r="C184" s="95" t="s">
        <v>86</v>
      </c>
      <c r="D184" s="95" t="s">
        <v>81</v>
      </c>
      <c r="F184" s="95">
        <v>2</v>
      </c>
      <c r="G184" s="95">
        <v>10</v>
      </c>
      <c r="I184" s="95">
        <v>4.9924999999999997</v>
      </c>
      <c r="P184" s="95">
        <v>2023</v>
      </c>
      <c r="Q184" s="95" t="s">
        <v>199</v>
      </c>
      <c r="R184" s="95" t="s">
        <v>224</v>
      </c>
      <c r="S184" s="95" t="s">
        <v>99</v>
      </c>
      <c r="T184" s="95" t="s">
        <v>225</v>
      </c>
      <c r="U184" s="95" t="s">
        <v>71</v>
      </c>
      <c r="V184" s="95" t="s">
        <v>71</v>
      </c>
      <c r="W184" s="95" t="s">
        <v>72</v>
      </c>
      <c r="X184" s="95" t="s">
        <v>71</v>
      </c>
      <c r="Y184" s="95" t="s">
        <v>72</v>
      </c>
      <c r="Z184" s="95" t="s">
        <v>71</v>
      </c>
      <c r="AA184" s="95" t="s">
        <v>72</v>
      </c>
      <c r="AB184" s="95" t="s">
        <v>72</v>
      </c>
      <c r="AC184" s="95" t="s">
        <v>72</v>
      </c>
      <c r="AD184" s="95" t="s">
        <v>72</v>
      </c>
      <c r="AE184" s="95" t="s">
        <v>71</v>
      </c>
      <c r="AF184" s="95" t="s">
        <v>72</v>
      </c>
      <c r="AG184" s="95" t="s">
        <v>71</v>
      </c>
      <c r="AH184" s="95" t="s">
        <v>71</v>
      </c>
      <c r="AI184" s="95" t="s">
        <v>71</v>
      </c>
      <c r="AK184" s="95" t="s">
        <v>71</v>
      </c>
    </row>
    <row r="185" spans="1:37" x14ac:dyDescent="0.2">
      <c r="A185" s="95" t="s">
        <v>65</v>
      </c>
      <c r="B185" s="95" t="s">
        <v>66</v>
      </c>
      <c r="C185" s="95" t="s">
        <v>86</v>
      </c>
      <c r="D185" s="95" t="s">
        <v>81</v>
      </c>
      <c r="F185" s="95">
        <v>2</v>
      </c>
      <c r="G185" s="95">
        <v>10</v>
      </c>
      <c r="I185" s="95">
        <v>5.15625</v>
      </c>
      <c r="P185" s="95">
        <v>2023</v>
      </c>
      <c r="Q185" s="95" t="s">
        <v>199</v>
      </c>
      <c r="R185" s="95" t="s">
        <v>226</v>
      </c>
      <c r="S185" s="95" t="s">
        <v>99</v>
      </c>
      <c r="T185" s="95" t="s">
        <v>227</v>
      </c>
      <c r="U185" s="95" t="s">
        <v>71</v>
      </c>
      <c r="V185" s="95" t="s">
        <v>71</v>
      </c>
      <c r="W185" s="95" t="s">
        <v>72</v>
      </c>
      <c r="X185" s="95" t="s">
        <v>71</v>
      </c>
      <c r="Y185" s="95" t="s">
        <v>72</v>
      </c>
      <c r="Z185" s="95" t="s">
        <v>71</v>
      </c>
      <c r="AA185" s="95" t="s">
        <v>72</v>
      </c>
      <c r="AB185" s="95" t="s">
        <v>72</v>
      </c>
      <c r="AC185" s="95" t="s">
        <v>72</v>
      </c>
      <c r="AD185" s="95" t="s">
        <v>72</v>
      </c>
      <c r="AE185" s="95" t="s">
        <v>71</v>
      </c>
      <c r="AF185" s="95" t="s">
        <v>72</v>
      </c>
      <c r="AG185" s="95" t="s">
        <v>71</v>
      </c>
      <c r="AH185" s="95" t="s">
        <v>71</v>
      </c>
      <c r="AI185" s="95" t="s">
        <v>71</v>
      </c>
      <c r="AK185" s="95" t="s">
        <v>71</v>
      </c>
    </row>
    <row r="186" spans="1:37" x14ac:dyDescent="0.2">
      <c r="A186" s="95" t="s">
        <v>65</v>
      </c>
      <c r="B186" s="95" t="s">
        <v>66</v>
      </c>
      <c r="C186" s="95" t="s">
        <v>85</v>
      </c>
      <c r="F186" s="249">
        <v>0.75</v>
      </c>
      <c r="G186" s="95">
        <v>3</v>
      </c>
      <c r="H186" s="250"/>
      <c r="I186" s="101">
        <f>8.88/32</f>
        <v>0.27750000000000002</v>
      </c>
      <c r="S186" s="95" t="s">
        <v>3435</v>
      </c>
      <c r="T186" s="4" t="s">
        <v>4556</v>
      </c>
      <c r="U186" s="95" t="s">
        <v>71</v>
      </c>
      <c r="V186" s="95" t="s">
        <v>71</v>
      </c>
      <c r="W186" s="95" t="s">
        <v>72</v>
      </c>
      <c r="X186" s="95" t="s">
        <v>71</v>
      </c>
      <c r="Y186" s="95" t="s">
        <v>72</v>
      </c>
      <c r="Z186" s="95" t="s">
        <v>71</v>
      </c>
      <c r="AA186" s="95" t="s">
        <v>72</v>
      </c>
      <c r="AB186" s="95" t="s">
        <v>72</v>
      </c>
      <c r="AC186" s="95" t="s">
        <v>72</v>
      </c>
      <c r="AD186" s="95" t="s">
        <v>72</v>
      </c>
      <c r="AE186" s="95" t="s">
        <v>71</v>
      </c>
      <c r="AF186" s="95" t="s">
        <v>72</v>
      </c>
      <c r="AG186" s="95" t="s">
        <v>71</v>
      </c>
      <c r="AH186" s="95" t="s">
        <v>71</v>
      </c>
      <c r="AI186" s="95" t="s">
        <v>71</v>
      </c>
      <c r="AK186" s="95" t="s">
        <v>71</v>
      </c>
    </row>
    <row r="187" spans="1:37" x14ac:dyDescent="0.2">
      <c r="A187" s="95" t="s">
        <v>65</v>
      </c>
      <c r="B187" s="95" t="s">
        <v>66</v>
      </c>
      <c r="C187" s="95" t="s">
        <v>85</v>
      </c>
      <c r="F187" s="95">
        <v>0.75</v>
      </c>
      <c r="G187" s="95">
        <v>3</v>
      </c>
      <c r="H187" s="250"/>
      <c r="I187" s="101">
        <f>9.77/29</f>
        <v>0.3368965517241379</v>
      </c>
      <c r="S187" s="95" t="s">
        <v>3435</v>
      </c>
      <c r="T187" s="4" t="s">
        <v>3522</v>
      </c>
      <c r="U187" s="95" t="s">
        <v>71</v>
      </c>
      <c r="V187" s="95" t="s">
        <v>71</v>
      </c>
      <c r="W187" s="95" t="s">
        <v>72</v>
      </c>
      <c r="X187" s="95" t="s">
        <v>71</v>
      </c>
      <c r="Y187" s="95" t="s">
        <v>72</v>
      </c>
      <c r="Z187" s="95" t="s">
        <v>71</v>
      </c>
      <c r="AA187" s="95" t="s">
        <v>72</v>
      </c>
      <c r="AB187" s="95" t="s">
        <v>72</v>
      </c>
      <c r="AC187" s="95" t="s">
        <v>72</v>
      </c>
      <c r="AD187" s="95" t="s">
        <v>72</v>
      </c>
      <c r="AE187" s="95" t="s">
        <v>71</v>
      </c>
      <c r="AF187" s="95" t="s">
        <v>72</v>
      </c>
      <c r="AG187" s="95" t="s">
        <v>71</v>
      </c>
      <c r="AH187" s="95" t="s">
        <v>71</v>
      </c>
      <c r="AI187" s="95" t="s">
        <v>71</v>
      </c>
      <c r="AK187" s="95" t="s">
        <v>71</v>
      </c>
    </row>
    <row r="188" spans="1:37" x14ac:dyDescent="0.2">
      <c r="A188" s="95" t="s">
        <v>65</v>
      </c>
      <c r="B188" s="95" t="s">
        <v>66</v>
      </c>
      <c r="C188" s="95" t="s">
        <v>85</v>
      </c>
      <c r="F188" s="95">
        <v>0.625</v>
      </c>
      <c r="G188" s="95">
        <v>3</v>
      </c>
      <c r="H188" s="250"/>
      <c r="I188" s="101">
        <f>59.94/72</f>
        <v>0.83250000000000002</v>
      </c>
      <c r="S188" s="95" t="s">
        <v>4561</v>
      </c>
      <c r="T188" s="4" t="s">
        <v>4566</v>
      </c>
      <c r="U188" s="95" t="s">
        <v>71</v>
      </c>
      <c r="V188" s="95" t="s">
        <v>71</v>
      </c>
      <c r="W188" s="95" t="s">
        <v>72</v>
      </c>
      <c r="X188" s="95" t="s">
        <v>71</v>
      </c>
      <c r="Y188" s="95" t="s">
        <v>72</v>
      </c>
      <c r="Z188" s="95" t="s">
        <v>71</v>
      </c>
      <c r="AA188" s="95" t="s">
        <v>72</v>
      </c>
      <c r="AB188" s="95" t="s">
        <v>72</v>
      </c>
      <c r="AC188" s="95" t="s">
        <v>72</v>
      </c>
      <c r="AD188" s="95" t="s">
        <v>72</v>
      </c>
      <c r="AE188" s="95" t="s">
        <v>71</v>
      </c>
      <c r="AF188" s="95" t="s">
        <v>72</v>
      </c>
      <c r="AG188" s="95" t="s">
        <v>71</v>
      </c>
      <c r="AH188" s="95" t="s">
        <v>71</v>
      </c>
      <c r="AI188" s="95" t="s">
        <v>71</v>
      </c>
      <c r="AK188" s="95" t="s">
        <v>71</v>
      </c>
    </row>
    <row r="189" spans="1:37" x14ac:dyDescent="0.2">
      <c r="A189" s="95" t="s">
        <v>65</v>
      </c>
      <c r="B189" s="95" t="s">
        <v>69</v>
      </c>
      <c r="C189" s="95" t="s">
        <v>85</v>
      </c>
      <c r="F189" s="95">
        <v>0.75</v>
      </c>
      <c r="G189" s="95">
        <v>3</v>
      </c>
      <c r="H189" s="250"/>
      <c r="I189" s="101">
        <f>13.51/32</f>
        <v>0.42218749999999999</v>
      </c>
      <c r="S189" s="95" t="s">
        <v>3526</v>
      </c>
      <c r="T189" s="4" t="s">
        <v>4585</v>
      </c>
      <c r="U189" s="95" t="s">
        <v>71</v>
      </c>
      <c r="V189" s="95" t="s">
        <v>71</v>
      </c>
      <c r="W189" s="95" t="s">
        <v>72</v>
      </c>
      <c r="X189" s="95" t="s">
        <v>71</v>
      </c>
      <c r="Y189" s="95" t="s">
        <v>72</v>
      </c>
      <c r="Z189" s="95" t="s">
        <v>71</v>
      </c>
      <c r="AA189" s="95" t="s">
        <v>72</v>
      </c>
      <c r="AB189" s="95" t="s">
        <v>72</v>
      </c>
      <c r="AC189" s="95" t="s">
        <v>72</v>
      </c>
      <c r="AD189" s="95" t="s">
        <v>72</v>
      </c>
      <c r="AE189" s="95" t="s">
        <v>71</v>
      </c>
      <c r="AF189" s="95" t="s">
        <v>72</v>
      </c>
      <c r="AG189" s="95" t="s">
        <v>71</v>
      </c>
      <c r="AH189" s="95" t="s">
        <v>71</v>
      </c>
      <c r="AI189" s="95" t="s">
        <v>71</v>
      </c>
      <c r="AK189" s="95" t="s">
        <v>71</v>
      </c>
    </row>
    <row r="190" spans="1:37" x14ac:dyDescent="0.2">
      <c r="A190" s="95" t="s">
        <v>97</v>
      </c>
      <c r="B190" s="95" t="s">
        <v>66</v>
      </c>
      <c r="C190" s="95" t="s">
        <v>239</v>
      </c>
      <c r="G190" s="95">
        <v>2</v>
      </c>
      <c r="H190" s="95">
        <v>3.7</v>
      </c>
      <c r="I190" s="95">
        <v>0.876</v>
      </c>
      <c r="P190" s="95">
        <v>2023</v>
      </c>
      <c r="R190" s="95" t="s">
        <v>240</v>
      </c>
      <c r="S190" s="95" t="s">
        <v>99</v>
      </c>
      <c r="T190" s="95" t="s">
        <v>241</v>
      </c>
      <c r="U190" s="95" t="s">
        <v>71</v>
      </c>
      <c r="V190" s="95" t="s">
        <v>71</v>
      </c>
      <c r="W190" s="95" t="s">
        <v>71</v>
      </c>
      <c r="X190" s="95" t="s">
        <v>72</v>
      </c>
      <c r="Y190" s="95" t="s">
        <v>71</v>
      </c>
      <c r="Z190" s="95" t="s">
        <v>71</v>
      </c>
      <c r="AA190" s="95" t="s">
        <v>71</v>
      </c>
      <c r="AB190" s="95" t="s">
        <v>71</v>
      </c>
      <c r="AC190" s="95" t="s">
        <v>71</v>
      </c>
      <c r="AD190" s="95" t="s">
        <v>71</v>
      </c>
      <c r="AE190" s="95" t="s">
        <v>71</v>
      </c>
      <c r="AF190" s="95" t="s">
        <v>71</v>
      </c>
      <c r="AG190" s="95" t="s">
        <v>72</v>
      </c>
      <c r="AH190" s="95" t="s">
        <v>72</v>
      </c>
      <c r="AI190" s="95" t="s">
        <v>72</v>
      </c>
      <c r="AK190" s="95" t="s">
        <v>71</v>
      </c>
    </row>
    <row r="191" spans="1:37" x14ac:dyDescent="0.2">
      <c r="A191" s="95" t="s">
        <v>97</v>
      </c>
      <c r="B191" s="95" t="s">
        <v>66</v>
      </c>
      <c r="C191" s="95" t="s">
        <v>98</v>
      </c>
      <c r="F191" s="95">
        <v>1</v>
      </c>
      <c r="G191" s="95">
        <v>6.44</v>
      </c>
      <c r="H191" s="95">
        <f>Table1[[#This Row],[R-value]]/Table1[[#This Row],[Thickness (in)]]</f>
        <v>6.44</v>
      </c>
      <c r="I191" s="95">
        <v>1.9450000000000001</v>
      </c>
      <c r="P191" s="95">
        <v>2023</v>
      </c>
      <c r="R191" s="95" t="s">
        <v>242</v>
      </c>
      <c r="S191" s="95" t="s">
        <v>99</v>
      </c>
      <c r="T191" s="4" t="s">
        <v>243</v>
      </c>
      <c r="U191" s="95" t="s">
        <v>71</v>
      </c>
      <c r="V191" s="95" t="s">
        <v>71</v>
      </c>
      <c r="W191" s="95" t="s">
        <v>71</v>
      </c>
      <c r="X191" s="95" t="s">
        <v>72</v>
      </c>
      <c r="Y191" s="95" t="s">
        <v>71</v>
      </c>
      <c r="Z191" s="95" t="s">
        <v>71</v>
      </c>
      <c r="AA191" s="95" t="s">
        <v>71</v>
      </c>
      <c r="AB191" s="95" t="s">
        <v>71</v>
      </c>
      <c r="AC191" s="95" t="s">
        <v>71</v>
      </c>
      <c r="AD191" s="95" t="s">
        <v>71</v>
      </c>
      <c r="AE191" s="95" t="s">
        <v>71</v>
      </c>
      <c r="AF191" s="95" t="s">
        <v>71</v>
      </c>
      <c r="AG191" s="95" t="s">
        <v>72</v>
      </c>
      <c r="AH191" s="95" t="s">
        <v>72</v>
      </c>
      <c r="AI191" s="95" t="s">
        <v>72</v>
      </c>
      <c r="AJ191" s="95" t="s">
        <v>72</v>
      </c>
      <c r="AK191" s="95" t="s">
        <v>71</v>
      </c>
    </row>
    <row r="192" spans="1:37" x14ac:dyDescent="0.2">
      <c r="A192" s="95" t="s">
        <v>97</v>
      </c>
      <c r="B192" s="95" t="s">
        <v>66</v>
      </c>
      <c r="C192" s="95" t="s">
        <v>239</v>
      </c>
      <c r="G192" s="95">
        <v>3.7</v>
      </c>
      <c r="I192" s="95">
        <v>1.0760000000000001</v>
      </c>
      <c r="P192" s="95">
        <v>2023</v>
      </c>
      <c r="R192" s="95" t="s">
        <v>244</v>
      </c>
      <c r="S192" s="95" t="s">
        <v>99</v>
      </c>
      <c r="T192" s="95" t="s">
        <v>245</v>
      </c>
      <c r="U192" s="95" t="s">
        <v>71</v>
      </c>
      <c r="V192" s="95" t="s">
        <v>71</v>
      </c>
      <c r="W192" s="95" t="s">
        <v>71</v>
      </c>
      <c r="X192" s="95" t="s">
        <v>72</v>
      </c>
      <c r="Y192" s="95" t="s">
        <v>71</v>
      </c>
      <c r="Z192" s="95" t="s">
        <v>71</v>
      </c>
      <c r="AA192" s="95" t="s">
        <v>71</v>
      </c>
      <c r="AB192" s="95" t="s">
        <v>71</v>
      </c>
      <c r="AC192" s="95" t="s">
        <v>71</v>
      </c>
      <c r="AD192" s="95" t="s">
        <v>71</v>
      </c>
      <c r="AE192" s="95" t="s">
        <v>71</v>
      </c>
      <c r="AF192" s="95" t="s">
        <v>71</v>
      </c>
      <c r="AG192" s="95" t="s">
        <v>72</v>
      </c>
      <c r="AH192" s="95" t="s">
        <v>72</v>
      </c>
      <c r="AI192" s="95" t="s">
        <v>72</v>
      </c>
      <c r="AK192" s="95" t="s">
        <v>71</v>
      </c>
    </row>
    <row r="193" spans="1:37" x14ac:dyDescent="0.2">
      <c r="A193" s="95" t="s">
        <v>97</v>
      </c>
      <c r="B193" s="95" t="s">
        <v>66</v>
      </c>
      <c r="C193" s="95" t="s">
        <v>239</v>
      </c>
      <c r="G193" s="95">
        <v>4.49</v>
      </c>
      <c r="H193" s="95">
        <v>4</v>
      </c>
      <c r="I193" s="95">
        <v>1.3759999999999999</v>
      </c>
      <c r="P193" s="95">
        <v>2023</v>
      </c>
      <c r="R193" s="95" t="s">
        <v>246</v>
      </c>
      <c r="S193" s="95" t="s">
        <v>99</v>
      </c>
      <c r="T193" s="95" t="s">
        <v>247</v>
      </c>
      <c r="U193" s="95" t="s">
        <v>71</v>
      </c>
      <c r="V193" s="95" t="s">
        <v>71</v>
      </c>
      <c r="W193" s="95" t="s">
        <v>71</v>
      </c>
      <c r="X193" s="95" t="s">
        <v>72</v>
      </c>
      <c r="Y193" s="95" t="s">
        <v>71</v>
      </c>
      <c r="Z193" s="95" t="s">
        <v>71</v>
      </c>
      <c r="AA193" s="95" t="s">
        <v>71</v>
      </c>
      <c r="AB193" s="95" t="s">
        <v>71</v>
      </c>
      <c r="AC193" s="95" t="s">
        <v>71</v>
      </c>
      <c r="AD193" s="95" t="s">
        <v>71</v>
      </c>
      <c r="AE193" s="95" t="s">
        <v>71</v>
      </c>
      <c r="AF193" s="95" t="s">
        <v>71</v>
      </c>
      <c r="AG193" s="95" t="s">
        <v>72</v>
      </c>
      <c r="AH193" s="95" t="s">
        <v>72</v>
      </c>
      <c r="AI193" s="95" t="s">
        <v>72</v>
      </c>
      <c r="AK193" s="95" t="s">
        <v>71</v>
      </c>
    </row>
    <row r="194" spans="1:37" x14ac:dyDescent="0.2">
      <c r="A194" s="95" t="s">
        <v>97</v>
      </c>
      <c r="B194" s="95" t="s">
        <v>66</v>
      </c>
      <c r="C194" s="95" t="s">
        <v>98</v>
      </c>
      <c r="F194" s="95">
        <v>1</v>
      </c>
      <c r="G194" s="95">
        <v>6</v>
      </c>
      <c r="H194" s="95">
        <v>6</v>
      </c>
      <c r="I194" s="95">
        <v>1.9450000000000001</v>
      </c>
      <c r="P194" s="95">
        <v>2023</v>
      </c>
      <c r="R194" s="95" t="s">
        <v>248</v>
      </c>
      <c r="S194" s="95" t="s">
        <v>99</v>
      </c>
      <c r="T194" s="4" t="s">
        <v>249</v>
      </c>
      <c r="U194" s="95" t="s">
        <v>71</v>
      </c>
      <c r="V194" s="95" t="s">
        <v>71</v>
      </c>
      <c r="W194" s="95" t="s">
        <v>71</v>
      </c>
      <c r="X194" s="95" t="s">
        <v>72</v>
      </c>
      <c r="Y194" s="95" t="s">
        <v>71</v>
      </c>
      <c r="Z194" s="95" t="s">
        <v>71</v>
      </c>
      <c r="AA194" s="95" t="s">
        <v>71</v>
      </c>
      <c r="AB194" s="95" t="s">
        <v>71</v>
      </c>
      <c r="AC194" s="95" t="s">
        <v>71</v>
      </c>
      <c r="AD194" s="95" t="s">
        <v>71</v>
      </c>
      <c r="AE194" s="95" t="s">
        <v>71</v>
      </c>
      <c r="AF194" s="95" t="s">
        <v>71</v>
      </c>
      <c r="AG194" s="95" t="s">
        <v>72</v>
      </c>
      <c r="AH194" s="95" t="s">
        <v>72</v>
      </c>
      <c r="AI194" s="95" t="s">
        <v>72</v>
      </c>
      <c r="AJ194" s="95" t="s">
        <v>72</v>
      </c>
      <c r="AK194" s="95" t="s">
        <v>71</v>
      </c>
    </row>
    <row r="195" spans="1:37" x14ac:dyDescent="0.2">
      <c r="A195" s="95" t="s">
        <v>97</v>
      </c>
      <c r="B195" s="95" t="s">
        <v>66</v>
      </c>
      <c r="C195" s="95" t="s">
        <v>239</v>
      </c>
      <c r="G195" s="95">
        <v>4.5</v>
      </c>
      <c r="H195" s="95">
        <v>4</v>
      </c>
      <c r="I195" s="95">
        <v>1.536</v>
      </c>
      <c r="P195" s="95">
        <v>2023</v>
      </c>
      <c r="R195" s="95" t="s">
        <v>250</v>
      </c>
      <c r="S195" s="95" t="s">
        <v>99</v>
      </c>
      <c r="T195" s="95" t="s">
        <v>251</v>
      </c>
      <c r="U195" s="95" t="s">
        <v>71</v>
      </c>
      <c r="V195" s="95" t="s">
        <v>71</v>
      </c>
      <c r="W195" s="95" t="s">
        <v>71</v>
      </c>
      <c r="X195" s="95" t="s">
        <v>72</v>
      </c>
      <c r="Y195" s="95" t="s">
        <v>71</v>
      </c>
      <c r="Z195" s="95" t="s">
        <v>71</v>
      </c>
      <c r="AA195" s="95" t="s">
        <v>71</v>
      </c>
      <c r="AB195" s="95" t="s">
        <v>71</v>
      </c>
      <c r="AC195" s="95" t="s">
        <v>71</v>
      </c>
      <c r="AD195" s="95" t="s">
        <v>71</v>
      </c>
      <c r="AE195" s="95" t="s">
        <v>71</v>
      </c>
      <c r="AF195" s="95" t="s">
        <v>71</v>
      </c>
      <c r="AG195" s="95" t="s">
        <v>72</v>
      </c>
      <c r="AH195" s="95" t="s">
        <v>72</v>
      </c>
      <c r="AI195" s="95" t="s">
        <v>72</v>
      </c>
      <c r="AK195" s="95" t="s">
        <v>71</v>
      </c>
    </row>
    <row r="196" spans="1:37" x14ac:dyDescent="0.2">
      <c r="A196" s="95" t="s">
        <v>97</v>
      </c>
      <c r="B196" s="95" t="s">
        <v>66</v>
      </c>
      <c r="C196" s="95" t="s">
        <v>252</v>
      </c>
      <c r="G196" s="95">
        <v>6.5</v>
      </c>
      <c r="I196" s="95">
        <v>1.665</v>
      </c>
      <c r="P196" s="95">
        <v>2023</v>
      </c>
      <c r="R196" s="95" t="s">
        <v>253</v>
      </c>
      <c r="S196" s="95" t="s">
        <v>99</v>
      </c>
      <c r="T196" s="95" t="s">
        <v>254</v>
      </c>
      <c r="U196" s="95" t="s">
        <v>71</v>
      </c>
      <c r="V196" s="95" t="s">
        <v>71</v>
      </c>
      <c r="W196" s="95" t="s">
        <v>71</v>
      </c>
      <c r="X196" s="95" t="s">
        <v>72</v>
      </c>
      <c r="Y196" s="95" t="s">
        <v>71</v>
      </c>
      <c r="Z196" s="95" t="s">
        <v>71</v>
      </c>
      <c r="AA196" s="95" t="s">
        <v>71</v>
      </c>
      <c r="AB196" s="95" t="s">
        <v>71</v>
      </c>
      <c r="AC196" s="95" t="s">
        <v>71</v>
      </c>
      <c r="AD196" s="95" t="s">
        <v>71</v>
      </c>
      <c r="AE196" s="95" t="s">
        <v>71</v>
      </c>
      <c r="AF196" s="95" t="s">
        <v>71</v>
      </c>
      <c r="AG196" s="95" t="s">
        <v>72</v>
      </c>
      <c r="AH196" s="95" t="s">
        <v>72</v>
      </c>
      <c r="AI196" s="95" t="s">
        <v>72</v>
      </c>
      <c r="AK196" s="95" t="s">
        <v>71</v>
      </c>
    </row>
    <row r="197" spans="1:37" x14ac:dyDescent="0.2">
      <c r="A197" s="95" t="s">
        <v>97</v>
      </c>
      <c r="B197" s="95" t="s">
        <v>66</v>
      </c>
      <c r="C197" s="95" t="s">
        <v>239</v>
      </c>
      <c r="G197" s="95">
        <v>4.5</v>
      </c>
      <c r="H197" s="95">
        <v>4</v>
      </c>
      <c r="I197" s="95">
        <v>0.74750000000000005</v>
      </c>
      <c r="P197" s="95">
        <v>2023</v>
      </c>
      <c r="R197" s="95" t="s">
        <v>255</v>
      </c>
      <c r="S197" s="95" t="s">
        <v>99</v>
      </c>
      <c r="T197" s="95" t="s">
        <v>256</v>
      </c>
      <c r="U197" s="95" t="s">
        <v>71</v>
      </c>
      <c r="V197" s="95" t="s">
        <v>71</v>
      </c>
      <c r="W197" s="95" t="s">
        <v>71</v>
      </c>
      <c r="X197" s="95" t="s">
        <v>72</v>
      </c>
      <c r="Y197" s="95" t="s">
        <v>71</v>
      </c>
      <c r="Z197" s="95" t="s">
        <v>71</v>
      </c>
      <c r="AA197" s="95" t="s">
        <v>71</v>
      </c>
      <c r="AB197" s="95" t="s">
        <v>71</v>
      </c>
      <c r="AC197" s="95" t="s">
        <v>71</v>
      </c>
      <c r="AD197" s="95" t="s">
        <v>71</v>
      </c>
      <c r="AE197" s="95" t="s">
        <v>71</v>
      </c>
      <c r="AF197" s="95" t="s">
        <v>71</v>
      </c>
      <c r="AG197" s="95" t="s">
        <v>72</v>
      </c>
      <c r="AH197" s="95" t="s">
        <v>72</v>
      </c>
      <c r="AI197" s="95" t="s">
        <v>72</v>
      </c>
      <c r="AK197" s="95" t="s">
        <v>71</v>
      </c>
    </row>
    <row r="198" spans="1:37" x14ac:dyDescent="0.2">
      <c r="A198" s="95" t="s">
        <v>97</v>
      </c>
      <c r="B198" s="95" t="s">
        <v>66</v>
      </c>
      <c r="C198" s="95" t="s">
        <v>239</v>
      </c>
      <c r="G198" s="95">
        <v>2</v>
      </c>
      <c r="H198" s="95">
        <v>3.7</v>
      </c>
      <c r="I198" s="95">
        <v>0.92642857142857149</v>
      </c>
      <c r="P198" s="95">
        <v>2023</v>
      </c>
      <c r="R198" s="95" t="s">
        <v>257</v>
      </c>
      <c r="S198" s="95" t="s">
        <v>99</v>
      </c>
      <c r="T198" s="95" t="s">
        <v>258</v>
      </c>
      <c r="U198" s="95" t="s">
        <v>71</v>
      </c>
      <c r="V198" s="95" t="s">
        <v>71</v>
      </c>
      <c r="W198" s="95" t="s">
        <v>71</v>
      </c>
      <c r="X198" s="95" t="s">
        <v>72</v>
      </c>
      <c r="Y198" s="95" t="s">
        <v>71</v>
      </c>
      <c r="Z198" s="95" t="s">
        <v>71</v>
      </c>
      <c r="AA198" s="95" t="s">
        <v>71</v>
      </c>
      <c r="AB198" s="95" t="s">
        <v>71</v>
      </c>
      <c r="AC198" s="95" t="s">
        <v>71</v>
      </c>
      <c r="AD198" s="95" t="s">
        <v>71</v>
      </c>
      <c r="AE198" s="95" t="s">
        <v>71</v>
      </c>
      <c r="AF198" s="95" t="s">
        <v>71</v>
      </c>
      <c r="AG198" s="95" t="s">
        <v>72</v>
      </c>
      <c r="AH198" s="95" t="s">
        <v>72</v>
      </c>
      <c r="AI198" s="95" t="s">
        <v>72</v>
      </c>
      <c r="AK198" s="95" t="s">
        <v>71</v>
      </c>
    </row>
    <row r="199" spans="1:37" x14ac:dyDescent="0.2">
      <c r="A199" s="95" t="s">
        <v>97</v>
      </c>
      <c r="B199" s="95" t="s">
        <v>66</v>
      </c>
      <c r="C199" s="95" t="s">
        <v>239</v>
      </c>
      <c r="G199" s="95">
        <v>3.8</v>
      </c>
      <c r="I199" s="95">
        <v>1.4950000000000001</v>
      </c>
      <c r="P199" s="95">
        <v>2023</v>
      </c>
      <c r="R199" s="95" t="s">
        <v>259</v>
      </c>
      <c r="S199" s="95" t="s">
        <v>99</v>
      </c>
      <c r="T199" s="95" t="s">
        <v>260</v>
      </c>
      <c r="U199" s="95" t="s">
        <v>71</v>
      </c>
      <c r="V199" s="95" t="s">
        <v>71</v>
      </c>
      <c r="W199" s="95" t="s">
        <v>71</v>
      </c>
      <c r="X199" s="95" t="s">
        <v>72</v>
      </c>
      <c r="Y199" s="95" t="s">
        <v>71</v>
      </c>
      <c r="Z199" s="95" t="s">
        <v>71</v>
      </c>
      <c r="AA199" s="95" t="s">
        <v>71</v>
      </c>
      <c r="AB199" s="95" t="s">
        <v>71</v>
      </c>
      <c r="AC199" s="95" t="s">
        <v>71</v>
      </c>
      <c r="AD199" s="95" t="s">
        <v>71</v>
      </c>
      <c r="AE199" s="95" t="s">
        <v>71</v>
      </c>
      <c r="AF199" s="95" t="s">
        <v>71</v>
      </c>
      <c r="AG199" s="95" t="s">
        <v>72</v>
      </c>
      <c r="AH199" s="95" t="s">
        <v>72</v>
      </c>
      <c r="AI199" s="95" t="s">
        <v>72</v>
      </c>
      <c r="AK199" s="95" t="s">
        <v>71</v>
      </c>
    </row>
    <row r="200" spans="1:37" x14ac:dyDescent="0.2">
      <c r="A200" s="95" t="s">
        <v>97</v>
      </c>
      <c r="B200" s="95" t="s">
        <v>66</v>
      </c>
      <c r="C200" s="95" t="s">
        <v>239</v>
      </c>
      <c r="G200" s="95">
        <v>2</v>
      </c>
      <c r="H200" s="95">
        <v>3.7</v>
      </c>
      <c r="I200" s="95">
        <v>1.4970000000000001</v>
      </c>
      <c r="P200" s="95">
        <v>2023</v>
      </c>
      <c r="R200" s="95" t="s">
        <v>261</v>
      </c>
      <c r="S200" s="95" t="s">
        <v>99</v>
      </c>
      <c r="T200" s="95" t="s">
        <v>262</v>
      </c>
      <c r="U200" s="95" t="s">
        <v>71</v>
      </c>
      <c r="V200" s="95" t="s">
        <v>71</v>
      </c>
      <c r="W200" s="95" t="s">
        <v>71</v>
      </c>
      <c r="X200" s="95" t="s">
        <v>72</v>
      </c>
      <c r="Y200" s="95" t="s">
        <v>71</v>
      </c>
      <c r="Z200" s="95" t="s">
        <v>71</v>
      </c>
      <c r="AA200" s="95" t="s">
        <v>71</v>
      </c>
      <c r="AB200" s="95" t="s">
        <v>71</v>
      </c>
      <c r="AC200" s="95" t="s">
        <v>71</v>
      </c>
      <c r="AD200" s="95" t="s">
        <v>71</v>
      </c>
      <c r="AE200" s="95" t="s">
        <v>71</v>
      </c>
      <c r="AF200" s="95" t="s">
        <v>71</v>
      </c>
      <c r="AG200" s="95" t="s">
        <v>72</v>
      </c>
      <c r="AH200" s="95" t="s">
        <v>72</v>
      </c>
      <c r="AI200" s="95" t="s">
        <v>72</v>
      </c>
      <c r="AK200" s="95" t="s">
        <v>71</v>
      </c>
    </row>
    <row r="201" spans="1:37" x14ac:dyDescent="0.2">
      <c r="A201" s="95" t="s">
        <v>97</v>
      </c>
      <c r="B201" s="95" t="s">
        <v>66</v>
      </c>
      <c r="C201" s="95" t="s">
        <v>239</v>
      </c>
      <c r="G201" s="95">
        <v>4</v>
      </c>
      <c r="I201" s="95">
        <v>1.3283333333333334</v>
      </c>
      <c r="P201" s="95">
        <v>2023</v>
      </c>
      <c r="R201" s="95" t="s">
        <v>263</v>
      </c>
      <c r="S201" s="95" t="s">
        <v>99</v>
      </c>
      <c r="T201" s="95" t="s">
        <v>264</v>
      </c>
      <c r="U201" s="95" t="s">
        <v>71</v>
      </c>
      <c r="V201" s="95" t="s">
        <v>71</v>
      </c>
      <c r="W201" s="95" t="s">
        <v>71</v>
      </c>
      <c r="X201" s="95" t="s">
        <v>72</v>
      </c>
      <c r="Y201" s="95" t="s">
        <v>71</v>
      </c>
      <c r="Z201" s="95" t="s">
        <v>71</v>
      </c>
      <c r="AA201" s="95" t="s">
        <v>71</v>
      </c>
      <c r="AB201" s="95" t="s">
        <v>71</v>
      </c>
      <c r="AC201" s="95" t="s">
        <v>71</v>
      </c>
      <c r="AD201" s="95" t="s">
        <v>71</v>
      </c>
      <c r="AE201" s="95" t="s">
        <v>71</v>
      </c>
      <c r="AF201" s="95" t="s">
        <v>71</v>
      </c>
      <c r="AG201" s="95" t="s">
        <v>72</v>
      </c>
      <c r="AH201" s="95" t="s">
        <v>72</v>
      </c>
      <c r="AI201" s="95" t="s">
        <v>72</v>
      </c>
      <c r="AK201" s="95" t="s">
        <v>71</v>
      </c>
    </row>
    <row r="202" spans="1:37" x14ac:dyDescent="0.2">
      <c r="A202" s="95" t="s">
        <v>97</v>
      </c>
      <c r="B202" s="95" t="s">
        <v>66</v>
      </c>
      <c r="C202" s="95" t="s">
        <v>239</v>
      </c>
      <c r="G202" s="95">
        <v>3.7</v>
      </c>
      <c r="I202" s="95">
        <v>1.1960000000000002</v>
      </c>
      <c r="P202" s="95">
        <v>2023</v>
      </c>
      <c r="R202" s="95" t="s">
        <v>265</v>
      </c>
      <c r="S202" s="95" t="s">
        <v>99</v>
      </c>
      <c r="T202" s="95" t="s">
        <v>266</v>
      </c>
      <c r="U202" s="95" t="s">
        <v>71</v>
      </c>
      <c r="V202" s="95" t="s">
        <v>71</v>
      </c>
      <c r="W202" s="95" t="s">
        <v>71</v>
      </c>
      <c r="X202" s="95" t="s">
        <v>72</v>
      </c>
      <c r="Y202" s="95" t="s">
        <v>71</v>
      </c>
      <c r="Z202" s="95" t="s">
        <v>71</v>
      </c>
      <c r="AA202" s="95" t="s">
        <v>71</v>
      </c>
      <c r="AB202" s="95" t="s">
        <v>71</v>
      </c>
      <c r="AC202" s="95" t="s">
        <v>71</v>
      </c>
      <c r="AD202" s="95" t="s">
        <v>71</v>
      </c>
      <c r="AE202" s="95" t="s">
        <v>71</v>
      </c>
      <c r="AF202" s="95" t="s">
        <v>71</v>
      </c>
      <c r="AG202" s="95" t="s">
        <v>72</v>
      </c>
      <c r="AH202" s="95" t="s">
        <v>72</v>
      </c>
      <c r="AI202" s="95" t="s">
        <v>72</v>
      </c>
      <c r="AK202" s="95" t="s">
        <v>71</v>
      </c>
    </row>
    <row r="203" spans="1:37" x14ac:dyDescent="0.2">
      <c r="A203" s="95" t="s">
        <v>97</v>
      </c>
      <c r="B203" s="95" t="s">
        <v>66</v>
      </c>
      <c r="C203" s="95" t="s">
        <v>98</v>
      </c>
      <c r="F203" s="95">
        <v>1</v>
      </c>
      <c r="G203" s="95">
        <v>6.8</v>
      </c>
      <c r="H203" s="95">
        <v>6.8</v>
      </c>
      <c r="I203" s="95">
        <v>1.6658153846153845</v>
      </c>
      <c r="P203" s="95">
        <v>2023</v>
      </c>
      <c r="R203" s="95" t="s">
        <v>267</v>
      </c>
      <c r="S203" s="95" t="s">
        <v>99</v>
      </c>
      <c r="T203" s="4" t="s">
        <v>268</v>
      </c>
      <c r="U203" s="95" t="s">
        <v>71</v>
      </c>
      <c r="V203" s="95" t="s">
        <v>71</v>
      </c>
      <c r="W203" s="95" t="s">
        <v>71</v>
      </c>
      <c r="X203" s="95" t="s">
        <v>72</v>
      </c>
      <c r="Y203" s="95" t="s">
        <v>71</v>
      </c>
      <c r="Z203" s="95" t="s">
        <v>71</v>
      </c>
      <c r="AA203" s="95" t="s">
        <v>71</v>
      </c>
      <c r="AB203" s="95" t="s">
        <v>71</v>
      </c>
      <c r="AC203" s="95" t="s">
        <v>71</v>
      </c>
      <c r="AD203" s="95" t="s">
        <v>71</v>
      </c>
      <c r="AE203" s="95" t="s">
        <v>71</v>
      </c>
      <c r="AF203" s="95" t="s">
        <v>71</v>
      </c>
      <c r="AG203" s="95" t="s">
        <v>72</v>
      </c>
      <c r="AH203" s="95" t="s">
        <v>72</v>
      </c>
      <c r="AI203" s="95" t="s">
        <v>72</v>
      </c>
      <c r="AJ203" s="95" t="s">
        <v>72</v>
      </c>
      <c r="AK203" s="95" t="s">
        <v>71</v>
      </c>
    </row>
    <row r="204" spans="1:37" x14ac:dyDescent="0.2">
      <c r="A204" s="95" t="s">
        <v>97</v>
      </c>
      <c r="B204" s="95" t="s">
        <v>66</v>
      </c>
      <c r="C204" s="95" t="s">
        <v>239</v>
      </c>
      <c r="G204" s="95">
        <v>4</v>
      </c>
      <c r="I204" s="95">
        <v>1.9957142857142858</v>
      </c>
      <c r="P204" s="95">
        <v>2023</v>
      </c>
      <c r="R204" s="95" t="s">
        <v>269</v>
      </c>
      <c r="S204" s="95" t="s">
        <v>99</v>
      </c>
      <c r="T204" s="95" t="s">
        <v>270</v>
      </c>
      <c r="U204" s="95" t="s">
        <v>71</v>
      </c>
      <c r="V204" s="95" t="s">
        <v>71</v>
      </c>
      <c r="W204" s="95" t="s">
        <v>71</v>
      </c>
      <c r="X204" s="95" t="s">
        <v>72</v>
      </c>
      <c r="Y204" s="95" t="s">
        <v>71</v>
      </c>
      <c r="Z204" s="95" t="s">
        <v>71</v>
      </c>
      <c r="AA204" s="95" t="s">
        <v>71</v>
      </c>
      <c r="AB204" s="95" t="s">
        <v>71</v>
      </c>
      <c r="AC204" s="95" t="s">
        <v>71</v>
      </c>
      <c r="AD204" s="95" t="s">
        <v>71</v>
      </c>
      <c r="AE204" s="95" t="s">
        <v>71</v>
      </c>
      <c r="AF204" s="95" t="s">
        <v>71</v>
      </c>
      <c r="AG204" s="95" t="s">
        <v>72</v>
      </c>
      <c r="AH204" s="95" t="s">
        <v>72</v>
      </c>
      <c r="AI204" s="95" t="s">
        <v>72</v>
      </c>
      <c r="AK204" s="95" t="s">
        <v>71</v>
      </c>
    </row>
    <row r="205" spans="1:37" x14ac:dyDescent="0.2">
      <c r="A205" s="95" t="s">
        <v>97</v>
      </c>
      <c r="B205" s="95" t="s">
        <v>66</v>
      </c>
      <c r="C205" s="95" t="s">
        <v>239</v>
      </c>
      <c r="G205" s="95">
        <v>4</v>
      </c>
      <c r="I205" s="95">
        <v>1.7100000000000002</v>
      </c>
      <c r="P205" s="95">
        <v>2023</v>
      </c>
      <c r="R205" s="95" t="s">
        <v>271</v>
      </c>
      <c r="S205" s="95" t="s">
        <v>99</v>
      </c>
      <c r="T205" s="95" t="s">
        <v>272</v>
      </c>
      <c r="U205" s="95" t="s">
        <v>71</v>
      </c>
      <c r="V205" s="95" t="s">
        <v>71</v>
      </c>
      <c r="W205" s="95" t="s">
        <v>71</v>
      </c>
      <c r="X205" s="95" t="s">
        <v>72</v>
      </c>
      <c r="Y205" s="95" t="s">
        <v>71</v>
      </c>
      <c r="Z205" s="95" t="s">
        <v>71</v>
      </c>
      <c r="AA205" s="95" t="s">
        <v>71</v>
      </c>
      <c r="AB205" s="95" t="s">
        <v>71</v>
      </c>
      <c r="AC205" s="95" t="s">
        <v>71</v>
      </c>
      <c r="AD205" s="95" t="s">
        <v>71</v>
      </c>
      <c r="AE205" s="95" t="s">
        <v>71</v>
      </c>
      <c r="AF205" s="95" t="s">
        <v>71</v>
      </c>
      <c r="AG205" s="95" t="s">
        <v>72</v>
      </c>
      <c r="AH205" s="95" t="s">
        <v>72</v>
      </c>
      <c r="AI205" s="95" t="s">
        <v>72</v>
      </c>
      <c r="AK205" s="95" t="s">
        <v>71</v>
      </c>
    </row>
    <row r="206" spans="1:37" x14ac:dyDescent="0.2">
      <c r="A206" s="95" t="s">
        <v>97</v>
      </c>
      <c r="B206" s="95" t="s">
        <v>66</v>
      </c>
      <c r="C206" s="95" t="s">
        <v>252</v>
      </c>
      <c r="G206" s="95">
        <v>14</v>
      </c>
      <c r="H206" s="95">
        <v>6.8</v>
      </c>
      <c r="I206" s="95">
        <v>1.621032258064516</v>
      </c>
      <c r="P206" s="95">
        <v>2023</v>
      </c>
      <c r="R206" s="95" t="s">
        <v>273</v>
      </c>
      <c r="S206" s="95" t="s">
        <v>99</v>
      </c>
      <c r="T206" s="95" t="s">
        <v>274</v>
      </c>
      <c r="U206" s="95" t="s">
        <v>71</v>
      </c>
      <c r="V206" s="95" t="s">
        <v>71</v>
      </c>
      <c r="W206" s="95" t="s">
        <v>71</v>
      </c>
      <c r="X206" s="95" t="s">
        <v>72</v>
      </c>
      <c r="Y206" s="95" t="s">
        <v>71</v>
      </c>
      <c r="Z206" s="95" t="s">
        <v>71</v>
      </c>
      <c r="AA206" s="95" t="s">
        <v>71</v>
      </c>
      <c r="AB206" s="95" t="s">
        <v>71</v>
      </c>
      <c r="AC206" s="95" t="s">
        <v>71</v>
      </c>
      <c r="AD206" s="95" t="s">
        <v>71</v>
      </c>
      <c r="AE206" s="95" t="s">
        <v>71</v>
      </c>
      <c r="AF206" s="95" t="s">
        <v>71</v>
      </c>
      <c r="AG206" s="95" t="s">
        <v>72</v>
      </c>
      <c r="AH206" s="95" t="s">
        <v>72</v>
      </c>
      <c r="AI206" s="95" t="s">
        <v>72</v>
      </c>
      <c r="AK206" s="95" t="s">
        <v>71</v>
      </c>
    </row>
    <row r="207" spans="1:37" x14ac:dyDescent="0.2">
      <c r="A207" s="95" t="s">
        <v>97</v>
      </c>
      <c r="B207" s="95" t="s">
        <v>66</v>
      </c>
      <c r="C207" s="95" t="s">
        <v>98</v>
      </c>
      <c r="F207" s="95">
        <v>1</v>
      </c>
      <c r="G207" s="95">
        <v>5.5</v>
      </c>
      <c r="H207" s="95">
        <v>5.5</v>
      </c>
      <c r="I207" s="95">
        <v>2.2069047619047617</v>
      </c>
      <c r="P207" s="95">
        <v>2023</v>
      </c>
      <c r="R207" s="95" t="s">
        <v>275</v>
      </c>
      <c r="S207" s="95" t="s">
        <v>99</v>
      </c>
      <c r="T207" s="95" t="s">
        <v>276</v>
      </c>
      <c r="U207" s="95" t="s">
        <v>71</v>
      </c>
      <c r="V207" s="95" t="s">
        <v>71</v>
      </c>
      <c r="W207" s="95" t="s">
        <v>71</v>
      </c>
      <c r="X207" s="95" t="s">
        <v>72</v>
      </c>
      <c r="Y207" s="95" t="s">
        <v>71</v>
      </c>
      <c r="Z207" s="95" t="s">
        <v>71</v>
      </c>
      <c r="AA207" s="95" t="s">
        <v>71</v>
      </c>
      <c r="AB207" s="95" t="s">
        <v>71</v>
      </c>
      <c r="AC207" s="95" t="s">
        <v>71</v>
      </c>
      <c r="AD207" s="95" t="s">
        <v>71</v>
      </c>
      <c r="AE207" s="95" t="s">
        <v>71</v>
      </c>
      <c r="AF207" s="95" t="s">
        <v>71</v>
      </c>
      <c r="AG207" s="95" t="s">
        <v>72</v>
      </c>
      <c r="AH207" s="95" t="s">
        <v>72</v>
      </c>
      <c r="AI207" s="95" t="s">
        <v>72</v>
      </c>
      <c r="AJ207" s="95" t="s">
        <v>72</v>
      </c>
      <c r="AK207" s="95" t="s">
        <v>71</v>
      </c>
    </row>
    <row r="208" spans="1:37" x14ac:dyDescent="0.2">
      <c r="A208" s="95" t="s">
        <v>97</v>
      </c>
      <c r="B208" s="95" t="s">
        <v>66</v>
      </c>
      <c r="C208" s="95" t="s">
        <v>252</v>
      </c>
      <c r="G208" s="95">
        <v>3.7</v>
      </c>
      <c r="I208" s="95">
        <v>6.427142857142857</v>
      </c>
      <c r="P208" s="95">
        <v>2023</v>
      </c>
      <c r="R208" s="95" t="s">
        <v>277</v>
      </c>
      <c r="S208" s="95" t="s">
        <v>99</v>
      </c>
      <c r="T208" s="95" t="s">
        <v>278</v>
      </c>
      <c r="U208" s="95" t="s">
        <v>71</v>
      </c>
      <c r="V208" s="95" t="s">
        <v>71</v>
      </c>
      <c r="W208" s="95" t="s">
        <v>71</v>
      </c>
      <c r="X208" s="95" t="s">
        <v>72</v>
      </c>
      <c r="Y208" s="95" t="s">
        <v>71</v>
      </c>
      <c r="Z208" s="95" t="s">
        <v>71</v>
      </c>
      <c r="AA208" s="95" t="s">
        <v>71</v>
      </c>
      <c r="AB208" s="95" t="s">
        <v>71</v>
      </c>
      <c r="AC208" s="95" t="s">
        <v>71</v>
      </c>
      <c r="AD208" s="95" t="s">
        <v>71</v>
      </c>
      <c r="AE208" s="95" t="s">
        <v>71</v>
      </c>
      <c r="AF208" s="95" t="s">
        <v>71</v>
      </c>
      <c r="AG208" s="95" t="s">
        <v>72</v>
      </c>
      <c r="AH208" s="95" t="s">
        <v>72</v>
      </c>
      <c r="AI208" s="95" t="s">
        <v>72</v>
      </c>
      <c r="AK208" s="95" t="s">
        <v>71</v>
      </c>
    </row>
    <row r="209" spans="1:37" x14ac:dyDescent="0.2">
      <c r="A209" s="95" t="s">
        <v>97</v>
      </c>
      <c r="B209" s="95" t="s">
        <v>66</v>
      </c>
      <c r="C209" s="95" t="s">
        <v>239</v>
      </c>
      <c r="G209" s="95">
        <v>3.8</v>
      </c>
      <c r="I209" s="95">
        <v>1.1475</v>
      </c>
      <c r="P209" s="95">
        <v>2023</v>
      </c>
      <c r="R209" s="95" t="s">
        <v>279</v>
      </c>
      <c r="S209" s="95" t="s">
        <v>99</v>
      </c>
      <c r="T209" s="95" t="s">
        <v>280</v>
      </c>
      <c r="U209" s="95" t="s">
        <v>71</v>
      </c>
      <c r="V209" s="95" t="s">
        <v>71</v>
      </c>
      <c r="W209" s="95" t="s">
        <v>71</v>
      </c>
      <c r="X209" s="95" t="s">
        <v>72</v>
      </c>
      <c r="Y209" s="95" t="s">
        <v>71</v>
      </c>
      <c r="Z209" s="95" t="s">
        <v>71</v>
      </c>
      <c r="AA209" s="95" t="s">
        <v>71</v>
      </c>
      <c r="AB209" s="95" t="s">
        <v>71</v>
      </c>
      <c r="AC209" s="95" t="s">
        <v>71</v>
      </c>
      <c r="AD209" s="95" t="s">
        <v>71</v>
      </c>
      <c r="AE209" s="95" t="s">
        <v>71</v>
      </c>
      <c r="AF209" s="95" t="s">
        <v>71</v>
      </c>
      <c r="AG209" s="95" t="s">
        <v>72</v>
      </c>
      <c r="AH209" s="95" t="s">
        <v>72</v>
      </c>
      <c r="AI209" s="95" t="s">
        <v>72</v>
      </c>
      <c r="AK209" s="95" t="s">
        <v>71</v>
      </c>
    </row>
    <row r="210" spans="1:37" x14ac:dyDescent="0.2">
      <c r="A210" s="95" t="s">
        <v>97</v>
      </c>
      <c r="B210" s="95" t="s">
        <v>66</v>
      </c>
      <c r="C210" s="95" t="s">
        <v>252</v>
      </c>
      <c r="G210" s="95">
        <v>3.7</v>
      </c>
      <c r="I210" s="95">
        <v>9.2707142857142859</v>
      </c>
      <c r="P210" s="95">
        <v>2023</v>
      </c>
      <c r="R210" s="95" t="s">
        <v>281</v>
      </c>
      <c r="S210" s="95" t="s">
        <v>99</v>
      </c>
      <c r="T210" s="95" t="s">
        <v>282</v>
      </c>
      <c r="U210" s="95" t="s">
        <v>71</v>
      </c>
      <c r="V210" s="95" t="s">
        <v>71</v>
      </c>
      <c r="W210" s="95" t="s">
        <v>71</v>
      </c>
      <c r="X210" s="95" t="s">
        <v>72</v>
      </c>
      <c r="Y210" s="95" t="s">
        <v>71</v>
      </c>
      <c r="Z210" s="95" t="s">
        <v>71</v>
      </c>
      <c r="AA210" s="95" t="s">
        <v>71</v>
      </c>
      <c r="AB210" s="95" t="s">
        <v>71</v>
      </c>
      <c r="AC210" s="95" t="s">
        <v>71</v>
      </c>
      <c r="AD210" s="95" t="s">
        <v>71</v>
      </c>
      <c r="AE210" s="95" t="s">
        <v>71</v>
      </c>
      <c r="AF210" s="95" t="s">
        <v>71</v>
      </c>
      <c r="AG210" s="95" t="s">
        <v>72</v>
      </c>
      <c r="AH210" s="95" t="s">
        <v>72</v>
      </c>
      <c r="AI210" s="95" t="s">
        <v>72</v>
      </c>
      <c r="AK210" s="95" t="s">
        <v>71</v>
      </c>
    </row>
    <row r="211" spans="1:37" x14ac:dyDescent="0.2">
      <c r="A211" s="95" t="s">
        <v>97</v>
      </c>
      <c r="B211" s="95" t="s">
        <v>66</v>
      </c>
      <c r="C211" s="95" t="s">
        <v>252</v>
      </c>
      <c r="G211" s="95">
        <v>3.7</v>
      </c>
      <c r="I211" s="95">
        <v>7.2735714285714286</v>
      </c>
      <c r="P211" s="95">
        <v>2023</v>
      </c>
      <c r="R211" s="95" t="s">
        <v>283</v>
      </c>
      <c r="S211" s="95" t="s">
        <v>99</v>
      </c>
      <c r="T211" s="95" t="s">
        <v>284</v>
      </c>
      <c r="U211" s="95" t="s">
        <v>71</v>
      </c>
      <c r="V211" s="95" t="s">
        <v>71</v>
      </c>
      <c r="W211" s="95" t="s">
        <v>71</v>
      </c>
      <c r="X211" s="95" t="s">
        <v>72</v>
      </c>
      <c r="Y211" s="95" t="s">
        <v>71</v>
      </c>
      <c r="Z211" s="95" t="s">
        <v>71</v>
      </c>
      <c r="AA211" s="95" t="s">
        <v>71</v>
      </c>
      <c r="AB211" s="95" t="s">
        <v>71</v>
      </c>
      <c r="AC211" s="95" t="s">
        <v>71</v>
      </c>
      <c r="AD211" s="95" t="s">
        <v>71</v>
      </c>
      <c r="AE211" s="95" t="s">
        <v>71</v>
      </c>
      <c r="AF211" s="95" t="s">
        <v>71</v>
      </c>
      <c r="AG211" s="95" t="s">
        <v>72</v>
      </c>
      <c r="AH211" s="95" t="s">
        <v>72</v>
      </c>
      <c r="AI211" s="95" t="s">
        <v>72</v>
      </c>
      <c r="AK211" s="95" t="s">
        <v>71</v>
      </c>
    </row>
    <row r="212" spans="1:37" x14ac:dyDescent="0.2">
      <c r="A212" s="95" t="s">
        <v>73</v>
      </c>
      <c r="B212" s="95" t="s">
        <v>66</v>
      </c>
      <c r="C212" s="95" t="s">
        <v>91</v>
      </c>
      <c r="D212" s="95" t="s">
        <v>68</v>
      </c>
      <c r="F212" s="95">
        <v>2</v>
      </c>
      <c r="G212" s="95">
        <v>8.4</v>
      </c>
      <c r="I212" s="95">
        <v>3.6652473958333331</v>
      </c>
      <c r="P212" s="95">
        <v>2023</v>
      </c>
      <c r="Q212" s="95" t="s">
        <v>176</v>
      </c>
      <c r="R212" s="95" t="s">
        <v>285</v>
      </c>
      <c r="S212" s="95" t="s">
        <v>99</v>
      </c>
      <c r="T212" s="95" t="s">
        <v>286</v>
      </c>
      <c r="U212" s="95" t="s">
        <v>71</v>
      </c>
      <c r="V212" s="95" t="s">
        <v>71</v>
      </c>
      <c r="W212" s="95" t="s">
        <v>72</v>
      </c>
      <c r="X212" s="95" t="s">
        <v>71</v>
      </c>
      <c r="Y212" s="95" t="s">
        <v>71</v>
      </c>
      <c r="Z212" s="95" t="s">
        <v>71</v>
      </c>
      <c r="AA212" s="95" t="s">
        <v>71</v>
      </c>
      <c r="AB212" s="95" t="s">
        <v>71</v>
      </c>
      <c r="AC212" s="95" t="s">
        <v>71</v>
      </c>
      <c r="AD212" s="95" t="s">
        <v>72</v>
      </c>
      <c r="AE212" s="95" t="s">
        <v>71</v>
      </c>
      <c r="AF212" s="95" t="s">
        <v>71</v>
      </c>
      <c r="AG212" s="95" t="s">
        <v>72</v>
      </c>
      <c r="AH212" s="95" t="s">
        <v>71</v>
      </c>
      <c r="AI212" s="95" t="s">
        <v>71</v>
      </c>
      <c r="AK212" s="95" t="s">
        <v>71</v>
      </c>
    </row>
    <row r="213" spans="1:37" x14ac:dyDescent="0.2">
      <c r="A213" s="95" t="s">
        <v>73</v>
      </c>
      <c r="B213" s="95" t="s">
        <v>66</v>
      </c>
      <c r="C213" s="95" t="s">
        <v>287</v>
      </c>
      <c r="D213" s="95" t="s">
        <v>68</v>
      </c>
      <c r="I213" s="95">
        <v>1.1765886287625418</v>
      </c>
      <c r="P213" s="95">
        <v>2023</v>
      </c>
      <c r="Q213" s="95" t="s">
        <v>288</v>
      </c>
      <c r="R213" s="95" t="s">
        <v>289</v>
      </c>
      <c r="S213" s="95" t="s">
        <v>99</v>
      </c>
      <c r="T213" s="95" t="s">
        <v>290</v>
      </c>
      <c r="U213" s="95" t="s">
        <v>71</v>
      </c>
      <c r="V213" s="95" t="s">
        <v>71</v>
      </c>
      <c r="W213" s="95" t="s">
        <v>72</v>
      </c>
      <c r="X213" s="95" t="s">
        <v>71</v>
      </c>
      <c r="Y213" s="95" t="s">
        <v>71</v>
      </c>
      <c r="Z213" s="95" t="s">
        <v>71</v>
      </c>
      <c r="AA213" s="95" t="s">
        <v>71</v>
      </c>
      <c r="AB213" s="95" t="s">
        <v>71</v>
      </c>
      <c r="AC213" s="95" t="s">
        <v>71</v>
      </c>
      <c r="AD213" s="95" t="s">
        <v>72</v>
      </c>
      <c r="AE213" s="95" t="s">
        <v>71</v>
      </c>
      <c r="AF213" s="95" t="s">
        <v>71</v>
      </c>
      <c r="AG213" s="95" t="s">
        <v>72</v>
      </c>
      <c r="AH213" s="95" t="s">
        <v>71</v>
      </c>
      <c r="AI213" s="95" t="s">
        <v>71</v>
      </c>
      <c r="AK213" s="95" t="s">
        <v>72</v>
      </c>
    </row>
    <row r="214" spans="1:37" x14ac:dyDescent="0.2">
      <c r="A214" s="95" t="s">
        <v>73</v>
      </c>
      <c r="B214" s="95" t="s">
        <v>66</v>
      </c>
      <c r="C214" s="95" t="s">
        <v>291</v>
      </c>
      <c r="D214" s="95" t="s">
        <v>68</v>
      </c>
      <c r="F214" s="95">
        <v>3.5</v>
      </c>
      <c r="G214" s="95">
        <v>13</v>
      </c>
      <c r="I214" s="95">
        <v>1.3846938775510202</v>
      </c>
      <c r="P214" s="95">
        <v>2023</v>
      </c>
      <c r="Q214" s="95" t="s">
        <v>292</v>
      </c>
      <c r="R214" s="95" t="s">
        <v>293</v>
      </c>
      <c r="S214" s="95" t="s">
        <v>99</v>
      </c>
      <c r="T214" s="95" t="s">
        <v>102</v>
      </c>
      <c r="U214" s="95" t="s">
        <v>71</v>
      </c>
      <c r="V214" s="95" t="s">
        <v>71</v>
      </c>
      <c r="W214" s="95" t="s">
        <v>72</v>
      </c>
      <c r="X214" s="95" t="s">
        <v>71</v>
      </c>
      <c r="Y214" s="95" t="s">
        <v>71</v>
      </c>
      <c r="Z214" s="95" t="s">
        <v>71</v>
      </c>
      <c r="AA214" s="95" t="s">
        <v>71</v>
      </c>
      <c r="AB214" s="95" t="s">
        <v>71</v>
      </c>
      <c r="AC214" s="95" t="s">
        <v>71</v>
      </c>
      <c r="AD214" s="95" t="s">
        <v>72</v>
      </c>
      <c r="AE214" s="95" t="s">
        <v>71</v>
      </c>
      <c r="AF214" s="95" t="s">
        <v>71</v>
      </c>
      <c r="AG214" s="95" t="s">
        <v>72</v>
      </c>
      <c r="AH214" s="95" t="s">
        <v>71</v>
      </c>
      <c r="AI214" s="95" t="s">
        <v>71</v>
      </c>
      <c r="AK214" s="95" t="s">
        <v>71</v>
      </c>
    </row>
    <row r="215" spans="1:37" x14ac:dyDescent="0.2">
      <c r="A215" s="95" t="s">
        <v>73</v>
      </c>
      <c r="B215" s="95" t="s">
        <v>66</v>
      </c>
      <c r="C215" s="95" t="s">
        <v>291</v>
      </c>
      <c r="D215" s="95" t="s">
        <v>68</v>
      </c>
      <c r="F215" s="95">
        <v>3.5</v>
      </c>
      <c r="G215" s="95">
        <v>15</v>
      </c>
      <c r="I215" s="95">
        <v>1.5803571428571428</v>
      </c>
      <c r="P215" s="95">
        <v>2023</v>
      </c>
      <c r="Q215" s="95" t="s">
        <v>292</v>
      </c>
      <c r="R215" s="95" t="s">
        <v>294</v>
      </c>
      <c r="S215" s="95" t="s">
        <v>99</v>
      </c>
      <c r="T215" s="95" t="s">
        <v>106</v>
      </c>
      <c r="U215" s="95" t="s">
        <v>71</v>
      </c>
      <c r="V215" s="95" t="s">
        <v>71</v>
      </c>
      <c r="W215" s="95" t="s">
        <v>72</v>
      </c>
      <c r="X215" s="95" t="s">
        <v>71</v>
      </c>
      <c r="Y215" s="95" t="s">
        <v>71</v>
      </c>
      <c r="Z215" s="95" t="s">
        <v>71</v>
      </c>
      <c r="AA215" s="95" t="s">
        <v>71</v>
      </c>
      <c r="AB215" s="95" t="s">
        <v>71</v>
      </c>
      <c r="AC215" s="95" t="s">
        <v>71</v>
      </c>
      <c r="AD215" s="95" t="s">
        <v>72</v>
      </c>
      <c r="AE215" s="95" t="s">
        <v>71</v>
      </c>
      <c r="AF215" s="95" t="s">
        <v>71</v>
      </c>
      <c r="AG215" s="95" t="s">
        <v>72</v>
      </c>
      <c r="AH215" s="95" t="s">
        <v>71</v>
      </c>
      <c r="AI215" s="95" t="s">
        <v>71</v>
      </c>
      <c r="AK215" s="95" t="s">
        <v>71</v>
      </c>
    </row>
    <row r="216" spans="1:37" x14ac:dyDescent="0.2">
      <c r="A216" s="95" t="s">
        <v>73</v>
      </c>
      <c r="B216" s="95" t="s">
        <v>66</v>
      </c>
      <c r="C216" s="95" t="s">
        <v>295</v>
      </c>
      <c r="D216" s="95" t="s">
        <v>68</v>
      </c>
      <c r="F216" s="95">
        <v>3.5</v>
      </c>
      <c r="G216" s="95">
        <v>15</v>
      </c>
      <c r="I216" s="95">
        <v>1.3144053601340033</v>
      </c>
      <c r="P216" s="95">
        <v>2023</v>
      </c>
      <c r="Q216" s="95" t="s">
        <v>296</v>
      </c>
      <c r="R216" s="95" t="s">
        <v>297</v>
      </c>
      <c r="S216" s="95" t="s">
        <v>99</v>
      </c>
      <c r="T216" s="95" t="s">
        <v>110</v>
      </c>
      <c r="U216" s="95" t="s">
        <v>71</v>
      </c>
      <c r="V216" s="95" t="s">
        <v>71</v>
      </c>
      <c r="W216" s="95" t="s">
        <v>72</v>
      </c>
      <c r="X216" s="95" t="s">
        <v>71</v>
      </c>
      <c r="Y216" s="95" t="s">
        <v>71</v>
      </c>
      <c r="Z216" s="95" t="s">
        <v>71</v>
      </c>
      <c r="AA216" s="95" t="s">
        <v>71</v>
      </c>
      <c r="AB216" s="95" t="s">
        <v>71</v>
      </c>
      <c r="AC216" s="95" t="s">
        <v>71</v>
      </c>
      <c r="AD216" s="95" t="s">
        <v>72</v>
      </c>
      <c r="AE216" s="95" t="s">
        <v>71</v>
      </c>
      <c r="AF216" s="95" t="s">
        <v>71</v>
      </c>
      <c r="AG216" s="95" t="s">
        <v>72</v>
      </c>
      <c r="AH216" s="95" t="s">
        <v>71</v>
      </c>
      <c r="AI216" s="95" t="s">
        <v>71</v>
      </c>
      <c r="AK216" s="95" t="s">
        <v>71</v>
      </c>
    </row>
    <row r="217" spans="1:37" x14ac:dyDescent="0.2">
      <c r="A217" s="95" t="s">
        <v>73</v>
      </c>
      <c r="B217" s="95" t="s">
        <v>66</v>
      </c>
      <c r="C217" s="95" t="s">
        <v>291</v>
      </c>
      <c r="D217" s="95" t="s">
        <v>68</v>
      </c>
      <c r="F217" s="95">
        <v>7.125</v>
      </c>
      <c r="G217" s="95">
        <v>30</v>
      </c>
      <c r="I217" s="95">
        <v>3.7503401360544215</v>
      </c>
      <c r="P217" s="95">
        <v>2023</v>
      </c>
      <c r="Q217" s="95" t="s">
        <v>298</v>
      </c>
      <c r="R217" s="95" t="s">
        <v>299</v>
      </c>
      <c r="S217" s="95" t="s">
        <v>99</v>
      </c>
      <c r="T217" s="95" t="s">
        <v>117</v>
      </c>
      <c r="U217" s="95" t="s">
        <v>71</v>
      </c>
      <c r="V217" s="95" t="s">
        <v>71</v>
      </c>
      <c r="W217" s="95" t="s">
        <v>72</v>
      </c>
      <c r="X217" s="95" t="s">
        <v>71</v>
      </c>
      <c r="Y217" s="95" t="s">
        <v>71</v>
      </c>
      <c r="Z217" s="95" t="s">
        <v>71</v>
      </c>
      <c r="AA217" s="95" t="s">
        <v>71</v>
      </c>
      <c r="AB217" s="95" t="s">
        <v>71</v>
      </c>
      <c r="AC217" s="95" t="s">
        <v>71</v>
      </c>
      <c r="AD217" s="95" t="s">
        <v>72</v>
      </c>
      <c r="AE217" s="95" t="s">
        <v>71</v>
      </c>
      <c r="AF217" s="95" t="s">
        <v>71</v>
      </c>
      <c r="AG217" s="95" t="s">
        <v>72</v>
      </c>
      <c r="AH217" s="95" t="s">
        <v>71</v>
      </c>
      <c r="AI217" s="95" t="s">
        <v>71</v>
      </c>
      <c r="AK217" s="95" t="s">
        <v>71</v>
      </c>
    </row>
    <row r="218" spans="1:37" x14ac:dyDescent="0.2">
      <c r="A218" s="95" t="s">
        <v>73</v>
      </c>
      <c r="B218" s="95" t="s">
        <v>66</v>
      </c>
      <c r="C218" s="95" t="s">
        <v>291</v>
      </c>
      <c r="D218" s="95" t="s">
        <v>68</v>
      </c>
      <c r="F218" s="95">
        <v>5.5</v>
      </c>
      <c r="G218" s="95">
        <v>23</v>
      </c>
      <c r="I218" s="95">
        <v>2.0020483613109512</v>
      </c>
      <c r="P218" s="95">
        <v>2023</v>
      </c>
      <c r="Q218" s="95" t="s">
        <v>300</v>
      </c>
      <c r="R218" s="95" t="s">
        <v>301</v>
      </c>
      <c r="S218" s="95" t="s">
        <v>99</v>
      </c>
      <c r="T218" s="95" t="s">
        <v>302</v>
      </c>
      <c r="U218" s="95" t="s">
        <v>71</v>
      </c>
      <c r="V218" s="95" t="s">
        <v>71</v>
      </c>
      <c r="W218" s="95" t="s">
        <v>72</v>
      </c>
      <c r="X218" s="95" t="s">
        <v>71</v>
      </c>
      <c r="Y218" s="95" t="s">
        <v>71</v>
      </c>
      <c r="Z218" s="95" t="s">
        <v>71</v>
      </c>
      <c r="AA218" s="95" t="s">
        <v>71</v>
      </c>
      <c r="AB218" s="95" t="s">
        <v>71</v>
      </c>
      <c r="AC218" s="95" t="s">
        <v>71</v>
      </c>
      <c r="AD218" s="95" t="s">
        <v>72</v>
      </c>
      <c r="AE218" s="95" t="s">
        <v>71</v>
      </c>
      <c r="AF218" s="95" t="s">
        <v>71</v>
      </c>
      <c r="AG218" s="95" t="s">
        <v>72</v>
      </c>
      <c r="AH218" s="95" t="s">
        <v>71</v>
      </c>
      <c r="AI218" s="95" t="s">
        <v>71</v>
      </c>
      <c r="AK218" s="95" t="s">
        <v>71</v>
      </c>
    </row>
    <row r="219" spans="1:37" x14ac:dyDescent="0.2">
      <c r="A219" s="95" t="s">
        <v>73</v>
      </c>
      <c r="B219" s="95" t="s">
        <v>66</v>
      </c>
      <c r="C219" s="95" t="s">
        <v>291</v>
      </c>
      <c r="D219" s="95" t="s">
        <v>68</v>
      </c>
      <c r="F219" s="95">
        <v>7.125</v>
      </c>
      <c r="G219" s="95">
        <v>30</v>
      </c>
      <c r="I219" s="95">
        <v>3.3362777777777777</v>
      </c>
      <c r="P219" s="95">
        <v>2023</v>
      </c>
      <c r="Q219" s="95" t="s">
        <v>298</v>
      </c>
      <c r="R219" s="95" t="s">
        <v>303</v>
      </c>
      <c r="S219" s="95" t="s">
        <v>99</v>
      </c>
      <c r="T219" s="95" t="s">
        <v>123</v>
      </c>
      <c r="U219" s="95" t="s">
        <v>71</v>
      </c>
      <c r="V219" s="95" t="s">
        <v>71</v>
      </c>
      <c r="W219" s="95" t="s">
        <v>72</v>
      </c>
      <c r="X219" s="95" t="s">
        <v>71</v>
      </c>
      <c r="Y219" s="95" t="s">
        <v>71</v>
      </c>
      <c r="Z219" s="95" t="s">
        <v>71</v>
      </c>
      <c r="AA219" s="95" t="s">
        <v>71</v>
      </c>
      <c r="AB219" s="95" t="s">
        <v>71</v>
      </c>
      <c r="AC219" s="95" t="s">
        <v>71</v>
      </c>
      <c r="AD219" s="95" t="s">
        <v>72</v>
      </c>
      <c r="AE219" s="95" t="s">
        <v>71</v>
      </c>
      <c r="AF219" s="95" t="s">
        <v>71</v>
      </c>
      <c r="AG219" s="95" t="s">
        <v>72</v>
      </c>
      <c r="AH219" s="95" t="s">
        <v>71</v>
      </c>
      <c r="AI219" s="95" t="s">
        <v>71</v>
      </c>
      <c r="AK219" s="95" t="s">
        <v>71</v>
      </c>
    </row>
    <row r="220" spans="1:37" x14ac:dyDescent="0.2">
      <c r="A220" s="95" t="s">
        <v>73</v>
      </c>
      <c r="B220" s="95" t="s">
        <v>66</v>
      </c>
      <c r="C220" s="95" t="s">
        <v>291</v>
      </c>
      <c r="D220" s="95" t="s">
        <v>68</v>
      </c>
      <c r="F220" s="95">
        <v>5.5</v>
      </c>
      <c r="G220" s="95">
        <v>21</v>
      </c>
      <c r="I220" s="95">
        <v>2.6538701622971286</v>
      </c>
      <c r="P220" s="95">
        <v>2023</v>
      </c>
      <c r="Q220" s="95" t="s">
        <v>304</v>
      </c>
      <c r="R220" s="95" t="s">
        <v>305</v>
      </c>
      <c r="S220" s="95" t="s">
        <v>99</v>
      </c>
      <c r="T220" s="95" t="s">
        <v>119</v>
      </c>
      <c r="U220" s="95" t="s">
        <v>71</v>
      </c>
      <c r="V220" s="95" t="s">
        <v>71</v>
      </c>
      <c r="W220" s="95" t="s">
        <v>72</v>
      </c>
      <c r="X220" s="95" t="s">
        <v>71</v>
      </c>
      <c r="Y220" s="95" t="s">
        <v>71</v>
      </c>
      <c r="Z220" s="95" t="s">
        <v>71</v>
      </c>
      <c r="AA220" s="95" t="s">
        <v>71</v>
      </c>
      <c r="AB220" s="95" t="s">
        <v>71</v>
      </c>
      <c r="AC220" s="95" t="s">
        <v>71</v>
      </c>
      <c r="AD220" s="95" t="s">
        <v>72</v>
      </c>
      <c r="AE220" s="95" t="s">
        <v>71</v>
      </c>
      <c r="AF220" s="95" t="s">
        <v>71</v>
      </c>
      <c r="AG220" s="95" t="s">
        <v>72</v>
      </c>
      <c r="AH220" s="95" t="s">
        <v>71</v>
      </c>
      <c r="AI220" s="95" t="s">
        <v>71</v>
      </c>
      <c r="AK220" s="95" t="s">
        <v>71</v>
      </c>
    </row>
    <row r="221" spans="1:37" x14ac:dyDescent="0.2">
      <c r="A221" s="95" t="s">
        <v>73</v>
      </c>
      <c r="B221" s="95" t="s">
        <v>66</v>
      </c>
      <c r="C221" s="95" t="s">
        <v>291</v>
      </c>
      <c r="D221" s="95" t="s">
        <v>68</v>
      </c>
      <c r="F221" s="95">
        <v>5.5</v>
      </c>
      <c r="G221" s="95">
        <v>21</v>
      </c>
      <c r="I221" s="95">
        <v>2.6630356349911191</v>
      </c>
      <c r="P221" s="95">
        <v>2023</v>
      </c>
      <c r="Q221" s="95" t="s">
        <v>300</v>
      </c>
      <c r="R221" s="95" t="s">
        <v>306</v>
      </c>
      <c r="S221" s="95" t="s">
        <v>99</v>
      </c>
      <c r="T221" s="95" t="s">
        <v>139</v>
      </c>
      <c r="U221" s="95" t="s">
        <v>71</v>
      </c>
      <c r="V221" s="95" t="s">
        <v>71</v>
      </c>
      <c r="W221" s="95" t="s">
        <v>72</v>
      </c>
      <c r="X221" s="95" t="s">
        <v>71</v>
      </c>
      <c r="Y221" s="95" t="s">
        <v>71</v>
      </c>
      <c r="Z221" s="95" t="s">
        <v>71</v>
      </c>
      <c r="AA221" s="95" t="s">
        <v>71</v>
      </c>
      <c r="AB221" s="95" t="s">
        <v>71</v>
      </c>
      <c r="AC221" s="95" t="s">
        <v>71</v>
      </c>
      <c r="AD221" s="95" t="s">
        <v>72</v>
      </c>
      <c r="AE221" s="95" t="s">
        <v>71</v>
      </c>
      <c r="AF221" s="95" t="s">
        <v>71</v>
      </c>
      <c r="AG221" s="95" t="s">
        <v>72</v>
      </c>
      <c r="AH221" s="95" t="s">
        <v>71</v>
      </c>
      <c r="AI221" s="95" t="s">
        <v>71</v>
      </c>
      <c r="AK221" s="95" t="s">
        <v>71</v>
      </c>
    </row>
    <row r="222" spans="1:37" x14ac:dyDescent="0.2">
      <c r="A222" s="95" t="s">
        <v>73</v>
      </c>
      <c r="B222" s="95" t="s">
        <v>66</v>
      </c>
      <c r="C222" s="95" t="s">
        <v>291</v>
      </c>
      <c r="D222" s="95" t="s">
        <v>68</v>
      </c>
      <c r="F222" s="95">
        <v>3.5</v>
      </c>
      <c r="G222" s="95">
        <v>13</v>
      </c>
      <c r="I222" s="95">
        <v>1.4539939227439227</v>
      </c>
      <c r="P222" s="95">
        <v>2023</v>
      </c>
      <c r="Q222" s="95" t="s">
        <v>300</v>
      </c>
      <c r="R222" s="95" t="s">
        <v>307</v>
      </c>
      <c r="S222" s="95" t="s">
        <v>99</v>
      </c>
      <c r="T222" s="95" t="s">
        <v>146</v>
      </c>
      <c r="U222" s="95" t="s">
        <v>71</v>
      </c>
      <c r="V222" s="95" t="s">
        <v>71</v>
      </c>
      <c r="W222" s="95" t="s">
        <v>72</v>
      </c>
      <c r="X222" s="95" t="s">
        <v>71</v>
      </c>
      <c r="Y222" s="95" t="s">
        <v>71</v>
      </c>
      <c r="Z222" s="95" t="s">
        <v>71</v>
      </c>
      <c r="AA222" s="95" t="s">
        <v>71</v>
      </c>
      <c r="AB222" s="95" t="s">
        <v>71</v>
      </c>
      <c r="AC222" s="95" t="s">
        <v>71</v>
      </c>
      <c r="AD222" s="95" t="s">
        <v>72</v>
      </c>
      <c r="AE222" s="95" t="s">
        <v>71</v>
      </c>
      <c r="AF222" s="95" t="s">
        <v>71</v>
      </c>
      <c r="AG222" s="95" t="s">
        <v>72</v>
      </c>
      <c r="AH222" s="95" t="s">
        <v>71</v>
      </c>
      <c r="AI222" s="95" t="s">
        <v>71</v>
      </c>
      <c r="AK222" s="95" t="s">
        <v>71</v>
      </c>
    </row>
    <row r="223" spans="1:37" x14ac:dyDescent="0.2">
      <c r="A223" s="95" t="s">
        <v>76</v>
      </c>
      <c r="B223" s="95" t="s">
        <v>66</v>
      </c>
      <c r="C223" s="95" t="s">
        <v>93</v>
      </c>
      <c r="F223" s="95">
        <v>3.3</v>
      </c>
      <c r="G223" s="95">
        <v>19</v>
      </c>
      <c r="H223" s="95">
        <v>3.7</v>
      </c>
      <c r="I223" s="95">
        <v>0.22500000000000003</v>
      </c>
      <c r="P223" s="95">
        <v>2023</v>
      </c>
      <c r="Q223" s="95" t="s">
        <v>308</v>
      </c>
      <c r="R223" s="95" t="s">
        <v>309</v>
      </c>
      <c r="S223" s="95" t="s">
        <v>99</v>
      </c>
      <c r="T223" s="95" t="s">
        <v>310</v>
      </c>
      <c r="U223" s="95" t="s">
        <v>71</v>
      </c>
      <c r="V223" s="95" t="s">
        <v>71</v>
      </c>
      <c r="W223" s="95" t="s">
        <v>71</v>
      </c>
      <c r="X223" s="95" t="s">
        <v>72</v>
      </c>
      <c r="Y223" s="95" t="s">
        <v>72</v>
      </c>
      <c r="Z223" s="95" t="s">
        <v>71</v>
      </c>
      <c r="AA223" s="95" t="s">
        <v>71</v>
      </c>
      <c r="AB223" s="95" t="s">
        <v>72</v>
      </c>
      <c r="AC223" s="95" t="s">
        <v>71</v>
      </c>
      <c r="AD223" s="95" t="s">
        <v>71</v>
      </c>
      <c r="AE223" s="95" t="s">
        <v>72</v>
      </c>
      <c r="AF223" s="95" t="s">
        <v>72</v>
      </c>
      <c r="AG223" s="95" t="s">
        <v>72</v>
      </c>
      <c r="AH223" s="95" t="s">
        <v>72</v>
      </c>
      <c r="AI223" s="95" t="s">
        <v>72</v>
      </c>
      <c r="AK223" s="95" t="s">
        <v>71</v>
      </c>
    </row>
    <row r="224" spans="1:37" x14ac:dyDescent="0.2">
      <c r="A224" s="95" t="s">
        <v>76</v>
      </c>
      <c r="B224" s="95" t="s">
        <v>66</v>
      </c>
      <c r="C224" s="95" t="s">
        <v>67</v>
      </c>
      <c r="F224" s="95">
        <v>20.5</v>
      </c>
      <c r="G224" s="95">
        <v>19</v>
      </c>
      <c r="H224" s="95">
        <v>2.7</v>
      </c>
      <c r="I224" s="95">
        <v>0.37022831050228311</v>
      </c>
      <c r="P224" s="95">
        <v>2023</v>
      </c>
      <c r="Q224" s="95" t="s">
        <v>311</v>
      </c>
      <c r="R224" s="95" t="s">
        <v>312</v>
      </c>
      <c r="S224" s="95" t="s">
        <v>99</v>
      </c>
      <c r="T224" s="95" t="s">
        <v>313</v>
      </c>
      <c r="U224" s="95" t="s">
        <v>71</v>
      </c>
      <c r="V224" s="95" t="s">
        <v>71</v>
      </c>
      <c r="W224" s="95" t="s">
        <v>71</v>
      </c>
      <c r="X224" s="95" t="s">
        <v>72</v>
      </c>
      <c r="Y224" s="95" t="s">
        <v>72</v>
      </c>
      <c r="Z224" s="95" t="s">
        <v>71</v>
      </c>
      <c r="AA224" s="95" t="s">
        <v>71</v>
      </c>
      <c r="AB224" s="95" t="s">
        <v>72</v>
      </c>
      <c r="AC224" s="95" t="s">
        <v>71</v>
      </c>
      <c r="AD224" s="95" t="s">
        <v>71</v>
      </c>
      <c r="AE224" s="95" t="s">
        <v>72</v>
      </c>
      <c r="AF224" s="95" t="s">
        <v>72</v>
      </c>
      <c r="AG224" s="95" t="s">
        <v>72</v>
      </c>
      <c r="AH224" s="95" t="s">
        <v>72</v>
      </c>
      <c r="AI224" s="95" t="s">
        <v>72</v>
      </c>
      <c r="AK224" s="95" t="s">
        <v>71</v>
      </c>
    </row>
    <row r="225" spans="1:37" x14ac:dyDescent="0.2">
      <c r="A225" s="95" t="s">
        <v>76</v>
      </c>
      <c r="B225" s="95" t="s">
        <v>66</v>
      </c>
      <c r="C225" s="95" t="s">
        <v>93</v>
      </c>
      <c r="F225" s="95">
        <v>50</v>
      </c>
      <c r="G225" s="95">
        <v>19</v>
      </c>
      <c r="H225" s="95">
        <v>3.7</v>
      </c>
      <c r="I225" s="95">
        <v>0.4126492194674013</v>
      </c>
      <c r="P225" s="95">
        <v>2023</v>
      </c>
      <c r="Q225" s="95" t="s">
        <v>314</v>
      </c>
      <c r="R225" s="95" t="s">
        <v>315</v>
      </c>
      <c r="S225" s="95" t="s">
        <v>99</v>
      </c>
      <c r="T225" s="95" t="s">
        <v>316</v>
      </c>
      <c r="U225" s="95" t="s">
        <v>71</v>
      </c>
      <c r="V225" s="95" t="s">
        <v>71</v>
      </c>
      <c r="W225" s="95" t="s">
        <v>71</v>
      </c>
      <c r="X225" s="95" t="s">
        <v>72</v>
      </c>
      <c r="Y225" s="95" t="s">
        <v>72</v>
      </c>
      <c r="Z225" s="95" t="s">
        <v>71</v>
      </c>
      <c r="AA225" s="95" t="s">
        <v>71</v>
      </c>
      <c r="AB225" s="95" t="s">
        <v>72</v>
      </c>
      <c r="AC225" s="95" t="s">
        <v>71</v>
      </c>
      <c r="AD225" s="95" t="s">
        <v>71</v>
      </c>
      <c r="AE225" s="95" t="s">
        <v>72</v>
      </c>
      <c r="AF225" s="95" t="s">
        <v>72</v>
      </c>
      <c r="AG225" s="95" t="s">
        <v>72</v>
      </c>
      <c r="AH225" s="95" t="s">
        <v>72</v>
      </c>
      <c r="AI225" s="95" t="s">
        <v>72</v>
      </c>
      <c r="AK225" s="95" t="s">
        <v>71</v>
      </c>
    </row>
    <row r="226" spans="1:37" x14ac:dyDescent="0.2">
      <c r="A226" s="95" t="s">
        <v>76</v>
      </c>
      <c r="B226" s="95" t="s">
        <v>66</v>
      </c>
      <c r="C226" s="95" t="s">
        <v>93</v>
      </c>
      <c r="F226" s="95">
        <v>3.3</v>
      </c>
      <c r="G226" s="95">
        <v>19</v>
      </c>
      <c r="H226" s="95">
        <v>3.7</v>
      </c>
      <c r="I226" s="95">
        <v>0.54340359094457458</v>
      </c>
      <c r="P226" s="95">
        <v>2023</v>
      </c>
      <c r="Q226" s="95" t="s">
        <v>308</v>
      </c>
      <c r="R226" s="95" t="s">
        <v>317</v>
      </c>
      <c r="S226" s="95" t="s">
        <v>99</v>
      </c>
      <c r="T226" s="95" t="s">
        <v>318</v>
      </c>
      <c r="U226" s="95" t="s">
        <v>71</v>
      </c>
      <c r="V226" s="95" t="s">
        <v>71</v>
      </c>
      <c r="W226" s="95" t="s">
        <v>71</v>
      </c>
      <c r="X226" s="95" t="s">
        <v>72</v>
      </c>
      <c r="Y226" s="95" t="s">
        <v>72</v>
      </c>
      <c r="Z226" s="95" t="s">
        <v>71</v>
      </c>
      <c r="AA226" s="95" t="s">
        <v>71</v>
      </c>
      <c r="AB226" s="95" t="s">
        <v>72</v>
      </c>
      <c r="AC226" s="95" t="s">
        <v>71</v>
      </c>
      <c r="AD226" s="95" t="s">
        <v>71</v>
      </c>
      <c r="AE226" s="95" t="s">
        <v>72</v>
      </c>
      <c r="AF226" s="95" t="s">
        <v>72</v>
      </c>
      <c r="AG226" s="95" t="s">
        <v>72</v>
      </c>
      <c r="AH226" s="95" t="s">
        <v>72</v>
      </c>
      <c r="AI226" s="95" t="s">
        <v>72</v>
      </c>
      <c r="AK226" s="95" t="s">
        <v>71</v>
      </c>
    </row>
    <row r="227" spans="1:37" x14ac:dyDescent="0.2">
      <c r="A227" s="95" t="s">
        <v>76</v>
      </c>
      <c r="B227" s="95" t="s">
        <v>66</v>
      </c>
      <c r="C227" s="95" t="s">
        <v>93</v>
      </c>
      <c r="G227" s="95">
        <v>19</v>
      </c>
      <c r="H227" s="95">
        <v>3.7</v>
      </c>
      <c r="I227" s="95">
        <v>0.34180327868852461</v>
      </c>
      <c r="P227" s="95">
        <v>2023</v>
      </c>
      <c r="Q227" s="95" t="s">
        <v>319</v>
      </c>
      <c r="R227" s="95" t="s">
        <v>320</v>
      </c>
      <c r="S227" s="95" t="s">
        <v>321</v>
      </c>
      <c r="T227" s="95" t="s">
        <v>322</v>
      </c>
      <c r="U227" s="95" t="s">
        <v>71</v>
      </c>
      <c r="V227" s="95" t="s">
        <v>71</v>
      </c>
      <c r="W227" s="95" t="s">
        <v>71</v>
      </c>
      <c r="X227" s="95" t="s">
        <v>72</v>
      </c>
      <c r="Y227" s="95" t="s">
        <v>72</v>
      </c>
      <c r="Z227" s="95" t="s">
        <v>71</v>
      </c>
      <c r="AA227" s="95" t="s">
        <v>71</v>
      </c>
      <c r="AB227" s="95" t="s">
        <v>72</v>
      </c>
      <c r="AC227" s="95" t="s">
        <v>71</v>
      </c>
      <c r="AD227" s="95" t="s">
        <v>71</v>
      </c>
      <c r="AE227" s="95" t="s">
        <v>72</v>
      </c>
      <c r="AF227" s="95" t="s">
        <v>72</v>
      </c>
      <c r="AG227" s="95" t="s">
        <v>72</v>
      </c>
      <c r="AH227" s="95" t="s">
        <v>72</v>
      </c>
      <c r="AI227" s="95" t="s">
        <v>72</v>
      </c>
      <c r="AK227" s="95" t="s">
        <v>71</v>
      </c>
    </row>
    <row r="228" spans="1:37" x14ac:dyDescent="0.2">
      <c r="A228" s="95" t="s">
        <v>76</v>
      </c>
      <c r="B228" s="95" t="s">
        <v>66</v>
      </c>
      <c r="C228" s="95" t="s">
        <v>67</v>
      </c>
      <c r="G228" s="95">
        <v>19</v>
      </c>
      <c r="H228" s="95">
        <v>3</v>
      </c>
      <c r="I228" s="95">
        <v>0.52357723577235771</v>
      </c>
      <c r="P228" s="95">
        <v>2023</v>
      </c>
      <c r="Q228" s="95" t="s">
        <v>311</v>
      </c>
      <c r="R228" s="95" t="s">
        <v>323</v>
      </c>
      <c r="S228" s="95" t="s">
        <v>321</v>
      </c>
      <c r="T228" s="95" t="s">
        <v>324</v>
      </c>
      <c r="U228" s="95" t="s">
        <v>71</v>
      </c>
      <c r="V228" s="95" t="s">
        <v>71</v>
      </c>
      <c r="W228" s="95" t="s">
        <v>71</v>
      </c>
      <c r="X228" s="95" t="s">
        <v>72</v>
      </c>
      <c r="Y228" s="95" t="s">
        <v>72</v>
      </c>
      <c r="Z228" s="95" t="s">
        <v>71</v>
      </c>
      <c r="AA228" s="95" t="s">
        <v>71</v>
      </c>
      <c r="AB228" s="95" t="s">
        <v>72</v>
      </c>
      <c r="AC228" s="95" t="s">
        <v>71</v>
      </c>
      <c r="AD228" s="95" t="s">
        <v>71</v>
      </c>
      <c r="AE228" s="95" t="s">
        <v>72</v>
      </c>
      <c r="AF228" s="95" t="s">
        <v>72</v>
      </c>
      <c r="AG228" s="95" t="s">
        <v>72</v>
      </c>
      <c r="AH228" s="95" t="s">
        <v>72</v>
      </c>
      <c r="AI228" s="95" t="s">
        <v>72</v>
      </c>
      <c r="AK228" s="95" t="s">
        <v>71</v>
      </c>
    </row>
    <row r="229" spans="1:37" x14ac:dyDescent="0.2">
      <c r="A229" s="95" t="s">
        <v>76</v>
      </c>
      <c r="B229" s="95" t="s">
        <v>66</v>
      </c>
      <c r="C229" s="95" t="s">
        <v>67</v>
      </c>
      <c r="G229" s="95">
        <v>19</v>
      </c>
      <c r="H229" s="95">
        <v>3</v>
      </c>
      <c r="I229" s="95">
        <v>1.0835591689250226</v>
      </c>
      <c r="P229" s="95">
        <v>2023</v>
      </c>
      <c r="Q229" s="95" t="s">
        <v>311</v>
      </c>
      <c r="R229" s="95" t="s">
        <v>325</v>
      </c>
      <c r="S229" s="95" t="s">
        <v>321</v>
      </c>
      <c r="T229" s="95" t="s">
        <v>326</v>
      </c>
      <c r="U229" s="95" t="s">
        <v>71</v>
      </c>
      <c r="V229" s="95" t="s">
        <v>71</v>
      </c>
      <c r="W229" s="95" t="s">
        <v>71</v>
      </c>
      <c r="X229" s="95" t="s">
        <v>72</v>
      </c>
      <c r="Y229" s="95" t="s">
        <v>72</v>
      </c>
      <c r="Z229" s="95" t="s">
        <v>71</v>
      </c>
      <c r="AA229" s="95" t="s">
        <v>71</v>
      </c>
      <c r="AB229" s="95" t="s">
        <v>72</v>
      </c>
      <c r="AC229" s="95" t="s">
        <v>71</v>
      </c>
      <c r="AD229" s="95" t="s">
        <v>71</v>
      </c>
      <c r="AE229" s="95" t="s">
        <v>72</v>
      </c>
      <c r="AF229" s="95" t="s">
        <v>72</v>
      </c>
      <c r="AG229" s="95" t="s">
        <v>72</v>
      </c>
      <c r="AH229" s="95" t="s">
        <v>72</v>
      </c>
      <c r="AI229" s="95" t="s">
        <v>72</v>
      </c>
      <c r="AK229" s="95" t="s">
        <v>71</v>
      </c>
    </row>
    <row r="230" spans="1:37" x14ac:dyDescent="0.2">
      <c r="A230" s="95" t="s">
        <v>97</v>
      </c>
      <c r="B230" s="95" t="s">
        <v>66</v>
      </c>
      <c r="C230" s="95" t="s">
        <v>327</v>
      </c>
      <c r="F230" s="95">
        <v>1</v>
      </c>
      <c r="G230" s="95">
        <v>3.7</v>
      </c>
      <c r="I230" s="101">
        <v>0.64814814814814814</v>
      </c>
      <c r="R230" s="95" t="s">
        <v>328</v>
      </c>
      <c r="U230" s="95" t="s">
        <v>71</v>
      </c>
      <c r="V230" s="95" t="s">
        <v>71</v>
      </c>
      <c r="W230" s="95" t="s">
        <v>71</v>
      </c>
      <c r="X230" s="95" t="s">
        <v>72</v>
      </c>
      <c r="Y230" s="95" t="s">
        <v>71</v>
      </c>
      <c r="Z230" s="95" t="s">
        <v>71</v>
      </c>
      <c r="AA230" s="95" t="s">
        <v>71</v>
      </c>
      <c r="AB230" s="95" t="s">
        <v>71</v>
      </c>
      <c r="AC230" s="95" t="s">
        <v>71</v>
      </c>
      <c r="AD230" s="95" t="s">
        <v>71</v>
      </c>
      <c r="AE230" s="95" t="s">
        <v>71</v>
      </c>
      <c r="AF230" s="95" t="s">
        <v>71</v>
      </c>
      <c r="AG230" s="95" t="s">
        <v>72</v>
      </c>
      <c r="AH230" s="95" t="s">
        <v>72</v>
      </c>
      <c r="AI230" s="95" t="s">
        <v>72</v>
      </c>
      <c r="AK230" s="95" t="s">
        <v>71</v>
      </c>
    </row>
    <row r="231" spans="1:37" x14ac:dyDescent="0.2">
      <c r="A231" s="95" t="s">
        <v>97</v>
      </c>
      <c r="B231" s="95" t="s">
        <v>66</v>
      </c>
      <c r="C231" s="95" t="s">
        <v>327</v>
      </c>
      <c r="F231" s="95">
        <v>2</v>
      </c>
      <c r="G231" s="95">
        <v>7.4</v>
      </c>
      <c r="I231" s="101">
        <v>1.2962962962962963</v>
      </c>
      <c r="R231" s="95" t="s">
        <v>328</v>
      </c>
      <c r="U231" s="95" t="s">
        <v>71</v>
      </c>
      <c r="V231" s="95" t="s">
        <v>71</v>
      </c>
      <c r="W231" s="95" t="s">
        <v>71</v>
      </c>
      <c r="X231" s="95" t="s">
        <v>72</v>
      </c>
      <c r="Y231" s="95" t="s">
        <v>71</v>
      </c>
      <c r="Z231" s="95" t="s">
        <v>71</v>
      </c>
      <c r="AA231" s="95" t="s">
        <v>71</v>
      </c>
      <c r="AB231" s="95" t="s">
        <v>71</v>
      </c>
      <c r="AC231" s="95" t="s">
        <v>71</v>
      </c>
      <c r="AD231" s="95" t="s">
        <v>71</v>
      </c>
      <c r="AE231" s="95" t="s">
        <v>71</v>
      </c>
      <c r="AF231" s="95" t="s">
        <v>71</v>
      </c>
      <c r="AG231" s="95" t="s">
        <v>72</v>
      </c>
      <c r="AH231" s="95" t="s">
        <v>72</v>
      </c>
      <c r="AI231" s="95" t="s">
        <v>72</v>
      </c>
      <c r="AK231" s="95" t="s">
        <v>71</v>
      </c>
    </row>
    <row r="232" spans="1:37" x14ac:dyDescent="0.2">
      <c r="A232" s="95" t="s">
        <v>97</v>
      </c>
      <c r="B232" s="95" t="s">
        <v>66</v>
      </c>
      <c r="C232" s="95" t="s">
        <v>327</v>
      </c>
      <c r="F232" s="95">
        <v>3</v>
      </c>
      <c r="G232" s="95">
        <v>11.100000000000001</v>
      </c>
      <c r="I232" s="101">
        <v>1.9444444444444444</v>
      </c>
      <c r="R232" s="95" t="s">
        <v>328</v>
      </c>
      <c r="U232" s="95" t="s">
        <v>71</v>
      </c>
      <c r="V232" s="95" t="s">
        <v>71</v>
      </c>
      <c r="W232" s="95" t="s">
        <v>71</v>
      </c>
      <c r="X232" s="95" t="s">
        <v>72</v>
      </c>
      <c r="Y232" s="95" t="s">
        <v>71</v>
      </c>
      <c r="Z232" s="95" t="s">
        <v>71</v>
      </c>
      <c r="AA232" s="95" t="s">
        <v>71</v>
      </c>
      <c r="AB232" s="95" t="s">
        <v>71</v>
      </c>
      <c r="AC232" s="95" t="s">
        <v>71</v>
      </c>
      <c r="AD232" s="95" t="s">
        <v>71</v>
      </c>
      <c r="AE232" s="95" t="s">
        <v>71</v>
      </c>
      <c r="AF232" s="95" t="s">
        <v>71</v>
      </c>
      <c r="AG232" s="95" t="s">
        <v>72</v>
      </c>
      <c r="AH232" s="95" t="s">
        <v>72</v>
      </c>
      <c r="AI232" s="95" t="s">
        <v>72</v>
      </c>
      <c r="AK232" s="95" t="s">
        <v>71</v>
      </c>
    </row>
    <row r="233" spans="1:37" x14ac:dyDescent="0.2">
      <c r="A233" s="95" t="s">
        <v>97</v>
      </c>
      <c r="B233" s="95" t="s">
        <v>66</v>
      </c>
      <c r="C233" s="95" t="s">
        <v>327</v>
      </c>
      <c r="F233" s="95">
        <v>3.5</v>
      </c>
      <c r="G233" s="95">
        <v>12.950000000000001</v>
      </c>
      <c r="I233" s="101">
        <v>2.2685185185185186</v>
      </c>
      <c r="R233" s="95" t="s">
        <v>328</v>
      </c>
      <c r="U233" s="95" t="s">
        <v>71</v>
      </c>
      <c r="V233" s="95" t="s">
        <v>71</v>
      </c>
      <c r="W233" s="95" t="s">
        <v>71</v>
      </c>
      <c r="X233" s="95" t="s">
        <v>72</v>
      </c>
      <c r="Y233" s="95" t="s">
        <v>71</v>
      </c>
      <c r="Z233" s="95" t="s">
        <v>71</v>
      </c>
      <c r="AA233" s="95" t="s">
        <v>71</v>
      </c>
      <c r="AB233" s="95" t="s">
        <v>71</v>
      </c>
      <c r="AC233" s="95" t="s">
        <v>71</v>
      </c>
      <c r="AD233" s="95" t="s">
        <v>71</v>
      </c>
      <c r="AE233" s="95" t="s">
        <v>71</v>
      </c>
      <c r="AF233" s="95" t="s">
        <v>71</v>
      </c>
      <c r="AG233" s="95" t="s">
        <v>72</v>
      </c>
      <c r="AH233" s="95" t="s">
        <v>72</v>
      </c>
      <c r="AI233" s="95" t="s">
        <v>72</v>
      </c>
      <c r="AK233" s="95" t="s">
        <v>71</v>
      </c>
    </row>
    <row r="234" spans="1:37" x14ac:dyDescent="0.2">
      <c r="A234" s="95" t="s">
        <v>97</v>
      </c>
      <c r="B234" s="95" t="s">
        <v>66</v>
      </c>
      <c r="C234" s="95" t="s">
        <v>327</v>
      </c>
      <c r="F234" s="95">
        <v>4</v>
      </c>
      <c r="G234" s="95">
        <v>14.8</v>
      </c>
      <c r="I234" s="101">
        <v>2.5925925925925926</v>
      </c>
      <c r="R234" s="95" t="s">
        <v>328</v>
      </c>
      <c r="U234" s="95" t="s">
        <v>71</v>
      </c>
      <c r="V234" s="95" t="s">
        <v>71</v>
      </c>
      <c r="W234" s="95" t="s">
        <v>71</v>
      </c>
      <c r="X234" s="95" t="s">
        <v>72</v>
      </c>
      <c r="Y234" s="95" t="s">
        <v>71</v>
      </c>
      <c r="Z234" s="95" t="s">
        <v>71</v>
      </c>
      <c r="AA234" s="95" t="s">
        <v>71</v>
      </c>
      <c r="AB234" s="95" t="s">
        <v>71</v>
      </c>
      <c r="AC234" s="95" t="s">
        <v>71</v>
      </c>
      <c r="AD234" s="95" t="s">
        <v>71</v>
      </c>
      <c r="AE234" s="95" t="s">
        <v>71</v>
      </c>
      <c r="AF234" s="95" t="s">
        <v>71</v>
      </c>
      <c r="AG234" s="95" t="s">
        <v>72</v>
      </c>
      <c r="AH234" s="95" t="s">
        <v>72</v>
      </c>
      <c r="AI234" s="95" t="s">
        <v>72</v>
      </c>
      <c r="AK234" s="95" t="s">
        <v>71</v>
      </c>
    </row>
    <row r="235" spans="1:37" x14ac:dyDescent="0.2">
      <c r="A235" s="95" t="s">
        <v>97</v>
      </c>
      <c r="B235" s="95" t="s">
        <v>66</v>
      </c>
      <c r="C235" s="95" t="s">
        <v>327</v>
      </c>
      <c r="F235" s="95">
        <v>5</v>
      </c>
      <c r="G235" s="95">
        <v>18.5</v>
      </c>
      <c r="I235" s="101">
        <v>3.2407407407407405</v>
      </c>
      <c r="R235" s="95" t="s">
        <v>328</v>
      </c>
      <c r="U235" s="95" t="s">
        <v>71</v>
      </c>
      <c r="V235" s="95" t="s">
        <v>71</v>
      </c>
      <c r="W235" s="95" t="s">
        <v>71</v>
      </c>
      <c r="X235" s="95" t="s">
        <v>72</v>
      </c>
      <c r="Y235" s="95" t="s">
        <v>71</v>
      </c>
      <c r="Z235" s="95" t="s">
        <v>71</v>
      </c>
      <c r="AA235" s="95" t="s">
        <v>71</v>
      </c>
      <c r="AB235" s="95" t="s">
        <v>71</v>
      </c>
      <c r="AC235" s="95" t="s">
        <v>71</v>
      </c>
      <c r="AD235" s="95" t="s">
        <v>71</v>
      </c>
      <c r="AE235" s="95" t="s">
        <v>71</v>
      </c>
      <c r="AF235" s="95" t="s">
        <v>71</v>
      </c>
      <c r="AG235" s="95" t="s">
        <v>72</v>
      </c>
      <c r="AH235" s="95" t="s">
        <v>72</v>
      </c>
      <c r="AI235" s="95" t="s">
        <v>72</v>
      </c>
      <c r="AK235" s="95" t="s">
        <v>71</v>
      </c>
    </row>
    <row r="236" spans="1:37" x14ac:dyDescent="0.2">
      <c r="A236" s="95" t="s">
        <v>97</v>
      </c>
      <c r="B236" s="95" t="s">
        <v>66</v>
      </c>
      <c r="C236" s="95" t="s">
        <v>327</v>
      </c>
      <c r="F236" s="95">
        <v>5.5</v>
      </c>
      <c r="G236" s="95">
        <v>20.350000000000001</v>
      </c>
      <c r="I236" s="101">
        <v>3.5648148148148149</v>
      </c>
      <c r="R236" s="95" t="s">
        <v>328</v>
      </c>
      <c r="U236" s="95" t="s">
        <v>71</v>
      </c>
      <c r="V236" s="95" t="s">
        <v>71</v>
      </c>
      <c r="W236" s="95" t="s">
        <v>71</v>
      </c>
      <c r="X236" s="95" t="s">
        <v>72</v>
      </c>
      <c r="Y236" s="95" t="s">
        <v>71</v>
      </c>
      <c r="Z236" s="95" t="s">
        <v>71</v>
      </c>
      <c r="AA236" s="95" t="s">
        <v>71</v>
      </c>
      <c r="AB236" s="95" t="s">
        <v>71</v>
      </c>
      <c r="AC236" s="95" t="s">
        <v>71</v>
      </c>
      <c r="AD236" s="95" t="s">
        <v>71</v>
      </c>
      <c r="AE236" s="95" t="s">
        <v>71</v>
      </c>
      <c r="AF236" s="95" t="s">
        <v>71</v>
      </c>
      <c r="AG236" s="95" t="s">
        <v>72</v>
      </c>
      <c r="AH236" s="95" t="s">
        <v>72</v>
      </c>
      <c r="AI236" s="95" t="s">
        <v>72</v>
      </c>
      <c r="AK236" s="95" t="s">
        <v>71</v>
      </c>
    </row>
    <row r="237" spans="1:37" x14ac:dyDescent="0.2">
      <c r="A237" s="95" t="s">
        <v>97</v>
      </c>
      <c r="B237" s="95" t="s">
        <v>66</v>
      </c>
      <c r="C237" s="95" t="s">
        <v>327</v>
      </c>
      <c r="F237" s="95">
        <v>6</v>
      </c>
      <c r="G237" s="95">
        <v>22.200000000000003</v>
      </c>
      <c r="I237" s="101">
        <v>3.8888888888888888</v>
      </c>
      <c r="R237" s="95" t="s">
        <v>328</v>
      </c>
      <c r="U237" s="95" t="s">
        <v>71</v>
      </c>
      <c r="V237" s="95" t="s">
        <v>71</v>
      </c>
      <c r="W237" s="95" t="s">
        <v>71</v>
      </c>
      <c r="X237" s="95" t="s">
        <v>72</v>
      </c>
      <c r="Y237" s="95" t="s">
        <v>71</v>
      </c>
      <c r="Z237" s="95" t="s">
        <v>71</v>
      </c>
      <c r="AA237" s="95" t="s">
        <v>71</v>
      </c>
      <c r="AB237" s="95" t="s">
        <v>71</v>
      </c>
      <c r="AC237" s="95" t="s">
        <v>71</v>
      </c>
      <c r="AD237" s="95" t="s">
        <v>71</v>
      </c>
      <c r="AE237" s="95" t="s">
        <v>71</v>
      </c>
      <c r="AF237" s="95" t="s">
        <v>71</v>
      </c>
      <c r="AG237" s="95" t="s">
        <v>72</v>
      </c>
      <c r="AH237" s="95" t="s">
        <v>72</v>
      </c>
      <c r="AI237" s="95" t="s">
        <v>72</v>
      </c>
      <c r="AK237" s="95" t="s">
        <v>71</v>
      </c>
    </row>
    <row r="238" spans="1:37" x14ac:dyDescent="0.2">
      <c r="A238" s="95" t="s">
        <v>97</v>
      </c>
      <c r="B238" s="95" t="s">
        <v>66</v>
      </c>
      <c r="C238" s="95" t="s">
        <v>327</v>
      </c>
      <c r="F238" s="95">
        <v>1</v>
      </c>
      <c r="G238" s="95">
        <v>3.7</v>
      </c>
      <c r="I238" s="101">
        <v>0.93333333333333335</v>
      </c>
      <c r="R238" s="95" t="s">
        <v>328</v>
      </c>
      <c r="U238" s="95" t="s">
        <v>71</v>
      </c>
      <c r="V238" s="95" t="s">
        <v>71</v>
      </c>
      <c r="W238" s="95" t="s">
        <v>71</v>
      </c>
      <c r="X238" s="95" t="s">
        <v>72</v>
      </c>
      <c r="Y238" s="95" t="s">
        <v>71</v>
      </c>
      <c r="Z238" s="95" t="s">
        <v>71</v>
      </c>
      <c r="AA238" s="95" t="s">
        <v>71</v>
      </c>
      <c r="AB238" s="95" t="s">
        <v>71</v>
      </c>
      <c r="AC238" s="95" t="s">
        <v>71</v>
      </c>
      <c r="AD238" s="95" t="s">
        <v>71</v>
      </c>
      <c r="AE238" s="95" t="s">
        <v>71</v>
      </c>
      <c r="AF238" s="95" t="s">
        <v>71</v>
      </c>
      <c r="AG238" s="95" t="s">
        <v>72</v>
      </c>
      <c r="AH238" s="95" t="s">
        <v>72</v>
      </c>
      <c r="AI238" s="95" t="s">
        <v>72</v>
      </c>
      <c r="AK238" s="95" t="s">
        <v>71</v>
      </c>
    </row>
    <row r="239" spans="1:37" x14ac:dyDescent="0.2">
      <c r="A239" s="95" t="s">
        <v>97</v>
      </c>
      <c r="B239" s="95" t="s">
        <v>66</v>
      </c>
      <c r="C239" s="95" t="s">
        <v>327</v>
      </c>
      <c r="F239" s="95">
        <v>2</v>
      </c>
      <c r="G239" s="95">
        <v>7.4</v>
      </c>
      <c r="I239" s="101">
        <v>1.8666666666666667</v>
      </c>
      <c r="R239" s="95" t="s">
        <v>328</v>
      </c>
      <c r="U239" s="95" t="s">
        <v>71</v>
      </c>
      <c r="V239" s="95" t="s">
        <v>71</v>
      </c>
      <c r="W239" s="95" t="s">
        <v>71</v>
      </c>
      <c r="X239" s="95" t="s">
        <v>72</v>
      </c>
      <c r="Y239" s="95" t="s">
        <v>71</v>
      </c>
      <c r="Z239" s="95" t="s">
        <v>71</v>
      </c>
      <c r="AA239" s="95" t="s">
        <v>71</v>
      </c>
      <c r="AB239" s="95" t="s">
        <v>71</v>
      </c>
      <c r="AC239" s="95" t="s">
        <v>71</v>
      </c>
      <c r="AD239" s="95" t="s">
        <v>71</v>
      </c>
      <c r="AE239" s="95" t="s">
        <v>71</v>
      </c>
      <c r="AF239" s="95" t="s">
        <v>71</v>
      </c>
      <c r="AG239" s="95" t="s">
        <v>72</v>
      </c>
      <c r="AH239" s="95" t="s">
        <v>72</v>
      </c>
      <c r="AI239" s="95" t="s">
        <v>72</v>
      </c>
      <c r="AK239" s="95" t="s">
        <v>71</v>
      </c>
    </row>
    <row r="240" spans="1:37" x14ac:dyDescent="0.2">
      <c r="A240" s="95" t="s">
        <v>97</v>
      </c>
      <c r="B240" s="95" t="s">
        <v>66</v>
      </c>
      <c r="C240" s="95" t="s">
        <v>327</v>
      </c>
      <c r="F240" s="95">
        <v>3</v>
      </c>
      <c r="G240" s="95">
        <v>11.100000000000001</v>
      </c>
      <c r="I240" s="101">
        <v>2.8</v>
      </c>
      <c r="R240" s="95" t="s">
        <v>328</v>
      </c>
      <c r="U240" s="95" t="s">
        <v>71</v>
      </c>
      <c r="V240" s="95" t="s">
        <v>71</v>
      </c>
      <c r="W240" s="95" t="s">
        <v>71</v>
      </c>
      <c r="X240" s="95" t="s">
        <v>72</v>
      </c>
      <c r="Y240" s="95" t="s">
        <v>71</v>
      </c>
      <c r="Z240" s="95" t="s">
        <v>71</v>
      </c>
      <c r="AA240" s="95" t="s">
        <v>71</v>
      </c>
      <c r="AB240" s="95" t="s">
        <v>71</v>
      </c>
      <c r="AC240" s="95" t="s">
        <v>71</v>
      </c>
      <c r="AD240" s="95" t="s">
        <v>71</v>
      </c>
      <c r="AE240" s="95" t="s">
        <v>71</v>
      </c>
      <c r="AF240" s="95" t="s">
        <v>71</v>
      </c>
      <c r="AG240" s="95" t="s">
        <v>72</v>
      </c>
      <c r="AH240" s="95" t="s">
        <v>72</v>
      </c>
      <c r="AI240" s="95" t="s">
        <v>72</v>
      </c>
      <c r="AK240" s="95" t="s">
        <v>71</v>
      </c>
    </row>
    <row r="241" spans="1:37" x14ac:dyDescent="0.2">
      <c r="A241" s="95" t="s">
        <v>97</v>
      </c>
      <c r="B241" s="95" t="s">
        <v>66</v>
      </c>
      <c r="C241" s="95" t="s">
        <v>327</v>
      </c>
      <c r="F241" s="95">
        <v>3.5</v>
      </c>
      <c r="G241" s="95">
        <v>12.950000000000001</v>
      </c>
      <c r="I241" s="101">
        <v>3.2666666666666666</v>
      </c>
      <c r="R241" s="95" t="s">
        <v>328</v>
      </c>
      <c r="U241" s="95" t="s">
        <v>71</v>
      </c>
      <c r="V241" s="95" t="s">
        <v>71</v>
      </c>
      <c r="W241" s="95" t="s">
        <v>71</v>
      </c>
      <c r="X241" s="95" t="s">
        <v>72</v>
      </c>
      <c r="Y241" s="95" t="s">
        <v>71</v>
      </c>
      <c r="Z241" s="95" t="s">
        <v>71</v>
      </c>
      <c r="AA241" s="95" t="s">
        <v>71</v>
      </c>
      <c r="AB241" s="95" t="s">
        <v>71</v>
      </c>
      <c r="AC241" s="95" t="s">
        <v>71</v>
      </c>
      <c r="AD241" s="95" t="s">
        <v>71</v>
      </c>
      <c r="AE241" s="95" t="s">
        <v>71</v>
      </c>
      <c r="AF241" s="95" t="s">
        <v>71</v>
      </c>
      <c r="AG241" s="95" t="s">
        <v>72</v>
      </c>
      <c r="AH241" s="95" t="s">
        <v>72</v>
      </c>
      <c r="AI241" s="95" t="s">
        <v>72</v>
      </c>
      <c r="AK241" s="95" t="s">
        <v>71</v>
      </c>
    </row>
    <row r="242" spans="1:37" x14ac:dyDescent="0.2">
      <c r="A242" s="95" t="s">
        <v>97</v>
      </c>
      <c r="B242" s="95" t="s">
        <v>66</v>
      </c>
      <c r="C242" s="95" t="s">
        <v>327</v>
      </c>
      <c r="F242" s="95">
        <v>4</v>
      </c>
      <c r="G242" s="95">
        <v>14.8</v>
      </c>
      <c r="I242" s="101">
        <v>3.7333333333333334</v>
      </c>
      <c r="R242" s="95" t="s">
        <v>328</v>
      </c>
      <c r="U242" s="95" t="s">
        <v>71</v>
      </c>
      <c r="V242" s="95" t="s">
        <v>71</v>
      </c>
      <c r="W242" s="95" t="s">
        <v>71</v>
      </c>
      <c r="X242" s="95" t="s">
        <v>72</v>
      </c>
      <c r="Y242" s="95" t="s">
        <v>71</v>
      </c>
      <c r="Z242" s="95" t="s">
        <v>71</v>
      </c>
      <c r="AA242" s="95" t="s">
        <v>71</v>
      </c>
      <c r="AB242" s="95" t="s">
        <v>71</v>
      </c>
      <c r="AC242" s="95" t="s">
        <v>71</v>
      </c>
      <c r="AD242" s="95" t="s">
        <v>71</v>
      </c>
      <c r="AE242" s="95" t="s">
        <v>71</v>
      </c>
      <c r="AF242" s="95" t="s">
        <v>71</v>
      </c>
      <c r="AG242" s="95" t="s">
        <v>72</v>
      </c>
      <c r="AH242" s="95" t="s">
        <v>72</v>
      </c>
      <c r="AI242" s="95" t="s">
        <v>72</v>
      </c>
      <c r="AK242" s="95" t="s">
        <v>71</v>
      </c>
    </row>
    <row r="243" spans="1:37" x14ac:dyDescent="0.2">
      <c r="A243" s="95" t="s">
        <v>97</v>
      </c>
      <c r="B243" s="95" t="s">
        <v>66</v>
      </c>
      <c r="C243" s="95" t="s">
        <v>327</v>
      </c>
      <c r="F243" s="95">
        <v>5</v>
      </c>
      <c r="G243" s="95">
        <v>18.5</v>
      </c>
      <c r="I243" s="101">
        <v>4.666666666666667</v>
      </c>
      <c r="R243" s="95" t="s">
        <v>328</v>
      </c>
      <c r="U243" s="95" t="s">
        <v>71</v>
      </c>
      <c r="V243" s="95" t="s">
        <v>71</v>
      </c>
      <c r="W243" s="95" t="s">
        <v>71</v>
      </c>
      <c r="X243" s="95" t="s">
        <v>72</v>
      </c>
      <c r="Y243" s="95" t="s">
        <v>71</v>
      </c>
      <c r="Z243" s="95" t="s">
        <v>71</v>
      </c>
      <c r="AA243" s="95" t="s">
        <v>71</v>
      </c>
      <c r="AB243" s="95" t="s">
        <v>71</v>
      </c>
      <c r="AC243" s="95" t="s">
        <v>71</v>
      </c>
      <c r="AD243" s="95" t="s">
        <v>71</v>
      </c>
      <c r="AE243" s="95" t="s">
        <v>71</v>
      </c>
      <c r="AF243" s="95" t="s">
        <v>71</v>
      </c>
      <c r="AG243" s="95" t="s">
        <v>72</v>
      </c>
      <c r="AH243" s="95" t="s">
        <v>72</v>
      </c>
      <c r="AI243" s="95" t="s">
        <v>72</v>
      </c>
      <c r="AK243" s="95" t="s">
        <v>71</v>
      </c>
    </row>
    <row r="244" spans="1:37" x14ac:dyDescent="0.2">
      <c r="A244" s="95" t="s">
        <v>97</v>
      </c>
      <c r="B244" s="95" t="s">
        <v>66</v>
      </c>
      <c r="C244" s="95" t="s">
        <v>327</v>
      </c>
      <c r="F244" s="95">
        <v>5.5</v>
      </c>
      <c r="G244" s="95">
        <v>20.350000000000001</v>
      </c>
      <c r="I244" s="101">
        <v>5.1333333333333337</v>
      </c>
      <c r="R244" s="95" t="s">
        <v>328</v>
      </c>
      <c r="U244" s="95" t="s">
        <v>71</v>
      </c>
      <c r="V244" s="95" t="s">
        <v>71</v>
      </c>
      <c r="W244" s="95" t="s">
        <v>71</v>
      </c>
      <c r="X244" s="95" t="s">
        <v>72</v>
      </c>
      <c r="Y244" s="95" t="s">
        <v>71</v>
      </c>
      <c r="Z244" s="95" t="s">
        <v>71</v>
      </c>
      <c r="AA244" s="95" t="s">
        <v>71</v>
      </c>
      <c r="AB244" s="95" t="s">
        <v>71</v>
      </c>
      <c r="AC244" s="95" t="s">
        <v>71</v>
      </c>
      <c r="AD244" s="95" t="s">
        <v>71</v>
      </c>
      <c r="AE244" s="95" t="s">
        <v>71</v>
      </c>
      <c r="AF244" s="95" t="s">
        <v>71</v>
      </c>
      <c r="AG244" s="95" t="s">
        <v>72</v>
      </c>
      <c r="AH244" s="95" t="s">
        <v>72</v>
      </c>
      <c r="AI244" s="95" t="s">
        <v>72</v>
      </c>
      <c r="AK244" s="95" t="s">
        <v>71</v>
      </c>
    </row>
    <row r="245" spans="1:37" x14ac:dyDescent="0.2">
      <c r="A245" s="95" t="s">
        <v>97</v>
      </c>
      <c r="B245" s="95" t="s">
        <v>66</v>
      </c>
      <c r="C245" s="95" t="s">
        <v>327</v>
      </c>
      <c r="F245" s="95">
        <v>6</v>
      </c>
      <c r="G245" s="95">
        <v>22.200000000000003</v>
      </c>
      <c r="I245" s="101">
        <v>5.6</v>
      </c>
      <c r="R245" s="95" t="s">
        <v>328</v>
      </c>
      <c r="U245" s="95" t="s">
        <v>71</v>
      </c>
      <c r="V245" s="95" t="s">
        <v>71</v>
      </c>
      <c r="W245" s="95" t="s">
        <v>71</v>
      </c>
      <c r="X245" s="95" t="s">
        <v>72</v>
      </c>
      <c r="Y245" s="95" t="s">
        <v>71</v>
      </c>
      <c r="Z245" s="95" t="s">
        <v>71</v>
      </c>
      <c r="AA245" s="95" t="s">
        <v>71</v>
      </c>
      <c r="AB245" s="95" t="s">
        <v>71</v>
      </c>
      <c r="AC245" s="95" t="s">
        <v>71</v>
      </c>
      <c r="AD245" s="95" t="s">
        <v>71</v>
      </c>
      <c r="AE245" s="95" t="s">
        <v>71</v>
      </c>
      <c r="AF245" s="95" t="s">
        <v>71</v>
      </c>
      <c r="AG245" s="95" t="s">
        <v>72</v>
      </c>
      <c r="AH245" s="95" t="s">
        <v>72</v>
      </c>
      <c r="AI245" s="95" t="s">
        <v>72</v>
      </c>
      <c r="AK245" s="95" t="s">
        <v>71</v>
      </c>
    </row>
    <row r="246" spans="1:37" x14ac:dyDescent="0.2">
      <c r="A246" s="95" t="s">
        <v>97</v>
      </c>
      <c r="B246" s="95" t="s">
        <v>66</v>
      </c>
      <c r="C246" s="95" t="s">
        <v>327</v>
      </c>
      <c r="F246" s="95">
        <v>1</v>
      </c>
      <c r="G246" s="95">
        <v>4.0999999999999996</v>
      </c>
      <c r="I246" s="101">
        <v>1.0649999999999999</v>
      </c>
      <c r="R246" s="95" t="s">
        <v>329</v>
      </c>
      <c r="U246" s="95" t="s">
        <v>71</v>
      </c>
      <c r="V246" s="95" t="s">
        <v>71</v>
      </c>
      <c r="W246" s="95" t="s">
        <v>71</v>
      </c>
      <c r="X246" s="95" t="s">
        <v>72</v>
      </c>
      <c r="Y246" s="95" t="s">
        <v>71</v>
      </c>
      <c r="Z246" s="95" t="s">
        <v>71</v>
      </c>
      <c r="AA246" s="95" t="s">
        <v>71</v>
      </c>
      <c r="AB246" s="95" t="s">
        <v>71</v>
      </c>
      <c r="AC246" s="95" t="s">
        <v>71</v>
      </c>
      <c r="AD246" s="95" t="s">
        <v>71</v>
      </c>
      <c r="AE246" s="95" t="s">
        <v>71</v>
      </c>
      <c r="AF246" s="95" t="s">
        <v>71</v>
      </c>
      <c r="AG246" s="95" t="s">
        <v>72</v>
      </c>
      <c r="AH246" s="95" t="s">
        <v>72</v>
      </c>
      <c r="AI246" s="95" t="s">
        <v>72</v>
      </c>
      <c r="AK246" s="95" t="s">
        <v>71</v>
      </c>
    </row>
    <row r="247" spans="1:37" x14ac:dyDescent="0.2">
      <c r="A247" s="95" t="s">
        <v>97</v>
      </c>
      <c r="B247" s="95" t="s">
        <v>66</v>
      </c>
      <c r="C247" s="95" t="s">
        <v>327</v>
      </c>
      <c r="F247" s="95">
        <v>2</v>
      </c>
      <c r="G247" s="95">
        <v>8.1999999999999993</v>
      </c>
      <c r="I247" s="101">
        <v>2.13</v>
      </c>
      <c r="R247" s="95" t="s">
        <v>329</v>
      </c>
      <c r="U247" s="95" t="s">
        <v>71</v>
      </c>
      <c r="V247" s="95" t="s">
        <v>71</v>
      </c>
      <c r="W247" s="95" t="s">
        <v>71</v>
      </c>
      <c r="X247" s="95" t="s">
        <v>72</v>
      </c>
      <c r="Y247" s="95" t="s">
        <v>71</v>
      </c>
      <c r="Z247" s="95" t="s">
        <v>71</v>
      </c>
      <c r="AA247" s="95" t="s">
        <v>71</v>
      </c>
      <c r="AB247" s="95" t="s">
        <v>71</v>
      </c>
      <c r="AC247" s="95" t="s">
        <v>71</v>
      </c>
      <c r="AD247" s="95" t="s">
        <v>71</v>
      </c>
      <c r="AE247" s="95" t="s">
        <v>71</v>
      </c>
      <c r="AF247" s="95" t="s">
        <v>71</v>
      </c>
      <c r="AG247" s="95" t="s">
        <v>72</v>
      </c>
      <c r="AH247" s="95" t="s">
        <v>72</v>
      </c>
      <c r="AI247" s="95" t="s">
        <v>72</v>
      </c>
      <c r="AK247" s="95" t="s">
        <v>71</v>
      </c>
    </row>
    <row r="248" spans="1:37" x14ac:dyDescent="0.2">
      <c r="A248" s="95" t="s">
        <v>97</v>
      </c>
      <c r="B248" s="95" t="s">
        <v>66</v>
      </c>
      <c r="C248" s="95" t="s">
        <v>327</v>
      </c>
      <c r="F248" s="95">
        <v>3</v>
      </c>
      <c r="G248" s="95">
        <v>12.299999999999999</v>
      </c>
      <c r="I248" s="101">
        <v>3.1949999999999998</v>
      </c>
      <c r="R248" s="95" t="s">
        <v>329</v>
      </c>
      <c r="U248" s="95" t="s">
        <v>71</v>
      </c>
      <c r="V248" s="95" t="s">
        <v>71</v>
      </c>
      <c r="W248" s="95" t="s">
        <v>71</v>
      </c>
      <c r="X248" s="95" t="s">
        <v>72</v>
      </c>
      <c r="Y248" s="95" t="s">
        <v>71</v>
      </c>
      <c r="Z248" s="95" t="s">
        <v>71</v>
      </c>
      <c r="AA248" s="95" t="s">
        <v>71</v>
      </c>
      <c r="AB248" s="95" t="s">
        <v>71</v>
      </c>
      <c r="AC248" s="95" t="s">
        <v>71</v>
      </c>
      <c r="AD248" s="95" t="s">
        <v>71</v>
      </c>
      <c r="AE248" s="95" t="s">
        <v>71</v>
      </c>
      <c r="AF248" s="95" t="s">
        <v>71</v>
      </c>
      <c r="AG248" s="95" t="s">
        <v>72</v>
      </c>
      <c r="AH248" s="95" t="s">
        <v>72</v>
      </c>
      <c r="AI248" s="95" t="s">
        <v>72</v>
      </c>
      <c r="AK248" s="95" t="s">
        <v>71</v>
      </c>
    </row>
    <row r="249" spans="1:37" x14ac:dyDescent="0.2">
      <c r="A249" s="95" t="s">
        <v>97</v>
      </c>
      <c r="B249" s="95" t="s">
        <v>66</v>
      </c>
      <c r="C249" s="95" t="s">
        <v>327</v>
      </c>
      <c r="F249" s="95">
        <v>3.5</v>
      </c>
      <c r="G249" s="95">
        <v>14.349999999999998</v>
      </c>
      <c r="I249" s="101">
        <v>3.7275</v>
      </c>
      <c r="R249" s="95" t="s">
        <v>329</v>
      </c>
      <c r="U249" s="95" t="s">
        <v>71</v>
      </c>
      <c r="V249" s="95" t="s">
        <v>71</v>
      </c>
      <c r="W249" s="95" t="s">
        <v>71</v>
      </c>
      <c r="X249" s="95" t="s">
        <v>72</v>
      </c>
      <c r="Y249" s="95" t="s">
        <v>71</v>
      </c>
      <c r="Z249" s="95" t="s">
        <v>71</v>
      </c>
      <c r="AA249" s="95" t="s">
        <v>71</v>
      </c>
      <c r="AB249" s="95" t="s">
        <v>71</v>
      </c>
      <c r="AC249" s="95" t="s">
        <v>71</v>
      </c>
      <c r="AD249" s="95" t="s">
        <v>71</v>
      </c>
      <c r="AE249" s="95" t="s">
        <v>71</v>
      </c>
      <c r="AF249" s="95" t="s">
        <v>71</v>
      </c>
      <c r="AG249" s="95" t="s">
        <v>72</v>
      </c>
      <c r="AH249" s="95" t="s">
        <v>72</v>
      </c>
      <c r="AI249" s="95" t="s">
        <v>72</v>
      </c>
      <c r="AK249" s="95" t="s">
        <v>71</v>
      </c>
    </row>
    <row r="250" spans="1:37" x14ac:dyDescent="0.2">
      <c r="A250" s="95" t="s">
        <v>97</v>
      </c>
      <c r="B250" s="95" t="s">
        <v>66</v>
      </c>
      <c r="C250" s="95" t="s">
        <v>327</v>
      </c>
      <c r="F250" s="95">
        <v>4</v>
      </c>
      <c r="G250" s="95">
        <v>16.399999999999999</v>
      </c>
      <c r="I250" s="101">
        <v>4.26</v>
      </c>
      <c r="R250" s="95" t="s">
        <v>329</v>
      </c>
      <c r="U250" s="95" t="s">
        <v>71</v>
      </c>
      <c r="V250" s="95" t="s">
        <v>71</v>
      </c>
      <c r="W250" s="95" t="s">
        <v>71</v>
      </c>
      <c r="X250" s="95" t="s">
        <v>72</v>
      </c>
      <c r="Y250" s="95" t="s">
        <v>71</v>
      </c>
      <c r="Z250" s="95" t="s">
        <v>71</v>
      </c>
      <c r="AA250" s="95" t="s">
        <v>71</v>
      </c>
      <c r="AB250" s="95" t="s">
        <v>71</v>
      </c>
      <c r="AC250" s="95" t="s">
        <v>71</v>
      </c>
      <c r="AD250" s="95" t="s">
        <v>71</v>
      </c>
      <c r="AE250" s="95" t="s">
        <v>71</v>
      </c>
      <c r="AF250" s="95" t="s">
        <v>71</v>
      </c>
      <c r="AG250" s="95" t="s">
        <v>72</v>
      </c>
      <c r="AH250" s="95" t="s">
        <v>72</v>
      </c>
      <c r="AI250" s="95" t="s">
        <v>72</v>
      </c>
      <c r="AK250" s="95" t="s">
        <v>71</v>
      </c>
    </row>
    <row r="251" spans="1:37" x14ac:dyDescent="0.2">
      <c r="A251" s="95" t="s">
        <v>97</v>
      </c>
      <c r="B251" s="95" t="s">
        <v>66</v>
      </c>
      <c r="C251" s="95" t="s">
        <v>327</v>
      </c>
      <c r="F251" s="95">
        <v>5</v>
      </c>
      <c r="G251" s="95">
        <v>20.5</v>
      </c>
      <c r="I251" s="101">
        <v>5.3249999999999993</v>
      </c>
      <c r="R251" s="95" t="s">
        <v>329</v>
      </c>
      <c r="U251" s="95" t="s">
        <v>71</v>
      </c>
      <c r="V251" s="95" t="s">
        <v>71</v>
      </c>
      <c r="W251" s="95" t="s">
        <v>71</v>
      </c>
      <c r="X251" s="95" t="s">
        <v>72</v>
      </c>
      <c r="Y251" s="95" t="s">
        <v>71</v>
      </c>
      <c r="Z251" s="95" t="s">
        <v>71</v>
      </c>
      <c r="AA251" s="95" t="s">
        <v>71</v>
      </c>
      <c r="AB251" s="95" t="s">
        <v>71</v>
      </c>
      <c r="AC251" s="95" t="s">
        <v>71</v>
      </c>
      <c r="AD251" s="95" t="s">
        <v>71</v>
      </c>
      <c r="AE251" s="95" t="s">
        <v>71</v>
      </c>
      <c r="AF251" s="95" t="s">
        <v>71</v>
      </c>
      <c r="AG251" s="95" t="s">
        <v>72</v>
      </c>
      <c r="AH251" s="95" t="s">
        <v>72</v>
      </c>
      <c r="AI251" s="95" t="s">
        <v>72</v>
      </c>
      <c r="AK251" s="95" t="s">
        <v>71</v>
      </c>
    </row>
    <row r="252" spans="1:37" x14ac:dyDescent="0.2">
      <c r="A252" s="95" t="s">
        <v>97</v>
      </c>
      <c r="B252" s="95" t="s">
        <v>66</v>
      </c>
      <c r="C252" s="95" t="s">
        <v>327</v>
      </c>
      <c r="F252" s="95">
        <v>5.5</v>
      </c>
      <c r="G252" s="95">
        <v>22.549999999999997</v>
      </c>
      <c r="I252" s="101">
        <v>5.8574999999999999</v>
      </c>
      <c r="R252" s="95" t="s">
        <v>329</v>
      </c>
      <c r="U252" s="95" t="s">
        <v>71</v>
      </c>
      <c r="V252" s="95" t="s">
        <v>71</v>
      </c>
      <c r="W252" s="95" t="s">
        <v>71</v>
      </c>
      <c r="X252" s="95" t="s">
        <v>72</v>
      </c>
      <c r="Y252" s="95" t="s">
        <v>71</v>
      </c>
      <c r="Z252" s="95" t="s">
        <v>71</v>
      </c>
      <c r="AA252" s="95" t="s">
        <v>71</v>
      </c>
      <c r="AB252" s="95" t="s">
        <v>71</v>
      </c>
      <c r="AC252" s="95" t="s">
        <v>71</v>
      </c>
      <c r="AD252" s="95" t="s">
        <v>71</v>
      </c>
      <c r="AE252" s="95" t="s">
        <v>71</v>
      </c>
      <c r="AF252" s="95" t="s">
        <v>71</v>
      </c>
      <c r="AG252" s="95" t="s">
        <v>72</v>
      </c>
      <c r="AH252" s="95" t="s">
        <v>72</v>
      </c>
      <c r="AI252" s="95" t="s">
        <v>72</v>
      </c>
      <c r="AK252" s="95" t="s">
        <v>71</v>
      </c>
    </row>
    <row r="253" spans="1:37" x14ac:dyDescent="0.2">
      <c r="A253" s="95" t="s">
        <v>97</v>
      </c>
      <c r="B253" s="95" t="s">
        <v>66</v>
      </c>
      <c r="C253" s="95" t="s">
        <v>327</v>
      </c>
      <c r="F253" s="95">
        <v>6</v>
      </c>
      <c r="G253" s="95">
        <v>24.599999999999998</v>
      </c>
      <c r="I253" s="101">
        <v>6.39</v>
      </c>
      <c r="R253" s="95" t="s">
        <v>329</v>
      </c>
      <c r="U253" s="95" t="s">
        <v>71</v>
      </c>
      <c r="V253" s="95" t="s">
        <v>71</v>
      </c>
      <c r="W253" s="95" t="s">
        <v>71</v>
      </c>
      <c r="X253" s="95" t="s">
        <v>72</v>
      </c>
      <c r="Y253" s="95" t="s">
        <v>71</v>
      </c>
      <c r="Z253" s="95" t="s">
        <v>71</v>
      </c>
      <c r="AA253" s="95" t="s">
        <v>71</v>
      </c>
      <c r="AB253" s="95" t="s">
        <v>71</v>
      </c>
      <c r="AC253" s="95" t="s">
        <v>71</v>
      </c>
      <c r="AD253" s="95" t="s">
        <v>71</v>
      </c>
      <c r="AE253" s="95" t="s">
        <v>71</v>
      </c>
      <c r="AF253" s="95" t="s">
        <v>71</v>
      </c>
      <c r="AG253" s="95" t="s">
        <v>72</v>
      </c>
      <c r="AH253" s="95" t="s">
        <v>72</v>
      </c>
      <c r="AI253" s="95" t="s">
        <v>72</v>
      </c>
      <c r="AK253" s="95" t="s">
        <v>71</v>
      </c>
    </row>
    <row r="254" spans="1:37" x14ac:dyDescent="0.2">
      <c r="A254" s="95" t="s">
        <v>97</v>
      </c>
      <c r="B254" s="95" t="s">
        <v>66</v>
      </c>
      <c r="C254" s="95" t="s">
        <v>327</v>
      </c>
      <c r="F254" s="95">
        <v>1</v>
      </c>
      <c r="G254" s="95">
        <v>4</v>
      </c>
      <c r="I254" s="101">
        <v>1.1124916666666667</v>
      </c>
      <c r="R254" s="95" t="s">
        <v>330</v>
      </c>
      <c r="U254" s="95" t="s">
        <v>71</v>
      </c>
      <c r="V254" s="95" t="s">
        <v>71</v>
      </c>
      <c r="W254" s="95" t="s">
        <v>71</v>
      </c>
      <c r="X254" s="95" t="s">
        <v>72</v>
      </c>
      <c r="Y254" s="95" t="s">
        <v>71</v>
      </c>
      <c r="Z254" s="95" t="s">
        <v>71</v>
      </c>
      <c r="AA254" s="95" t="s">
        <v>71</v>
      </c>
      <c r="AB254" s="95" t="s">
        <v>71</v>
      </c>
      <c r="AC254" s="95" t="s">
        <v>71</v>
      </c>
      <c r="AD254" s="95" t="s">
        <v>71</v>
      </c>
      <c r="AE254" s="95" t="s">
        <v>71</v>
      </c>
      <c r="AF254" s="95" t="s">
        <v>71</v>
      </c>
      <c r="AG254" s="95" t="s">
        <v>72</v>
      </c>
      <c r="AH254" s="95" t="s">
        <v>72</v>
      </c>
      <c r="AI254" s="95" t="s">
        <v>72</v>
      </c>
      <c r="AK254" s="95" t="s">
        <v>71</v>
      </c>
    </row>
    <row r="255" spans="1:37" x14ac:dyDescent="0.2">
      <c r="A255" s="95" t="s">
        <v>97</v>
      </c>
      <c r="B255" s="95" t="s">
        <v>66</v>
      </c>
      <c r="C255" s="95" t="s">
        <v>327</v>
      </c>
      <c r="F255" s="95">
        <v>2</v>
      </c>
      <c r="G255" s="95">
        <v>8</v>
      </c>
      <c r="I255" s="101">
        <v>2.2249833333333333</v>
      </c>
      <c r="R255" s="95" t="s">
        <v>330</v>
      </c>
      <c r="U255" s="95" t="s">
        <v>71</v>
      </c>
      <c r="V255" s="95" t="s">
        <v>71</v>
      </c>
      <c r="W255" s="95" t="s">
        <v>71</v>
      </c>
      <c r="X255" s="95" t="s">
        <v>72</v>
      </c>
      <c r="Y255" s="95" t="s">
        <v>71</v>
      </c>
      <c r="Z255" s="95" t="s">
        <v>71</v>
      </c>
      <c r="AA255" s="95" t="s">
        <v>71</v>
      </c>
      <c r="AB255" s="95" t="s">
        <v>71</v>
      </c>
      <c r="AC255" s="95" t="s">
        <v>71</v>
      </c>
      <c r="AD255" s="95" t="s">
        <v>71</v>
      </c>
      <c r="AE255" s="95" t="s">
        <v>71</v>
      </c>
      <c r="AF255" s="95" t="s">
        <v>71</v>
      </c>
      <c r="AG255" s="95" t="s">
        <v>72</v>
      </c>
      <c r="AH255" s="95" t="s">
        <v>72</v>
      </c>
      <c r="AI255" s="95" t="s">
        <v>72</v>
      </c>
      <c r="AK255" s="95" t="s">
        <v>71</v>
      </c>
    </row>
    <row r="256" spans="1:37" x14ac:dyDescent="0.2">
      <c r="A256" s="95" t="s">
        <v>97</v>
      </c>
      <c r="B256" s="95" t="s">
        <v>66</v>
      </c>
      <c r="C256" s="95" t="s">
        <v>327</v>
      </c>
      <c r="F256" s="95">
        <v>3</v>
      </c>
      <c r="G256" s="95">
        <v>12</v>
      </c>
      <c r="I256" s="101">
        <v>3.337475</v>
      </c>
      <c r="R256" s="95" t="s">
        <v>330</v>
      </c>
      <c r="U256" s="95" t="s">
        <v>71</v>
      </c>
      <c r="V256" s="95" t="s">
        <v>71</v>
      </c>
      <c r="W256" s="95" t="s">
        <v>71</v>
      </c>
      <c r="X256" s="95" t="s">
        <v>72</v>
      </c>
      <c r="Y256" s="95" t="s">
        <v>71</v>
      </c>
      <c r="Z256" s="95" t="s">
        <v>71</v>
      </c>
      <c r="AA256" s="95" t="s">
        <v>71</v>
      </c>
      <c r="AB256" s="95" t="s">
        <v>71</v>
      </c>
      <c r="AC256" s="95" t="s">
        <v>71</v>
      </c>
      <c r="AD256" s="95" t="s">
        <v>71</v>
      </c>
      <c r="AE256" s="95" t="s">
        <v>71</v>
      </c>
      <c r="AF256" s="95" t="s">
        <v>71</v>
      </c>
      <c r="AG256" s="95" t="s">
        <v>72</v>
      </c>
      <c r="AH256" s="95" t="s">
        <v>72</v>
      </c>
      <c r="AI256" s="95" t="s">
        <v>72</v>
      </c>
      <c r="AK256" s="95" t="s">
        <v>71</v>
      </c>
    </row>
    <row r="257" spans="1:37" x14ac:dyDescent="0.2">
      <c r="A257" s="95" t="s">
        <v>97</v>
      </c>
      <c r="B257" s="95" t="s">
        <v>66</v>
      </c>
      <c r="C257" s="95" t="s">
        <v>327</v>
      </c>
      <c r="F257" s="95">
        <v>3.5</v>
      </c>
      <c r="G257" s="95">
        <v>14</v>
      </c>
      <c r="I257" s="101">
        <v>3.8937208333333331</v>
      </c>
      <c r="R257" s="95" t="s">
        <v>330</v>
      </c>
      <c r="U257" s="95" t="s">
        <v>71</v>
      </c>
      <c r="V257" s="95" t="s">
        <v>71</v>
      </c>
      <c r="W257" s="95" t="s">
        <v>71</v>
      </c>
      <c r="X257" s="95" t="s">
        <v>72</v>
      </c>
      <c r="Y257" s="95" t="s">
        <v>71</v>
      </c>
      <c r="Z257" s="95" t="s">
        <v>71</v>
      </c>
      <c r="AA257" s="95" t="s">
        <v>71</v>
      </c>
      <c r="AB257" s="95" t="s">
        <v>71</v>
      </c>
      <c r="AC257" s="95" t="s">
        <v>71</v>
      </c>
      <c r="AD257" s="95" t="s">
        <v>71</v>
      </c>
      <c r="AE257" s="95" t="s">
        <v>71</v>
      </c>
      <c r="AF257" s="95" t="s">
        <v>71</v>
      </c>
      <c r="AG257" s="95" t="s">
        <v>72</v>
      </c>
      <c r="AH257" s="95" t="s">
        <v>72</v>
      </c>
      <c r="AI257" s="95" t="s">
        <v>72</v>
      </c>
      <c r="AK257" s="95" t="s">
        <v>71</v>
      </c>
    </row>
    <row r="258" spans="1:37" x14ac:dyDescent="0.2">
      <c r="A258" s="95" t="s">
        <v>97</v>
      </c>
      <c r="B258" s="95" t="s">
        <v>66</v>
      </c>
      <c r="C258" s="95" t="s">
        <v>327</v>
      </c>
      <c r="F258" s="95">
        <v>4</v>
      </c>
      <c r="G258" s="95">
        <v>16</v>
      </c>
      <c r="I258" s="101">
        <v>4.4499666666666666</v>
      </c>
      <c r="R258" s="95" t="s">
        <v>330</v>
      </c>
      <c r="U258" s="95" t="s">
        <v>71</v>
      </c>
      <c r="V258" s="95" t="s">
        <v>71</v>
      </c>
      <c r="W258" s="95" t="s">
        <v>71</v>
      </c>
      <c r="X258" s="95" t="s">
        <v>72</v>
      </c>
      <c r="Y258" s="95" t="s">
        <v>71</v>
      </c>
      <c r="Z258" s="95" t="s">
        <v>71</v>
      </c>
      <c r="AA258" s="95" t="s">
        <v>71</v>
      </c>
      <c r="AB258" s="95" t="s">
        <v>71</v>
      </c>
      <c r="AC258" s="95" t="s">
        <v>71</v>
      </c>
      <c r="AD258" s="95" t="s">
        <v>71</v>
      </c>
      <c r="AE258" s="95" t="s">
        <v>71</v>
      </c>
      <c r="AF258" s="95" t="s">
        <v>71</v>
      </c>
      <c r="AG258" s="95" t="s">
        <v>72</v>
      </c>
      <c r="AH258" s="95" t="s">
        <v>72</v>
      </c>
      <c r="AI258" s="95" t="s">
        <v>72</v>
      </c>
      <c r="AK258" s="95" t="s">
        <v>71</v>
      </c>
    </row>
    <row r="259" spans="1:37" x14ac:dyDescent="0.2">
      <c r="A259" s="95" t="s">
        <v>97</v>
      </c>
      <c r="B259" s="95" t="s">
        <v>66</v>
      </c>
      <c r="C259" s="95" t="s">
        <v>327</v>
      </c>
      <c r="F259" s="95">
        <v>5</v>
      </c>
      <c r="G259" s="95">
        <v>20</v>
      </c>
      <c r="I259" s="101">
        <v>5.5624583333333337</v>
      </c>
      <c r="R259" s="95" t="s">
        <v>330</v>
      </c>
      <c r="U259" s="95" t="s">
        <v>71</v>
      </c>
      <c r="V259" s="95" t="s">
        <v>71</v>
      </c>
      <c r="W259" s="95" t="s">
        <v>71</v>
      </c>
      <c r="X259" s="95" t="s">
        <v>72</v>
      </c>
      <c r="Y259" s="95" t="s">
        <v>71</v>
      </c>
      <c r="Z259" s="95" t="s">
        <v>71</v>
      </c>
      <c r="AA259" s="95" t="s">
        <v>71</v>
      </c>
      <c r="AB259" s="95" t="s">
        <v>71</v>
      </c>
      <c r="AC259" s="95" t="s">
        <v>71</v>
      </c>
      <c r="AD259" s="95" t="s">
        <v>71</v>
      </c>
      <c r="AE259" s="95" t="s">
        <v>71</v>
      </c>
      <c r="AF259" s="95" t="s">
        <v>71</v>
      </c>
      <c r="AG259" s="95" t="s">
        <v>72</v>
      </c>
      <c r="AH259" s="95" t="s">
        <v>72</v>
      </c>
      <c r="AI259" s="95" t="s">
        <v>72</v>
      </c>
      <c r="AK259" s="95" t="s">
        <v>71</v>
      </c>
    </row>
    <row r="260" spans="1:37" x14ac:dyDescent="0.2">
      <c r="A260" s="95" t="s">
        <v>97</v>
      </c>
      <c r="B260" s="95" t="s">
        <v>66</v>
      </c>
      <c r="C260" s="95" t="s">
        <v>327</v>
      </c>
      <c r="F260" s="95">
        <v>5.5</v>
      </c>
      <c r="G260" s="95">
        <v>22</v>
      </c>
      <c r="I260" s="101">
        <v>6.1187041666666664</v>
      </c>
      <c r="R260" s="95" t="s">
        <v>330</v>
      </c>
      <c r="U260" s="95" t="s">
        <v>71</v>
      </c>
      <c r="V260" s="95" t="s">
        <v>71</v>
      </c>
      <c r="W260" s="95" t="s">
        <v>71</v>
      </c>
      <c r="X260" s="95" t="s">
        <v>72</v>
      </c>
      <c r="Y260" s="95" t="s">
        <v>71</v>
      </c>
      <c r="Z260" s="95" t="s">
        <v>71</v>
      </c>
      <c r="AA260" s="95" t="s">
        <v>71</v>
      </c>
      <c r="AB260" s="95" t="s">
        <v>71</v>
      </c>
      <c r="AC260" s="95" t="s">
        <v>71</v>
      </c>
      <c r="AD260" s="95" t="s">
        <v>71</v>
      </c>
      <c r="AE260" s="95" t="s">
        <v>71</v>
      </c>
      <c r="AF260" s="95" t="s">
        <v>71</v>
      </c>
      <c r="AG260" s="95" t="s">
        <v>72</v>
      </c>
      <c r="AH260" s="95" t="s">
        <v>72</v>
      </c>
      <c r="AI260" s="95" t="s">
        <v>72</v>
      </c>
      <c r="AK260" s="95" t="s">
        <v>71</v>
      </c>
    </row>
    <row r="261" spans="1:37" x14ac:dyDescent="0.2">
      <c r="A261" s="95" t="s">
        <v>97</v>
      </c>
      <c r="B261" s="95" t="s">
        <v>66</v>
      </c>
      <c r="C261" s="95" t="s">
        <v>327</v>
      </c>
      <c r="F261" s="95">
        <v>6</v>
      </c>
      <c r="G261" s="95">
        <v>24</v>
      </c>
      <c r="I261" s="101">
        <v>6.6749499999999999</v>
      </c>
      <c r="R261" s="95" t="s">
        <v>330</v>
      </c>
      <c r="U261" s="95" t="s">
        <v>71</v>
      </c>
      <c r="V261" s="95" t="s">
        <v>71</v>
      </c>
      <c r="W261" s="95" t="s">
        <v>71</v>
      </c>
      <c r="X261" s="95" t="s">
        <v>72</v>
      </c>
      <c r="Y261" s="95" t="s">
        <v>71</v>
      </c>
      <c r="Z261" s="95" t="s">
        <v>71</v>
      </c>
      <c r="AA261" s="95" t="s">
        <v>71</v>
      </c>
      <c r="AB261" s="95" t="s">
        <v>71</v>
      </c>
      <c r="AC261" s="95" t="s">
        <v>71</v>
      </c>
      <c r="AD261" s="95" t="s">
        <v>71</v>
      </c>
      <c r="AE261" s="95" t="s">
        <v>71</v>
      </c>
      <c r="AF261" s="95" t="s">
        <v>71</v>
      </c>
      <c r="AG261" s="95" t="s">
        <v>72</v>
      </c>
      <c r="AH261" s="95" t="s">
        <v>72</v>
      </c>
      <c r="AI261" s="95" t="s">
        <v>72</v>
      </c>
      <c r="AK261" s="95" t="s">
        <v>71</v>
      </c>
    </row>
    <row r="262" spans="1:37" x14ac:dyDescent="0.2">
      <c r="A262" s="95" t="s">
        <v>97</v>
      </c>
      <c r="B262" s="95" t="s">
        <v>66</v>
      </c>
      <c r="C262" s="95" t="s">
        <v>327</v>
      </c>
      <c r="F262" s="95">
        <v>1</v>
      </c>
      <c r="G262" s="95">
        <v>4</v>
      </c>
      <c r="I262" s="101">
        <v>1.6815526315789473</v>
      </c>
      <c r="R262" s="95" t="s">
        <v>331</v>
      </c>
      <c r="U262" s="95" t="s">
        <v>71</v>
      </c>
      <c r="V262" s="95" t="s">
        <v>71</v>
      </c>
      <c r="W262" s="95" t="s">
        <v>71</v>
      </c>
      <c r="X262" s="95" t="s">
        <v>72</v>
      </c>
      <c r="Y262" s="95" t="s">
        <v>71</v>
      </c>
      <c r="Z262" s="95" t="s">
        <v>71</v>
      </c>
      <c r="AA262" s="95" t="s">
        <v>71</v>
      </c>
      <c r="AB262" s="95" t="s">
        <v>71</v>
      </c>
      <c r="AC262" s="95" t="s">
        <v>71</v>
      </c>
      <c r="AD262" s="95" t="s">
        <v>71</v>
      </c>
      <c r="AE262" s="95" t="s">
        <v>71</v>
      </c>
      <c r="AF262" s="95" t="s">
        <v>71</v>
      </c>
      <c r="AG262" s="95" t="s">
        <v>72</v>
      </c>
      <c r="AH262" s="95" t="s">
        <v>72</v>
      </c>
      <c r="AI262" s="95" t="s">
        <v>72</v>
      </c>
      <c r="AK262" s="95" t="s">
        <v>71</v>
      </c>
    </row>
    <row r="263" spans="1:37" x14ac:dyDescent="0.2">
      <c r="A263" s="95" t="s">
        <v>97</v>
      </c>
      <c r="B263" s="95" t="s">
        <v>66</v>
      </c>
      <c r="C263" s="95" t="s">
        <v>327</v>
      </c>
      <c r="F263" s="95">
        <v>2</v>
      </c>
      <c r="G263" s="95">
        <v>8</v>
      </c>
      <c r="I263" s="101">
        <v>3.3631052631578946</v>
      </c>
      <c r="R263" s="95" t="s">
        <v>331</v>
      </c>
      <c r="U263" s="95" t="s">
        <v>71</v>
      </c>
      <c r="V263" s="95" t="s">
        <v>71</v>
      </c>
      <c r="W263" s="95" t="s">
        <v>71</v>
      </c>
      <c r="X263" s="95" t="s">
        <v>72</v>
      </c>
      <c r="Y263" s="95" t="s">
        <v>71</v>
      </c>
      <c r="Z263" s="95" t="s">
        <v>71</v>
      </c>
      <c r="AA263" s="95" t="s">
        <v>71</v>
      </c>
      <c r="AB263" s="95" t="s">
        <v>71</v>
      </c>
      <c r="AC263" s="95" t="s">
        <v>71</v>
      </c>
      <c r="AD263" s="95" t="s">
        <v>71</v>
      </c>
      <c r="AE263" s="95" t="s">
        <v>71</v>
      </c>
      <c r="AF263" s="95" t="s">
        <v>71</v>
      </c>
      <c r="AG263" s="95" t="s">
        <v>72</v>
      </c>
      <c r="AH263" s="95" t="s">
        <v>72</v>
      </c>
      <c r="AI263" s="95" t="s">
        <v>72</v>
      </c>
      <c r="AK263" s="95" t="s">
        <v>71</v>
      </c>
    </row>
    <row r="264" spans="1:37" x14ac:dyDescent="0.2">
      <c r="A264" s="95" t="s">
        <v>97</v>
      </c>
      <c r="B264" s="95" t="s">
        <v>66</v>
      </c>
      <c r="C264" s="95" t="s">
        <v>327</v>
      </c>
      <c r="F264" s="95">
        <v>3</v>
      </c>
      <c r="G264" s="95">
        <v>12</v>
      </c>
      <c r="I264" s="101">
        <v>5.0446578947368419</v>
      </c>
      <c r="R264" s="95" t="s">
        <v>331</v>
      </c>
      <c r="U264" s="95" t="s">
        <v>71</v>
      </c>
      <c r="V264" s="95" t="s">
        <v>71</v>
      </c>
      <c r="W264" s="95" t="s">
        <v>71</v>
      </c>
      <c r="X264" s="95" t="s">
        <v>72</v>
      </c>
      <c r="Y264" s="95" t="s">
        <v>71</v>
      </c>
      <c r="Z264" s="95" t="s">
        <v>71</v>
      </c>
      <c r="AA264" s="95" t="s">
        <v>71</v>
      </c>
      <c r="AB264" s="95" t="s">
        <v>71</v>
      </c>
      <c r="AC264" s="95" t="s">
        <v>71</v>
      </c>
      <c r="AD264" s="95" t="s">
        <v>71</v>
      </c>
      <c r="AE264" s="95" t="s">
        <v>71</v>
      </c>
      <c r="AF264" s="95" t="s">
        <v>71</v>
      </c>
      <c r="AG264" s="95" t="s">
        <v>72</v>
      </c>
      <c r="AH264" s="95" t="s">
        <v>72</v>
      </c>
      <c r="AI264" s="95" t="s">
        <v>72</v>
      </c>
      <c r="AK264" s="95" t="s">
        <v>71</v>
      </c>
    </row>
    <row r="265" spans="1:37" x14ac:dyDescent="0.2">
      <c r="A265" s="95" t="s">
        <v>97</v>
      </c>
      <c r="B265" s="95" t="s">
        <v>66</v>
      </c>
      <c r="C265" s="95" t="s">
        <v>327</v>
      </c>
      <c r="F265" s="95">
        <v>3.5</v>
      </c>
      <c r="G265" s="95">
        <v>14</v>
      </c>
      <c r="I265" s="101">
        <v>5.8854342105263155</v>
      </c>
      <c r="R265" s="95" t="s">
        <v>331</v>
      </c>
      <c r="U265" s="95" t="s">
        <v>71</v>
      </c>
      <c r="V265" s="95" t="s">
        <v>71</v>
      </c>
      <c r="W265" s="95" t="s">
        <v>71</v>
      </c>
      <c r="X265" s="95" t="s">
        <v>72</v>
      </c>
      <c r="Y265" s="95" t="s">
        <v>71</v>
      </c>
      <c r="Z265" s="95" t="s">
        <v>71</v>
      </c>
      <c r="AA265" s="95" t="s">
        <v>71</v>
      </c>
      <c r="AB265" s="95" t="s">
        <v>71</v>
      </c>
      <c r="AC265" s="95" t="s">
        <v>71</v>
      </c>
      <c r="AD265" s="95" t="s">
        <v>71</v>
      </c>
      <c r="AE265" s="95" t="s">
        <v>71</v>
      </c>
      <c r="AF265" s="95" t="s">
        <v>71</v>
      </c>
      <c r="AG265" s="95" t="s">
        <v>72</v>
      </c>
      <c r="AH265" s="95" t="s">
        <v>72</v>
      </c>
      <c r="AI265" s="95" t="s">
        <v>72</v>
      </c>
      <c r="AK265" s="95" t="s">
        <v>71</v>
      </c>
    </row>
    <row r="266" spans="1:37" x14ac:dyDescent="0.2">
      <c r="A266" s="95" t="s">
        <v>97</v>
      </c>
      <c r="B266" s="95" t="s">
        <v>66</v>
      </c>
      <c r="C266" s="95" t="s">
        <v>327</v>
      </c>
      <c r="F266" s="95">
        <v>4</v>
      </c>
      <c r="G266" s="95">
        <v>16</v>
      </c>
      <c r="I266" s="101">
        <v>6.7262105263157892</v>
      </c>
      <c r="R266" s="95" t="s">
        <v>331</v>
      </c>
      <c r="U266" s="95" t="s">
        <v>71</v>
      </c>
      <c r="V266" s="95" t="s">
        <v>71</v>
      </c>
      <c r="W266" s="95" t="s">
        <v>71</v>
      </c>
      <c r="X266" s="95" t="s">
        <v>72</v>
      </c>
      <c r="Y266" s="95" t="s">
        <v>71</v>
      </c>
      <c r="Z266" s="95" t="s">
        <v>71</v>
      </c>
      <c r="AA266" s="95" t="s">
        <v>71</v>
      </c>
      <c r="AB266" s="95" t="s">
        <v>71</v>
      </c>
      <c r="AC266" s="95" t="s">
        <v>71</v>
      </c>
      <c r="AD266" s="95" t="s">
        <v>71</v>
      </c>
      <c r="AE266" s="95" t="s">
        <v>71</v>
      </c>
      <c r="AF266" s="95" t="s">
        <v>71</v>
      </c>
      <c r="AG266" s="95" t="s">
        <v>72</v>
      </c>
      <c r="AH266" s="95" t="s">
        <v>72</v>
      </c>
      <c r="AI266" s="95" t="s">
        <v>72</v>
      </c>
      <c r="AK266" s="95" t="s">
        <v>71</v>
      </c>
    </row>
    <row r="267" spans="1:37" x14ac:dyDescent="0.2">
      <c r="A267" s="95" t="s">
        <v>97</v>
      </c>
      <c r="B267" s="95" t="s">
        <v>66</v>
      </c>
      <c r="C267" s="95" t="s">
        <v>327</v>
      </c>
      <c r="F267" s="95">
        <v>5</v>
      </c>
      <c r="G267" s="95">
        <v>20</v>
      </c>
      <c r="I267" s="101">
        <v>8.4077631578947365</v>
      </c>
      <c r="R267" s="95" t="s">
        <v>331</v>
      </c>
      <c r="U267" s="95" t="s">
        <v>71</v>
      </c>
      <c r="V267" s="95" t="s">
        <v>71</v>
      </c>
      <c r="W267" s="95" t="s">
        <v>71</v>
      </c>
      <c r="X267" s="95" t="s">
        <v>72</v>
      </c>
      <c r="Y267" s="95" t="s">
        <v>71</v>
      </c>
      <c r="Z267" s="95" t="s">
        <v>71</v>
      </c>
      <c r="AA267" s="95" t="s">
        <v>71</v>
      </c>
      <c r="AB267" s="95" t="s">
        <v>71</v>
      </c>
      <c r="AC267" s="95" t="s">
        <v>71</v>
      </c>
      <c r="AD267" s="95" t="s">
        <v>71</v>
      </c>
      <c r="AE267" s="95" t="s">
        <v>71</v>
      </c>
      <c r="AF267" s="95" t="s">
        <v>71</v>
      </c>
      <c r="AG267" s="95" t="s">
        <v>72</v>
      </c>
      <c r="AH267" s="95" t="s">
        <v>72</v>
      </c>
      <c r="AI267" s="95" t="s">
        <v>72</v>
      </c>
      <c r="AK267" s="95" t="s">
        <v>71</v>
      </c>
    </row>
    <row r="268" spans="1:37" x14ac:dyDescent="0.2">
      <c r="A268" s="95" t="s">
        <v>97</v>
      </c>
      <c r="B268" s="95" t="s">
        <v>66</v>
      </c>
      <c r="C268" s="95" t="s">
        <v>327</v>
      </c>
      <c r="F268" s="95">
        <v>5.5</v>
      </c>
      <c r="G268" s="95">
        <v>22</v>
      </c>
      <c r="I268" s="101">
        <v>9.248539473684211</v>
      </c>
      <c r="R268" s="95" t="s">
        <v>331</v>
      </c>
      <c r="U268" s="95" t="s">
        <v>71</v>
      </c>
      <c r="V268" s="95" t="s">
        <v>71</v>
      </c>
      <c r="W268" s="95" t="s">
        <v>71</v>
      </c>
      <c r="X268" s="95" t="s">
        <v>72</v>
      </c>
      <c r="Y268" s="95" t="s">
        <v>71</v>
      </c>
      <c r="Z268" s="95" t="s">
        <v>71</v>
      </c>
      <c r="AA268" s="95" t="s">
        <v>71</v>
      </c>
      <c r="AB268" s="95" t="s">
        <v>71</v>
      </c>
      <c r="AC268" s="95" t="s">
        <v>71</v>
      </c>
      <c r="AD268" s="95" t="s">
        <v>71</v>
      </c>
      <c r="AE268" s="95" t="s">
        <v>71</v>
      </c>
      <c r="AF268" s="95" t="s">
        <v>71</v>
      </c>
      <c r="AG268" s="95" t="s">
        <v>72</v>
      </c>
      <c r="AH268" s="95" t="s">
        <v>72</v>
      </c>
      <c r="AI268" s="95" t="s">
        <v>72</v>
      </c>
      <c r="AK268" s="95" t="s">
        <v>71</v>
      </c>
    </row>
    <row r="269" spans="1:37" x14ac:dyDescent="0.2">
      <c r="A269" s="95" t="s">
        <v>97</v>
      </c>
      <c r="B269" s="95" t="s">
        <v>66</v>
      </c>
      <c r="C269" s="95" t="s">
        <v>327</v>
      </c>
      <c r="F269" s="95">
        <v>6</v>
      </c>
      <c r="G269" s="95">
        <v>24</v>
      </c>
      <c r="I269" s="101">
        <v>10.089315789473684</v>
      </c>
      <c r="R269" s="95" t="s">
        <v>331</v>
      </c>
      <c r="U269" s="95" t="s">
        <v>71</v>
      </c>
      <c r="V269" s="95" t="s">
        <v>71</v>
      </c>
      <c r="W269" s="95" t="s">
        <v>71</v>
      </c>
      <c r="X269" s="95" t="s">
        <v>72</v>
      </c>
      <c r="Y269" s="95" t="s">
        <v>71</v>
      </c>
      <c r="Z269" s="95" t="s">
        <v>71</v>
      </c>
      <c r="AA269" s="95" t="s">
        <v>71</v>
      </c>
      <c r="AB269" s="95" t="s">
        <v>71</v>
      </c>
      <c r="AC269" s="95" t="s">
        <v>71</v>
      </c>
      <c r="AD269" s="95" t="s">
        <v>71</v>
      </c>
      <c r="AE269" s="95" t="s">
        <v>71</v>
      </c>
      <c r="AF269" s="95" t="s">
        <v>71</v>
      </c>
      <c r="AG269" s="95" t="s">
        <v>72</v>
      </c>
      <c r="AH269" s="95" t="s">
        <v>72</v>
      </c>
      <c r="AI269" s="95" t="s">
        <v>72</v>
      </c>
      <c r="AK269" s="95" t="s">
        <v>71</v>
      </c>
    </row>
    <row r="270" spans="1:37" x14ac:dyDescent="0.2">
      <c r="A270" s="95" t="s">
        <v>97</v>
      </c>
      <c r="B270" s="95" t="s">
        <v>66</v>
      </c>
      <c r="C270" s="95" t="s">
        <v>327</v>
      </c>
      <c r="F270" s="95">
        <v>1</v>
      </c>
      <c r="G270" s="95">
        <v>3.92</v>
      </c>
      <c r="I270" s="101">
        <v>1.4868168168168168</v>
      </c>
      <c r="R270" s="95" t="s">
        <v>332</v>
      </c>
      <c r="U270" s="95" t="s">
        <v>71</v>
      </c>
      <c r="V270" s="95" t="s">
        <v>71</v>
      </c>
      <c r="W270" s="95" t="s">
        <v>71</v>
      </c>
      <c r="X270" s="95" t="s">
        <v>72</v>
      </c>
      <c r="Y270" s="95" t="s">
        <v>71</v>
      </c>
      <c r="Z270" s="95" t="s">
        <v>71</v>
      </c>
      <c r="AA270" s="95" t="s">
        <v>71</v>
      </c>
      <c r="AB270" s="95" t="s">
        <v>71</v>
      </c>
      <c r="AC270" s="95" t="s">
        <v>71</v>
      </c>
      <c r="AD270" s="95" t="s">
        <v>71</v>
      </c>
      <c r="AE270" s="95" t="s">
        <v>71</v>
      </c>
      <c r="AF270" s="95" t="s">
        <v>71</v>
      </c>
      <c r="AG270" s="95" t="s">
        <v>72</v>
      </c>
      <c r="AH270" s="95" t="s">
        <v>72</v>
      </c>
      <c r="AI270" s="95" t="s">
        <v>72</v>
      </c>
      <c r="AK270" s="95" t="s">
        <v>71</v>
      </c>
    </row>
    <row r="271" spans="1:37" x14ac:dyDescent="0.2">
      <c r="A271" s="95" t="s">
        <v>97</v>
      </c>
      <c r="B271" s="95" t="s">
        <v>66</v>
      </c>
      <c r="C271" s="95" t="s">
        <v>327</v>
      </c>
      <c r="F271" s="95">
        <v>2</v>
      </c>
      <c r="G271" s="95">
        <v>7.84</v>
      </c>
      <c r="I271" s="101">
        <v>2.9736336336336335</v>
      </c>
      <c r="R271" s="95" t="s">
        <v>332</v>
      </c>
      <c r="U271" s="95" t="s">
        <v>71</v>
      </c>
      <c r="V271" s="95" t="s">
        <v>71</v>
      </c>
      <c r="W271" s="95" t="s">
        <v>71</v>
      </c>
      <c r="X271" s="95" t="s">
        <v>72</v>
      </c>
      <c r="Y271" s="95" t="s">
        <v>71</v>
      </c>
      <c r="Z271" s="95" t="s">
        <v>71</v>
      </c>
      <c r="AA271" s="95" t="s">
        <v>71</v>
      </c>
      <c r="AB271" s="95" t="s">
        <v>71</v>
      </c>
      <c r="AC271" s="95" t="s">
        <v>71</v>
      </c>
      <c r="AD271" s="95" t="s">
        <v>71</v>
      </c>
      <c r="AE271" s="95" t="s">
        <v>71</v>
      </c>
      <c r="AF271" s="95" t="s">
        <v>71</v>
      </c>
      <c r="AG271" s="95" t="s">
        <v>72</v>
      </c>
      <c r="AH271" s="95" t="s">
        <v>72</v>
      </c>
      <c r="AI271" s="95" t="s">
        <v>72</v>
      </c>
      <c r="AK271" s="95" t="s">
        <v>71</v>
      </c>
    </row>
    <row r="272" spans="1:37" x14ac:dyDescent="0.2">
      <c r="A272" s="95" t="s">
        <v>97</v>
      </c>
      <c r="B272" s="95" t="s">
        <v>66</v>
      </c>
      <c r="C272" s="95" t="s">
        <v>327</v>
      </c>
      <c r="F272" s="95">
        <v>3</v>
      </c>
      <c r="G272" s="95">
        <v>11.76</v>
      </c>
      <c r="I272" s="101">
        <v>4.4604504504504501</v>
      </c>
      <c r="R272" s="95" t="s">
        <v>332</v>
      </c>
      <c r="U272" s="95" t="s">
        <v>71</v>
      </c>
      <c r="V272" s="95" t="s">
        <v>71</v>
      </c>
      <c r="W272" s="95" t="s">
        <v>71</v>
      </c>
      <c r="X272" s="95" t="s">
        <v>72</v>
      </c>
      <c r="Y272" s="95" t="s">
        <v>71</v>
      </c>
      <c r="Z272" s="95" t="s">
        <v>71</v>
      </c>
      <c r="AA272" s="95" t="s">
        <v>71</v>
      </c>
      <c r="AB272" s="95" t="s">
        <v>71</v>
      </c>
      <c r="AC272" s="95" t="s">
        <v>71</v>
      </c>
      <c r="AD272" s="95" t="s">
        <v>71</v>
      </c>
      <c r="AE272" s="95" t="s">
        <v>71</v>
      </c>
      <c r="AF272" s="95" t="s">
        <v>71</v>
      </c>
      <c r="AG272" s="95" t="s">
        <v>72</v>
      </c>
      <c r="AH272" s="95" t="s">
        <v>72</v>
      </c>
      <c r="AI272" s="95" t="s">
        <v>72</v>
      </c>
      <c r="AK272" s="95" t="s">
        <v>71</v>
      </c>
    </row>
    <row r="273" spans="1:37" x14ac:dyDescent="0.2">
      <c r="A273" s="95" t="s">
        <v>97</v>
      </c>
      <c r="B273" s="95" t="s">
        <v>66</v>
      </c>
      <c r="C273" s="95" t="s">
        <v>327</v>
      </c>
      <c r="F273" s="95">
        <v>3.5</v>
      </c>
      <c r="G273" s="95">
        <v>13.719999999999999</v>
      </c>
      <c r="I273" s="101">
        <v>5.203858858858859</v>
      </c>
      <c r="R273" s="95" t="s">
        <v>332</v>
      </c>
      <c r="U273" s="95" t="s">
        <v>71</v>
      </c>
      <c r="V273" s="95" t="s">
        <v>71</v>
      </c>
      <c r="W273" s="95" t="s">
        <v>71</v>
      </c>
      <c r="X273" s="95" t="s">
        <v>72</v>
      </c>
      <c r="Y273" s="95" t="s">
        <v>71</v>
      </c>
      <c r="Z273" s="95" t="s">
        <v>71</v>
      </c>
      <c r="AA273" s="95" t="s">
        <v>71</v>
      </c>
      <c r="AB273" s="95" t="s">
        <v>71</v>
      </c>
      <c r="AC273" s="95" t="s">
        <v>71</v>
      </c>
      <c r="AD273" s="95" t="s">
        <v>71</v>
      </c>
      <c r="AE273" s="95" t="s">
        <v>71</v>
      </c>
      <c r="AF273" s="95" t="s">
        <v>71</v>
      </c>
      <c r="AG273" s="95" t="s">
        <v>72</v>
      </c>
      <c r="AH273" s="95" t="s">
        <v>72</v>
      </c>
      <c r="AI273" s="95" t="s">
        <v>72</v>
      </c>
      <c r="AK273" s="95" t="s">
        <v>71</v>
      </c>
    </row>
    <row r="274" spans="1:37" x14ac:dyDescent="0.2">
      <c r="A274" s="95" t="s">
        <v>97</v>
      </c>
      <c r="B274" s="95" t="s">
        <v>66</v>
      </c>
      <c r="C274" s="95" t="s">
        <v>327</v>
      </c>
      <c r="F274" s="95">
        <v>4</v>
      </c>
      <c r="G274" s="95">
        <v>15.68</v>
      </c>
      <c r="I274" s="101">
        <v>5.9472672672672671</v>
      </c>
      <c r="R274" s="95" t="s">
        <v>332</v>
      </c>
      <c r="U274" s="95" t="s">
        <v>71</v>
      </c>
      <c r="V274" s="95" t="s">
        <v>71</v>
      </c>
      <c r="W274" s="95" t="s">
        <v>71</v>
      </c>
      <c r="X274" s="95" t="s">
        <v>72</v>
      </c>
      <c r="Y274" s="95" t="s">
        <v>71</v>
      </c>
      <c r="Z274" s="95" t="s">
        <v>71</v>
      </c>
      <c r="AA274" s="95" t="s">
        <v>71</v>
      </c>
      <c r="AB274" s="95" t="s">
        <v>71</v>
      </c>
      <c r="AC274" s="95" t="s">
        <v>71</v>
      </c>
      <c r="AD274" s="95" t="s">
        <v>71</v>
      </c>
      <c r="AE274" s="95" t="s">
        <v>71</v>
      </c>
      <c r="AF274" s="95" t="s">
        <v>71</v>
      </c>
      <c r="AG274" s="95" t="s">
        <v>72</v>
      </c>
      <c r="AH274" s="95" t="s">
        <v>72</v>
      </c>
      <c r="AI274" s="95" t="s">
        <v>72</v>
      </c>
      <c r="AK274" s="95" t="s">
        <v>71</v>
      </c>
    </row>
    <row r="275" spans="1:37" x14ac:dyDescent="0.2">
      <c r="A275" s="95" t="s">
        <v>97</v>
      </c>
      <c r="B275" s="95" t="s">
        <v>66</v>
      </c>
      <c r="C275" s="95" t="s">
        <v>327</v>
      </c>
      <c r="F275" s="95">
        <v>5</v>
      </c>
      <c r="G275" s="95">
        <v>19.600000000000001</v>
      </c>
      <c r="I275" s="101">
        <v>7.4340840840840841</v>
      </c>
      <c r="R275" s="95" t="s">
        <v>332</v>
      </c>
      <c r="U275" s="95" t="s">
        <v>71</v>
      </c>
      <c r="V275" s="95" t="s">
        <v>71</v>
      </c>
      <c r="W275" s="95" t="s">
        <v>71</v>
      </c>
      <c r="X275" s="95" t="s">
        <v>72</v>
      </c>
      <c r="Y275" s="95" t="s">
        <v>71</v>
      </c>
      <c r="Z275" s="95" t="s">
        <v>71</v>
      </c>
      <c r="AA275" s="95" t="s">
        <v>71</v>
      </c>
      <c r="AB275" s="95" t="s">
        <v>71</v>
      </c>
      <c r="AC275" s="95" t="s">
        <v>71</v>
      </c>
      <c r="AD275" s="95" t="s">
        <v>71</v>
      </c>
      <c r="AE275" s="95" t="s">
        <v>71</v>
      </c>
      <c r="AF275" s="95" t="s">
        <v>71</v>
      </c>
      <c r="AG275" s="95" t="s">
        <v>72</v>
      </c>
      <c r="AH275" s="95" t="s">
        <v>72</v>
      </c>
      <c r="AI275" s="95" t="s">
        <v>72</v>
      </c>
      <c r="AK275" s="95" t="s">
        <v>71</v>
      </c>
    </row>
    <row r="276" spans="1:37" x14ac:dyDescent="0.2">
      <c r="A276" s="95" t="s">
        <v>97</v>
      </c>
      <c r="B276" s="95" t="s">
        <v>66</v>
      </c>
      <c r="C276" s="95" t="s">
        <v>327</v>
      </c>
      <c r="F276" s="95">
        <v>5.5</v>
      </c>
      <c r="G276" s="95">
        <v>21.56</v>
      </c>
      <c r="I276" s="101">
        <v>8.1774924924924921</v>
      </c>
      <c r="R276" s="95" t="s">
        <v>332</v>
      </c>
      <c r="U276" s="95" t="s">
        <v>71</v>
      </c>
      <c r="V276" s="95" t="s">
        <v>71</v>
      </c>
      <c r="W276" s="95" t="s">
        <v>71</v>
      </c>
      <c r="X276" s="95" t="s">
        <v>72</v>
      </c>
      <c r="Y276" s="95" t="s">
        <v>71</v>
      </c>
      <c r="Z276" s="95" t="s">
        <v>71</v>
      </c>
      <c r="AA276" s="95" t="s">
        <v>71</v>
      </c>
      <c r="AB276" s="95" t="s">
        <v>71</v>
      </c>
      <c r="AC276" s="95" t="s">
        <v>71</v>
      </c>
      <c r="AD276" s="95" t="s">
        <v>71</v>
      </c>
      <c r="AE276" s="95" t="s">
        <v>71</v>
      </c>
      <c r="AF276" s="95" t="s">
        <v>71</v>
      </c>
      <c r="AG276" s="95" t="s">
        <v>72</v>
      </c>
      <c r="AH276" s="95" t="s">
        <v>72</v>
      </c>
      <c r="AI276" s="95" t="s">
        <v>72</v>
      </c>
      <c r="AK276" s="95" t="s">
        <v>71</v>
      </c>
    </row>
    <row r="277" spans="1:37" x14ac:dyDescent="0.2">
      <c r="A277" s="95" t="s">
        <v>97</v>
      </c>
      <c r="B277" s="95" t="s">
        <v>66</v>
      </c>
      <c r="C277" s="95" t="s">
        <v>327</v>
      </c>
      <c r="F277" s="95">
        <v>6</v>
      </c>
      <c r="G277" s="95">
        <v>23.52</v>
      </c>
      <c r="I277" s="101">
        <v>8.9209009009009002</v>
      </c>
      <c r="R277" s="95" t="s">
        <v>332</v>
      </c>
      <c r="U277" s="95" t="s">
        <v>71</v>
      </c>
      <c r="V277" s="95" t="s">
        <v>71</v>
      </c>
      <c r="W277" s="95" t="s">
        <v>71</v>
      </c>
      <c r="X277" s="95" t="s">
        <v>72</v>
      </c>
      <c r="Y277" s="95" t="s">
        <v>71</v>
      </c>
      <c r="Z277" s="95" t="s">
        <v>71</v>
      </c>
      <c r="AA277" s="95" t="s">
        <v>71</v>
      </c>
      <c r="AB277" s="95" t="s">
        <v>71</v>
      </c>
      <c r="AC277" s="95" t="s">
        <v>71</v>
      </c>
      <c r="AD277" s="95" t="s">
        <v>71</v>
      </c>
      <c r="AE277" s="95" t="s">
        <v>71</v>
      </c>
      <c r="AF277" s="95" t="s">
        <v>71</v>
      </c>
      <c r="AG277" s="95" t="s">
        <v>72</v>
      </c>
      <c r="AH277" s="95" t="s">
        <v>72</v>
      </c>
      <c r="AI277" s="95" t="s">
        <v>72</v>
      </c>
      <c r="AK277" s="95" t="s">
        <v>71</v>
      </c>
    </row>
    <row r="278" spans="1:37" x14ac:dyDescent="0.2">
      <c r="A278" s="95" t="s">
        <v>97</v>
      </c>
      <c r="B278" s="95" t="s">
        <v>66</v>
      </c>
      <c r="C278" s="95" t="s">
        <v>327</v>
      </c>
      <c r="F278" s="95">
        <v>1</v>
      </c>
      <c r="G278" s="95">
        <v>3.92</v>
      </c>
      <c r="I278" s="101">
        <v>1.0625651720542231</v>
      </c>
      <c r="R278" s="95" t="s">
        <v>333</v>
      </c>
      <c r="U278" s="95" t="s">
        <v>71</v>
      </c>
      <c r="V278" s="95" t="s">
        <v>71</v>
      </c>
      <c r="W278" s="95" t="s">
        <v>71</v>
      </c>
      <c r="X278" s="95" t="s">
        <v>72</v>
      </c>
      <c r="Y278" s="95" t="s">
        <v>71</v>
      </c>
      <c r="Z278" s="95" t="s">
        <v>71</v>
      </c>
      <c r="AA278" s="95" t="s">
        <v>71</v>
      </c>
      <c r="AB278" s="95" t="s">
        <v>71</v>
      </c>
      <c r="AC278" s="95" t="s">
        <v>71</v>
      </c>
      <c r="AD278" s="95" t="s">
        <v>71</v>
      </c>
      <c r="AE278" s="95" t="s">
        <v>71</v>
      </c>
      <c r="AF278" s="95" t="s">
        <v>71</v>
      </c>
      <c r="AG278" s="95" t="s">
        <v>72</v>
      </c>
      <c r="AH278" s="95" t="s">
        <v>72</v>
      </c>
      <c r="AI278" s="95" t="s">
        <v>72</v>
      </c>
      <c r="AK278" s="95" t="s">
        <v>71</v>
      </c>
    </row>
    <row r="279" spans="1:37" x14ac:dyDescent="0.2">
      <c r="A279" s="95" t="s">
        <v>97</v>
      </c>
      <c r="B279" s="95" t="s">
        <v>66</v>
      </c>
      <c r="C279" s="95" t="s">
        <v>327</v>
      </c>
      <c r="F279" s="95">
        <v>2</v>
      </c>
      <c r="G279" s="95">
        <v>7.84</v>
      </c>
      <c r="I279" s="101">
        <v>2.1251303441084461</v>
      </c>
      <c r="R279" s="95" t="s">
        <v>333</v>
      </c>
      <c r="U279" s="95" t="s">
        <v>71</v>
      </c>
      <c r="V279" s="95" t="s">
        <v>71</v>
      </c>
      <c r="W279" s="95" t="s">
        <v>71</v>
      </c>
      <c r="X279" s="95" t="s">
        <v>72</v>
      </c>
      <c r="Y279" s="95" t="s">
        <v>71</v>
      </c>
      <c r="Z279" s="95" t="s">
        <v>71</v>
      </c>
      <c r="AA279" s="95" t="s">
        <v>71</v>
      </c>
      <c r="AB279" s="95" t="s">
        <v>71</v>
      </c>
      <c r="AC279" s="95" t="s">
        <v>71</v>
      </c>
      <c r="AD279" s="95" t="s">
        <v>71</v>
      </c>
      <c r="AE279" s="95" t="s">
        <v>71</v>
      </c>
      <c r="AF279" s="95" t="s">
        <v>71</v>
      </c>
      <c r="AG279" s="95" t="s">
        <v>72</v>
      </c>
      <c r="AH279" s="95" t="s">
        <v>72</v>
      </c>
      <c r="AI279" s="95" t="s">
        <v>72</v>
      </c>
      <c r="AK279" s="95" t="s">
        <v>71</v>
      </c>
    </row>
    <row r="280" spans="1:37" x14ac:dyDescent="0.2">
      <c r="A280" s="95" t="s">
        <v>97</v>
      </c>
      <c r="B280" s="95" t="s">
        <v>66</v>
      </c>
      <c r="C280" s="95" t="s">
        <v>327</v>
      </c>
      <c r="F280" s="95">
        <v>3</v>
      </c>
      <c r="G280" s="95">
        <v>11.76</v>
      </c>
      <c r="I280" s="101">
        <v>3.1876955161626692</v>
      </c>
      <c r="R280" s="95" t="s">
        <v>333</v>
      </c>
      <c r="U280" s="95" t="s">
        <v>71</v>
      </c>
      <c r="V280" s="95" t="s">
        <v>71</v>
      </c>
      <c r="W280" s="95" t="s">
        <v>71</v>
      </c>
      <c r="X280" s="95" t="s">
        <v>72</v>
      </c>
      <c r="Y280" s="95" t="s">
        <v>71</v>
      </c>
      <c r="Z280" s="95" t="s">
        <v>71</v>
      </c>
      <c r="AA280" s="95" t="s">
        <v>71</v>
      </c>
      <c r="AB280" s="95" t="s">
        <v>71</v>
      </c>
      <c r="AC280" s="95" t="s">
        <v>71</v>
      </c>
      <c r="AD280" s="95" t="s">
        <v>71</v>
      </c>
      <c r="AE280" s="95" t="s">
        <v>71</v>
      </c>
      <c r="AF280" s="95" t="s">
        <v>71</v>
      </c>
      <c r="AG280" s="95" t="s">
        <v>72</v>
      </c>
      <c r="AH280" s="95" t="s">
        <v>72</v>
      </c>
      <c r="AI280" s="95" t="s">
        <v>72</v>
      </c>
      <c r="AK280" s="95" t="s">
        <v>71</v>
      </c>
    </row>
    <row r="281" spans="1:37" x14ac:dyDescent="0.2">
      <c r="A281" s="95" t="s">
        <v>97</v>
      </c>
      <c r="B281" s="95" t="s">
        <v>66</v>
      </c>
      <c r="C281" s="95" t="s">
        <v>327</v>
      </c>
      <c r="F281" s="95">
        <v>3.5</v>
      </c>
      <c r="G281" s="95">
        <v>13.719999999999999</v>
      </c>
      <c r="I281" s="101">
        <v>3.718978102189781</v>
      </c>
      <c r="R281" s="95" t="s">
        <v>333</v>
      </c>
      <c r="U281" s="95" t="s">
        <v>71</v>
      </c>
      <c r="V281" s="95" t="s">
        <v>71</v>
      </c>
      <c r="W281" s="95" t="s">
        <v>71</v>
      </c>
      <c r="X281" s="95" t="s">
        <v>72</v>
      </c>
      <c r="Y281" s="95" t="s">
        <v>71</v>
      </c>
      <c r="Z281" s="95" t="s">
        <v>71</v>
      </c>
      <c r="AA281" s="95" t="s">
        <v>71</v>
      </c>
      <c r="AB281" s="95" t="s">
        <v>71</v>
      </c>
      <c r="AC281" s="95" t="s">
        <v>71</v>
      </c>
      <c r="AD281" s="95" t="s">
        <v>71</v>
      </c>
      <c r="AE281" s="95" t="s">
        <v>71</v>
      </c>
      <c r="AF281" s="95" t="s">
        <v>71</v>
      </c>
      <c r="AG281" s="95" t="s">
        <v>72</v>
      </c>
      <c r="AH281" s="95" t="s">
        <v>72</v>
      </c>
      <c r="AI281" s="95" t="s">
        <v>72</v>
      </c>
      <c r="AK281" s="95" t="s">
        <v>71</v>
      </c>
    </row>
    <row r="282" spans="1:37" x14ac:dyDescent="0.2">
      <c r="A282" s="95" t="s">
        <v>97</v>
      </c>
      <c r="B282" s="95" t="s">
        <v>66</v>
      </c>
      <c r="C282" s="95" t="s">
        <v>327</v>
      </c>
      <c r="F282" s="95">
        <v>4</v>
      </c>
      <c r="G282" s="95">
        <v>15.68</v>
      </c>
      <c r="I282" s="101">
        <v>4.2502606882168923</v>
      </c>
      <c r="R282" s="95" t="s">
        <v>333</v>
      </c>
      <c r="U282" s="95" t="s">
        <v>71</v>
      </c>
      <c r="V282" s="95" t="s">
        <v>71</v>
      </c>
      <c r="W282" s="95" t="s">
        <v>71</v>
      </c>
      <c r="X282" s="95" t="s">
        <v>72</v>
      </c>
      <c r="Y282" s="95" t="s">
        <v>71</v>
      </c>
      <c r="Z282" s="95" t="s">
        <v>71</v>
      </c>
      <c r="AA282" s="95" t="s">
        <v>71</v>
      </c>
      <c r="AB282" s="95" t="s">
        <v>71</v>
      </c>
      <c r="AC282" s="95" t="s">
        <v>71</v>
      </c>
      <c r="AD282" s="95" t="s">
        <v>71</v>
      </c>
      <c r="AE282" s="95" t="s">
        <v>71</v>
      </c>
      <c r="AF282" s="95" t="s">
        <v>71</v>
      </c>
      <c r="AG282" s="95" t="s">
        <v>72</v>
      </c>
      <c r="AH282" s="95" t="s">
        <v>72</v>
      </c>
      <c r="AI282" s="95" t="s">
        <v>72</v>
      </c>
      <c r="AK282" s="95" t="s">
        <v>71</v>
      </c>
    </row>
    <row r="283" spans="1:37" x14ac:dyDescent="0.2">
      <c r="A283" s="95" t="s">
        <v>97</v>
      </c>
      <c r="B283" s="95" t="s">
        <v>66</v>
      </c>
      <c r="C283" s="95" t="s">
        <v>327</v>
      </c>
      <c r="F283" s="95">
        <v>5</v>
      </c>
      <c r="G283" s="95">
        <v>19.600000000000001</v>
      </c>
      <c r="I283" s="101">
        <v>5.3128258602711149</v>
      </c>
      <c r="R283" s="95" t="s">
        <v>333</v>
      </c>
      <c r="U283" s="95" t="s">
        <v>71</v>
      </c>
      <c r="V283" s="95" t="s">
        <v>71</v>
      </c>
      <c r="W283" s="95" t="s">
        <v>71</v>
      </c>
      <c r="X283" s="95" t="s">
        <v>72</v>
      </c>
      <c r="Y283" s="95" t="s">
        <v>71</v>
      </c>
      <c r="Z283" s="95" t="s">
        <v>71</v>
      </c>
      <c r="AA283" s="95" t="s">
        <v>71</v>
      </c>
      <c r="AB283" s="95" t="s">
        <v>71</v>
      </c>
      <c r="AC283" s="95" t="s">
        <v>71</v>
      </c>
      <c r="AD283" s="95" t="s">
        <v>71</v>
      </c>
      <c r="AE283" s="95" t="s">
        <v>71</v>
      </c>
      <c r="AF283" s="95" t="s">
        <v>71</v>
      </c>
      <c r="AG283" s="95" t="s">
        <v>72</v>
      </c>
      <c r="AH283" s="95" t="s">
        <v>72</v>
      </c>
      <c r="AI283" s="95" t="s">
        <v>72</v>
      </c>
      <c r="AK283" s="95" t="s">
        <v>71</v>
      </c>
    </row>
    <row r="284" spans="1:37" x14ac:dyDescent="0.2">
      <c r="A284" s="95" t="s">
        <v>97</v>
      </c>
      <c r="B284" s="95" t="s">
        <v>66</v>
      </c>
      <c r="C284" s="95" t="s">
        <v>327</v>
      </c>
      <c r="F284" s="95">
        <v>5.5</v>
      </c>
      <c r="G284" s="95">
        <v>21.56</v>
      </c>
      <c r="I284" s="101">
        <v>5.8441084462982271</v>
      </c>
      <c r="R284" s="95" t="s">
        <v>333</v>
      </c>
      <c r="U284" s="95" t="s">
        <v>71</v>
      </c>
      <c r="V284" s="95" t="s">
        <v>71</v>
      </c>
      <c r="W284" s="95" t="s">
        <v>71</v>
      </c>
      <c r="X284" s="95" t="s">
        <v>72</v>
      </c>
      <c r="Y284" s="95" t="s">
        <v>71</v>
      </c>
      <c r="Z284" s="95" t="s">
        <v>71</v>
      </c>
      <c r="AA284" s="95" t="s">
        <v>71</v>
      </c>
      <c r="AB284" s="95" t="s">
        <v>71</v>
      </c>
      <c r="AC284" s="95" t="s">
        <v>71</v>
      </c>
      <c r="AD284" s="95" t="s">
        <v>71</v>
      </c>
      <c r="AE284" s="95" t="s">
        <v>71</v>
      </c>
      <c r="AF284" s="95" t="s">
        <v>71</v>
      </c>
      <c r="AG284" s="95" t="s">
        <v>72</v>
      </c>
      <c r="AH284" s="95" t="s">
        <v>72</v>
      </c>
      <c r="AI284" s="95" t="s">
        <v>72</v>
      </c>
      <c r="AK284" s="95" t="s">
        <v>71</v>
      </c>
    </row>
    <row r="285" spans="1:37" x14ac:dyDescent="0.2">
      <c r="A285" s="95" t="s">
        <v>97</v>
      </c>
      <c r="B285" s="95" t="s">
        <v>66</v>
      </c>
      <c r="C285" s="95" t="s">
        <v>327</v>
      </c>
      <c r="F285" s="95">
        <v>6</v>
      </c>
      <c r="G285" s="95">
        <v>23.52</v>
      </c>
      <c r="I285" s="101">
        <v>6.3753910323253384</v>
      </c>
      <c r="R285" s="95" t="s">
        <v>333</v>
      </c>
      <c r="U285" s="95" t="s">
        <v>71</v>
      </c>
      <c r="V285" s="95" t="s">
        <v>71</v>
      </c>
      <c r="W285" s="95" t="s">
        <v>71</v>
      </c>
      <c r="X285" s="95" t="s">
        <v>72</v>
      </c>
      <c r="Y285" s="95" t="s">
        <v>71</v>
      </c>
      <c r="Z285" s="95" t="s">
        <v>71</v>
      </c>
      <c r="AA285" s="95" t="s">
        <v>71</v>
      </c>
      <c r="AB285" s="95" t="s">
        <v>71</v>
      </c>
      <c r="AC285" s="95" t="s">
        <v>71</v>
      </c>
      <c r="AD285" s="95" t="s">
        <v>71</v>
      </c>
      <c r="AE285" s="95" t="s">
        <v>71</v>
      </c>
      <c r="AF285" s="95" t="s">
        <v>71</v>
      </c>
      <c r="AG285" s="95" t="s">
        <v>72</v>
      </c>
      <c r="AH285" s="95" t="s">
        <v>72</v>
      </c>
      <c r="AI285" s="95" t="s">
        <v>72</v>
      </c>
      <c r="AK285" s="95" t="s">
        <v>71</v>
      </c>
    </row>
    <row r="286" spans="1:37" x14ac:dyDescent="0.2">
      <c r="A286" s="95" t="s">
        <v>97</v>
      </c>
      <c r="B286" s="95" t="s">
        <v>66</v>
      </c>
      <c r="C286" s="95" t="s">
        <v>327</v>
      </c>
      <c r="F286" s="95">
        <v>1</v>
      </c>
      <c r="G286" s="95">
        <v>3.92</v>
      </c>
      <c r="I286" s="101">
        <v>1.2989999999999999</v>
      </c>
      <c r="R286" s="95" t="s">
        <v>334</v>
      </c>
      <c r="U286" s="95" t="s">
        <v>71</v>
      </c>
      <c r="V286" s="95" t="s">
        <v>71</v>
      </c>
      <c r="W286" s="95" t="s">
        <v>71</v>
      </c>
      <c r="X286" s="95" t="s">
        <v>72</v>
      </c>
      <c r="Y286" s="95" t="s">
        <v>71</v>
      </c>
      <c r="Z286" s="95" t="s">
        <v>71</v>
      </c>
      <c r="AA286" s="95" t="s">
        <v>71</v>
      </c>
      <c r="AB286" s="95" t="s">
        <v>71</v>
      </c>
      <c r="AC286" s="95" t="s">
        <v>71</v>
      </c>
      <c r="AD286" s="95" t="s">
        <v>71</v>
      </c>
      <c r="AE286" s="95" t="s">
        <v>71</v>
      </c>
      <c r="AF286" s="95" t="s">
        <v>71</v>
      </c>
      <c r="AG286" s="95" t="s">
        <v>72</v>
      </c>
      <c r="AH286" s="95" t="s">
        <v>72</v>
      </c>
      <c r="AI286" s="95" t="s">
        <v>72</v>
      </c>
      <c r="AK286" s="95" t="s">
        <v>71</v>
      </c>
    </row>
    <row r="287" spans="1:37" x14ac:dyDescent="0.2">
      <c r="A287" s="95" t="s">
        <v>97</v>
      </c>
      <c r="B287" s="95" t="s">
        <v>66</v>
      </c>
      <c r="C287" s="95" t="s">
        <v>327</v>
      </c>
      <c r="F287" s="95">
        <v>2</v>
      </c>
      <c r="G287" s="95">
        <v>7.84</v>
      </c>
      <c r="I287" s="101">
        <v>2.5979999999999999</v>
      </c>
      <c r="R287" s="95" t="s">
        <v>334</v>
      </c>
      <c r="U287" s="95" t="s">
        <v>71</v>
      </c>
      <c r="V287" s="95" t="s">
        <v>71</v>
      </c>
      <c r="W287" s="95" t="s">
        <v>71</v>
      </c>
      <c r="X287" s="95" t="s">
        <v>72</v>
      </c>
      <c r="Y287" s="95" t="s">
        <v>71</v>
      </c>
      <c r="Z287" s="95" t="s">
        <v>71</v>
      </c>
      <c r="AA287" s="95" t="s">
        <v>71</v>
      </c>
      <c r="AB287" s="95" t="s">
        <v>71</v>
      </c>
      <c r="AC287" s="95" t="s">
        <v>71</v>
      </c>
      <c r="AD287" s="95" t="s">
        <v>71</v>
      </c>
      <c r="AE287" s="95" t="s">
        <v>71</v>
      </c>
      <c r="AF287" s="95" t="s">
        <v>71</v>
      </c>
      <c r="AG287" s="95" t="s">
        <v>72</v>
      </c>
      <c r="AH287" s="95" t="s">
        <v>72</v>
      </c>
      <c r="AI287" s="95" t="s">
        <v>72</v>
      </c>
      <c r="AK287" s="95" t="s">
        <v>71</v>
      </c>
    </row>
    <row r="288" spans="1:37" x14ac:dyDescent="0.2">
      <c r="A288" s="95" t="s">
        <v>97</v>
      </c>
      <c r="B288" s="95" t="s">
        <v>66</v>
      </c>
      <c r="C288" s="95" t="s">
        <v>327</v>
      </c>
      <c r="F288" s="95">
        <v>3</v>
      </c>
      <c r="G288" s="95">
        <v>11.76</v>
      </c>
      <c r="I288" s="101">
        <v>3.8969999999999998</v>
      </c>
      <c r="R288" s="95" t="s">
        <v>334</v>
      </c>
      <c r="U288" s="95" t="s">
        <v>71</v>
      </c>
      <c r="V288" s="95" t="s">
        <v>71</v>
      </c>
      <c r="W288" s="95" t="s">
        <v>71</v>
      </c>
      <c r="X288" s="95" t="s">
        <v>72</v>
      </c>
      <c r="Y288" s="95" t="s">
        <v>71</v>
      </c>
      <c r="Z288" s="95" t="s">
        <v>71</v>
      </c>
      <c r="AA288" s="95" t="s">
        <v>71</v>
      </c>
      <c r="AB288" s="95" t="s">
        <v>71</v>
      </c>
      <c r="AC288" s="95" t="s">
        <v>71</v>
      </c>
      <c r="AD288" s="95" t="s">
        <v>71</v>
      </c>
      <c r="AE288" s="95" t="s">
        <v>71</v>
      </c>
      <c r="AF288" s="95" t="s">
        <v>71</v>
      </c>
      <c r="AG288" s="95" t="s">
        <v>72</v>
      </c>
      <c r="AH288" s="95" t="s">
        <v>72</v>
      </c>
      <c r="AI288" s="95" t="s">
        <v>72</v>
      </c>
      <c r="AK288" s="95" t="s">
        <v>71</v>
      </c>
    </row>
    <row r="289" spans="1:37" x14ac:dyDescent="0.2">
      <c r="A289" s="95" t="s">
        <v>97</v>
      </c>
      <c r="B289" s="95" t="s">
        <v>66</v>
      </c>
      <c r="C289" s="95" t="s">
        <v>327</v>
      </c>
      <c r="F289" s="95">
        <v>3.5</v>
      </c>
      <c r="G289" s="95">
        <v>13.719999999999999</v>
      </c>
      <c r="I289" s="101">
        <v>4.5465</v>
      </c>
      <c r="R289" s="95" t="s">
        <v>334</v>
      </c>
      <c r="U289" s="95" t="s">
        <v>71</v>
      </c>
      <c r="V289" s="95" t="s">
        <v>71</v>
      </c>
      <c r="W289" s="95" t="s">
        <v>71</v>
      </c>
      <c r="X289" s="95" t="s">
        <v>72</v>
      </c>
      <c r="Y289" s="95" t="s">
        <v>71</v>
      </c>
      <c r="Z289" s="95" t="s">
        <v>71</v>
      </c>
      <c r="AA289" s="95" t="s">
        <v>71</v>
      </c>
      <c r="AB289" s="95" t="s">
        <v>71</v>
      </c>
      <c r="AC289" s="95" t="s">
        <v>71</v>
      </c>
      <c r="AD289" s="95" t="s">
        <v>71</v>
      </c>
      <c r="AE289" s="95" t="s">
        <v>71</v>
      </c>
      <c r="AF289" s="95" t="s">
        <v>71</v>
      </c>
      <c r="AG289" s="95" t="s">
        <v>72</v>
      </c>
      <c r="AH289" s="95" t="s">
        <v>72</v>
      </c>
      <c r="AI289" s="95" t="s">
        <v>72</v>
      </c>
      <c r="AK289" s="95" t="s">
        <v>71</v>
      </c>
    </row>
    <row r="290" spans="1:37" x14ac:dyDescent="0.2">
      <c r="A290" s="95" t="s">
        <v>97</v>
      </c>
      <c r="B290" s="95" t="s">
        <v>66</v>
      </c>
      <c r="C290" s="95" t="s">
        <v>327</v>
      </c>
      <c r="F290" s="95">
        <v>4</v>
      </c>
      <c r="G290" s="95">
        <v>15.68</v>
      </c>
      <c r="I290" s="101">
        <v>5.1959999999999997</v>
      </c>
      <c r="R290" s="95" t="s">
        <v>334</v>
      </c>
      <c r="U290" s="95" t="s">
        <v>71</v>
      </c>
      <c r="V290" s="95" t="s">
        <v>71</v>
      </c>
      <c r="W290" s="95" t="s">
        <v>71</v>
      </c>
      <c r="X290" s="95" t="s">
        <v>72</v>
      </c>
      <c r="Y290" s="95" t="s">
        <v>71</v>
      </c>
      <c r="Z290" s="95" t="s">
        <v>71</v>
      </c>
      <c r="AA290" s="95" t="s">
        <v>71</v>
      </c>
      <c r="AB290" s="95" t="s">
        <v>71</v>
      </c>
      <c r="AC290" s="95" t="s">
        <v>71</v>
      </c>
      <c r="AD290" s="95" t="s">
        <v>71</v>
      </c>
      <c r="AE290" s="95" t="s">
        <v>71</v>
      </c>
      <c r="AF290" s="95" t="s">
        <v>71</v>
      </c>
      <c r="AG290" s="95" t="s">
        <v>72</v>
      </c>
      <c r="AH290" s="95" t="s">
        <v>72</v>
      </c>
      <c r="AI290" s="95" t="s">
        <v>72</v>
      </c>
      <c r="AK290" s="95" t="s">
        <v>71</v>
      </c>
    </row>
    <row r="291" spans="1:37" x14ac:dyDescent="0.2">
      <c r="A291" s="95" t="s">
        <v>97</v>
      </c>
      <c r="B291" s="95" t="s">
        <v>66</v>
      </c>
      <c r="C291" s="95" t="s">
        <v>327</v>
      </c>
      <c r="F291" s="95">
        <v>5</v>
      </c>
      <c r="G291" s="95">
        <v>19.600000000000001</v>
      </c>
      <c r="I291" s="101">
        <v>6.4949999999999992</v>
      </c>
      <c r="R291" s="95" t="s">
        <v>334</v>
      </c>
      <c r="U291" s="95" t="s">
        <v>71</v>
      </c>
      <c r="V291" s="95" t="s">
        <v>71</v>
      </c>
      <c r="W291" s="95" t="s">
        <v>71</v>
      </c>
      <c r="X291" s="95" t="s">
        <v>72</v>
      </c>
      <c r="Y291" s="95" t="s">
        <v>71</v>
      </c>
      <c r="Z291" s="95" t="s">
        <v>71</v>
      </c>
      <c r="AA291" s="95" t="s">
        <v>71</v>
      </c>
      <c r="AB291" s="95" t="s">
        <v>71</v>
      </c>
      <c r="AC291" s="95" t="s">
        <v>71</v>
      </c>
      <c r="AD291" s="95" t="s">
        <v>71</v>
      </c>
      <c r="AE291" s="95" t="s">
        <v>71</v>
      </c>
      <c r="AF291" s="95" t="s">
        <v>71</v>
      </c>
      <c r="AG291" s="95" t="s">
        <v>72</v>
      </c>
      <c r="AH291" s="95" t="s">
        <v>72</v>
      </c>
      <c r="AI291" s="95" t="s">
        <v>72</v>
      </c>
      <c r="AK291" s="95" t="s">
        <v>71</v>
      </c>
    </row>
    <row r="292" spans="1:37" x14ac:dyDescent="0.2">
      <c r="A292" s="95" t="s">
        <v>97</v>
      </c>
      <c r="B292" s="95" t="s">
        <v>66</v>
      </c>
      <c r="C292" s="95" t="s">
        <v>327</v>
      </c>
      <c r="F292" s="95">
        <v>5.5</v>
      </c>
      <c r="G292" s="95">
        <v>21.56</v>
      </c>
      <c r="I292" s="101">
        <v>7.1444999999999999</v>
      </c>
      <c r="R292" s="95" t="s">
        <v>334</v>
      </c>
      <c r="U292" s="95" t="s">
        <v>71</v>
      </c>
      <c r="V292" s="95" t="s">
        <v>71</v>
      </c>
      <c r="W292" s="95" t="s">
        <v>71</v>
      </c>
      <c r="X292" s="95" t="s">
        <v>72</v>
      </c>
      <c r="Y292" s="95" t="s">
        <v>71</v>
      </c>
      <c r="Z292" s="95" t="s">
        <v>71</v>
      </c>
      <c r="AA292" s="95" t="s">
        <v>71</v>
      </c>
      <c r="AB292" s="95" t="s">
        <v>71</v>
      </c>
      <c r="AC292" s="95" t="s">
        <v>71</v>
      </c>
      <c r="AD292" s="95" t="s">
        <v>71</v>
      </c>
      <c r="AE292" s="95" t="s">
        <v>71</v>
      </c>
      <c r="AF292" s="95" t="s">
        <v>71</v>
      </c>
      <c r="AG292" s="95" t="s">
        <v>72</v>
      </c>
      <c r="AH292" s="95" t="s">
        <v>72</v>
      </c>
      <c r="AI292" s="95" t="s">
        <v>72</v>
      </c>
      <c r="AK292" s="95" t="s">
        <v>71</v>
      </c>
    </row>
    <row r="293" spans="1:37" x14ac:dyDescent="0.2">
      <c r="A293" s="95" t="s">
        <v>97</v>
      </c>
      <c r="B293" s="95" t="s">
        <v>66</v>
      </c>
      <c r="C293" s="95" t="s">
        <v>327</v>
      </c>
      <c r="F293" s="95">
        <v>6</v>
      </c>
      <c r="G293" s="95">
        <v>23.52</v>
      </c>
      <c r="I293" s="101">
        <v>7.7939999999999996</v>
      </c>
      <c r="R293" s="95" t="s">
        <v>334</v>
      </c>
      <c r="U293" s="95" t="s">
        <v>71</v>
      </c>
      <c r="V293" s="95" t="s">
        <v>71</v>
      </c>
      <c r="W293" s="95" t="s">
        <v>71</v>
      </c>
      <c r="X293" s="95" t="s">
        <v>72</v>
      </c>
      <c r="Y293" s="95" t="s">
        <v>71</v>
      </c>
      <c r="Z293" s="95" t="s">
        <v>71</v>
      </c>
      <c r="AA293" s="95" t="s">
        <v>71</v>
      </c>
      <c r="AB293" s="95" t="s">
        <v>71</v>
      </c>
      <c r="AC293" s="95" t="s">
        <v>71</v>
      </c>
      <c r="AD293" s="95" t="s">
        <v>71</v>
      </c>
      <c r="AE293" s="95" t="s">
        <v>71</v>
      </c>
      <c r="AF293" s="95" t="s">
        <v>71</v>
      </c>
      <c r="AG293" s="95" t="s">
        <v>72</v>
      </c>
      <c r="AH293" s="95" t="s">
        <v>72</v>
      </c>
      <c r="AI293" s="95" t="s">
        <v>72</v>
      </c>
      <c r="AK293" s="95" t="s">
        <v>71</v>
      </c>
    </row>
    <row r="294" spans="1:37" x14ac:dyDescent="0.2">
      <c r="A294" s="95" t="s">
        <v>97</v>
      </c>
      <c r="B294" s="95" t="s">
        <v>66</v>
      </c>
      <c r="C294" s="95" t="s">
        <v>327</v>
      </c>
      <c r="F294" s="95">
        <v>1</v>
      </c>
      <c r="G294" s="95">
        <v>4.3</v>
      </c>
      <c r="I294" s="101">
        <v>0.64736296296296303</v>
      </c>
      <c r="R294" s="95" t="s">
        <v>335</v>
      </c>
      <c r="U294" s="95" t="s">
        <v>71</v>
      </c>
      <c r="V294" s="95" t="s">
        <v>71</v>
      </c>
      <c r="W294" s="95" t="s">
        <v>71</v>
      </c>
      <c r="X294" s="95" t="s">
        <v>72</v>
      </c>
      <c r="Y294" s="95" t="s">
        <v>71</v>
      </c>
      <c r="Z294" s="95" t="s">
        <v>71</v>
      </c>
      <c r="AA294" s="95" t="s">
        <v>71</v>
      </c>
      <c r="AB294" s="95" t="s">
        <v>71</v>
      </c>
      <c r="AC294" s="95" t="s">
        <v>71</v>
      </c>
      <c r="AD294" s="95" t="s">
        <v>71</v>
      </c>
      <c r="AE294" s="95" t="s">
        <v>71</v>
      </c>
      <c r="AF294" s="95" t="s">
        <v>71</v>
      </c>
      <c r="AG294" s="95" t="s">
        <v>72</v>
      </c>
      <c r="AH294" s="95" t="s">
        <v>72</v>
      </c>
      <c r="AI294" s="95" t="s">
        <v>72</v>
      </c>
      <c r="AK294" s="95" t="s">
        <v>71</v>
      </c>
    </row>
    <row r="295" spans="1:37" x14ac:dyDescent="0.2">
      <c r="A295" s="95" t="s">
        <v>97</v>
      </c>
      <c r="B295" s="95" t="s">
        <v>66</v>
      </c>
      <c r="C295" s="95" t="s">
        <v>327</v>
      </c>
      <c r="F295" s="95">
        <v>2</v>
      </c>
      <c r="G295" s="95">
        <v>8.6</v>
      </c>
      <c r="I295" s="101">
        <v>1.2947259259259261</v>
      </c>
      <c r="R295" s="95" t="s">
        <v>335</v>
      </c>
      <c r="U295" s="95" t="s">
        <v>71</v>
      </c>
      <c r="V295" s="95" t="s">
        <v>71</v>
      </c>
      <c r="W295" s="95" t="s">
        <v>71</v>
      </c>
      <c r="X295" s="95" t="s">
        <v>72</v>
      </c>
      <c r="Y295" s="95" t="s">
        <v>71</v>
      </c>
      <c r="Z295" s="95" t="s">
        <v>71</v>
      </c>
      <c r="AA295" s="95" t="s">
        <v>71</v>
      </c>
      <c r="AB295" s="95" t="s">
        <v>71</v>
      </c>
      <c r="AC295" s="95" t="s">
        <v>71</v>
      </c>
      <c r="AD295" s="95" t="s">
        <v>71</v>
      </c>
      <c r="AE295" s="95" t="s">
        <v>71</v>
      </c>
      <c r="AF295" s="95" t="s">
        <v>71</v>
      </c>
      <c r="AG295" s="95" t="s">
        <v>72</v>
      </c>
      <c r="AH295" s="95" t="s">
        <v>72</v>
      </c>
      <c r="AI295" s="95" t="s">
        <v>72</v>
      </c>
      <c r="AK295" s="95" t="s">
        <v>71</v>
      </c>
    </row>
    <row r="296" spans="1:37" x14ac:dyDescent="0.2">
      <c r="A296" s="95" t="s">
        <v>97</v>
      </c>
      <c r="B296" s="95" t="s">
        <v>66</v>
      </c>
      <c r="C296" s="95" t="s">
        <v>327</v>
      </c>
      <c r="F296" s="95">
        <v>3</v>
      </c>
      <c r="G296" s="95">
        <v>12.899999999999999</v>
      </c>
      <c r="I296" s="101">
        <v>1.9420888888888892</v>
      </c>
      <c r="R296" s="95" t="s">
        <v>335</v>
      </c>
      <c r="U296" s="95" t="s">
        <v>71</v>
      </c>
      <c r="V296" s="95" t="s">
        <v>71</v>
      </c>
      <c r="W296" s="95" t="s">
        <v>71</v>
      </c>
      <c r="X296" s="95" t="s">
        <v>72</v>
      </c>
      <c r="Y296" s="95" t="s">
        <v>71</v>
      </c>
      <c r="Z296" s="95" t="s">
        <v>71</v>
      </c>
      <c r="AA296" s="95" t="s">
        <v>71</v>
      </c>
      <c r="AB296" s="95" t="s">
        <v>71</v>
      </c>
      <c r="AC296" s="95" t="s">
        <v>71</v>
      </c>
      <c r="AD296" s="95" t="s">
        <v>71</v>
      </c>
      <c r="AE296" s="95" t="s">
        <v>71</v>
      </c>
      <c r="AF296" s="95" t="s">
        <v>71</v>
      </c>
      <c r="AG296" s="95" t="s">
        <v>72</v>
      </c>
      <c r="AH296" s="95" t="s">
        <v>72</v>
      </c>
      <c r="AI296" s="95" t="s">
        <v>72</v>
      </c>
      <c r="AK296" s="95" t="s">
        <v>71</v>
      </c>
    </row>
    <row r="297" spans="1:37" x14ac:dyDescent="0.2">
      <c r="A297" s="95" t="s">
        <v>97</v>
      </c>
      <c r="B297" s="95" t="s">
        <v>66</v>
      </c>
      <c r="C297" s="95" t="s">
        <v>327</v>
      </c>
      <c r="F297" s="95">
        <v>3.5</v>
      </c>
      <c r="G297" s="95">
        <v>15.049999999999999</v>
      </c>
      <c r="I297" s="101">
        <v>2.2657703703703707</v>
      </c>
      <c r="R297" s="95" t="s">
        <v>335</v>
      </c>
      <c r="U297" s="95" t="s">
        <v>71</v>
      </c>
      <c r="V297" s="95" t="s">
        <v>71</v>
      </c>
      <c r="W297" s="95" t="s">
        <v>71</v>
      </c>
      <c r="X297" s="95" t="s">
        <v>72</v>
      </c>
      <c r="Y297" s="95" t="s">
        <v>71</v>
      </c>
      <c r="Z297" s="95" t="s">
        <v>71</v>
      </c>
      <c r="AA297" s="95" t="s">
        <v>71</v>
      </c>
      <c r="AB297" s="95" t="s">
        <v>71</v>
      </c>
      <c r="AC297" s="95" t="s">
        <v>71</v>
      </c>
      <c r="AD297" s="95" t="s">
        <v>71</v>
      </c>
      <c r="AE297" s="95" t="s">
        <v>71</v>
      </c>
      <c r="AF297" s="95" t="s">
        <v>71</v>
      </c>
      <c r="AG297" s="95" t="s">
        <v>72</v>
      </c>
      <c r="AH297" s="95" t="s">
        <v>72</v>
      </c>
      <c r="AI297" s="95" t="s">
        <v>72</v>
      </c>
      <c r="AK297" s="95" t="s">
        <v>71</v>
      </c>
    </row>
    <row r="298" spans="1:37" x14ac:dyDescent="0.2">
      <c r="A298" s="95" t="s">
        <v>97</v>
      </c>
      <c r="B298" s="95" t="s">
        <v>66</v>
      </c>
      <c r="C298" s="95" t="s">
        <v>327</v>
      </c>
      <c r="F298" s="95">
        <v>4</v>
      </c>
      <c r="G298" s="95">
        <v>17.2</v>
      </c>
      <c r="I298" s="101">
        <v>2.5894518518518521</v>
      </c>
      <c r="R298" s="95" t="s">
        <v>335</v>
      </c>
      <c r="U298" s="95" t="s">
        <v>71</v>
      </c>
      <c r="V298" s="95" t="s">
        <v>71</v>
      </c>
      <c r="W298" s="95" t="s">
        <v>71</v>
      </c>
      <c r="X298" s="95" t="s">
        <v>72</v>
      </c>
      <c r="Y298" s="95" t="s">
        <v>71</v>
      </c>
      <c r="Z298" s="95" t="s">
        <v>71</v>
      </c>
      <c r="AA298" s="95" t="s">
        <v>71</v>
      </c>
      <c r="AB298" s="95" t="s">
        <v>71</v>
      </c>
      <c r="AC298" s="95" t="s">
        <v>71</v>
      </c>
      <c r="AD298" s="95" t="s">
        <v>71</v>
      </c>
      <c r="AE298" s="95" t="s">
        <v>71</v>
      </c>
      <c r="AF298" s="95" t="s">
        <v>71</v>
      </c>
      <c r="AG298" s="95" t="s">
        <v>72</v>
      </c>
      <c r="AH298" s="95" t="s">
        <v>72</v>
      </c>
      <c r="AI298" s="95" t="s">
        <v>72</v>
      </c>
      <c r="AK298" s="95" t="s">
        <v>71</v>
      </c>
    </row>
    <row r="299" spans="1:37" x14ac:dyDescent="0.2">
      <c r="A299" s="95" t="s">
        <v>97</v>
      </c>
      <c r="B299" s="95" t="s">
        <v>66</v>
      </c>
      <c r="C299" s="95" t="s">
        <v>327</v>
      </c>
      <c r="F299" s="95">
        <v>5</v>
      </c>
      <c r="G299" s="95">
        <v>21.5</v>
      </c>
      <c r="I299" s="101">
        <v>3.236814814814815</v>
      </c>
      <c r="R299" s="95" t="s">
        <v>335</v>
      </c>
      <c r="U299" s="95" t="s">
        <v>71</v>
      </c>
      <c r="V299" s="95" t="s">
        <v>71</v>
      </c>
      <c r="W299" s="95" t="s">
        <v>71</v>
      </c>
      <c r="X299" s="95" t="s">
        <v>72</v>
      </c>
      <c r="Y299" s="95" t="s">
        <v>71</v>
      </c>
      <c r="Z299" s="95" t="s">
        <v>71</v>
      </c>
      <c r="AA299" s="95" t="s">
        <v>71</v>
      </c>
      <c r="AB299" s="95" t="s">
        <v>71</v>
      </c>
      <c r="AC299" s="95" t="s">
        <v>71</v>
      </c>
      <c r="AD299" s="95" t="s">
        <v>71</v>
      </c>
      <c r="AE299" s="95" t="s">
        <v>71</v>
      </c>
      <c r="AF299" s="95" t="s">
        <v>71</v>
      </c>
      <c r="AG299" s="95" t="s">
        <v>72</v>
      </c>
      <c r="AH299" s="95" t="s">
        <v>72</v>
      </c>
      <c r="AI299" s="95" t="s">
        <v>72</v>
      </c>
      <c r="AK299" s="95" t="s">
        <v>71</v>
      </c>
    </row>
    <row r="300" spans="1:37" x14ac:dyDescent="0.2">
      <c r="A300" s="95" t="s">
        <v>97</v>
      </c>
      <c r="B300" s="95" t="s">
        <v>66</v>
      </c>
      <c r="C300" s="95" t="s">
        <v>327</v>
      </c>
      <c r="F300" s="95">
        <v>5.5</v>
      </c>
      <c r="G300" s="95">
        <v>23.65</v>
      </c>
      <c r="I300" s="101">
        <v>3.5604962962962965</v>
      </c>
      <c r="R300" s="95" t="s">
        <v>335</v>
      </c>
      <c r="U300" s="95" t="s">
        <v>71</v>
      </c>
      <c r="V300" s="95" t="s">
        <v>71</v>
      </c>
      <c r="W300" s="95" t="s">
        <v>71</v>
      </c>
      <c r="X300" s="95" t="s">
        <v>72</v>
      </c>
      <c r="Y300" s="95" t="s">
        <v>71</v>
      </c>
      <c r="Z300" s="95" t="s">
        <v>71</v>
      </c>
      <c r="AA300" s="95" t="s">
        <v>71</v>
      </c>
      <c r="AB300" s="95" t="s">
        <v>71</v>
      </c>
      <c r="AC300" s="95" t="s">
        <v>71</v>
      </c>
      <c r="AD300" s="95" t="s">
        <v>71</v>
      </c>
      <c r="AE300" s="95" t="s">
        <v>71</v>
      </c>
      <c r="AF300" s="95" t="s">
        <v>71</v>
      </c>
      <c r="AG300" s="95" t="s">
        <v>72</v>
      </c>
      <c r="AH300" s="95" t="s">
        <v>72</v>
      </c>
      <c r="AI300" s="95" t="s">
        <v>72</v>
      </c>
      <c r="AK300" s="95" t="s">
        <v>71</v>
      </c>
    </row>
    <row r="301" spans="1:37" x14ac:dyDescent="0.2">
      <c r="A301" s="95" t="s">
        <v>97</v>
      </c>
      <c r="B301" s="95" t="s">
        <v>66</v>
      </c>
      <c r="C301" s="95" t="s">
        <v>327</v>
      </c>
      <c r="F301" s="95">
        <v>6</v>
      </c>
      <c r="G301" s="95">
        <v>25.799999999999997</v>
      </c>
      <c r="I301" s="101">
        <v>3.8841777777777784</v>
      </c>
      <c r="R301" s="95" t="s">
        <v>335</v>
      </c>
      <c r="U301" s="95" t="s">
        <v>71</v>
      </c>
      <c r="V301" s="95" t="s">
        <v>71</v>
      </c>
      <c r="W301" s="95" t="s">
        <v>71</v>
      </c>
      <c r="X301" s="95" t="s">
        <v>72</v>
      </c>
      <c r="Y301" s="95" t="s">
        <v>71</v>
      </c>
      <c r="Z301" s="95" t="s">
        <v>71</v>
      </c>
      <c r="AA301" s="95" t="s">
        <v>71</v>
      </c>
      <c r="AB301" s="95" t="s">
        <v>71</v>
      </c>
      <c r="AC301" s="95" t="s">
        <v>71</v>
      </c>
      <c r="AD301" s="95" t="s">
        <v>71</v>
      </c>
      <c r="AE301" s="95" t="s">
        <v>71</v>
      </c>
      <c r="AF301" s="95" t="s">
        <v>71</v>
      </c>
      <c r="AG301" s="95" t="s">
        <v>72</v>
      </c>
      <c r="AH301" s="95" t="s">
        <v>72</v>
      </c>
      <c r="AI301" s="95" t="s">
        <v>72</v>
      </c>
      <c r="AK301" s="95" t="s">
        <v>71</v>
      </c>
    </row>
    <row r="302" spans="1:37" x14ac:dyDescent="0.2">
      <c r="A302" s="95" t="s">
        <v>97</v>
      </c>
      <c r="B302" s="95" t="s">
        <v>66</v>
      </c>
      <c r="C302" s="95" t="s">
        <v>327</v>
      </c>
      <c r="F302" s="95">
        <v>1</v>
      </c>
      <c r="G302" s="95">
        <v>3.7</v>
      </c>
      <c r="I302" s="101">
        <v>0.79185185185185181</v>
      </c>
      <c r="R302" s="95" t="s">
        <v>336</v>
      </c>
      <c r="U302" s="95" t="s">
        <v>71</v>
      </c>
      <c r="V302" s="95" t="s">
        <v>71</v>
      </c>
      <c r="W302" s="95" t="s">
        <v>71</v>
      </c>
      <c r="X302" s="95" t="s">
        <v>72</v>
      </c>
      <c r="Y302" s="95" t="s">
        <v>71</v>
      </c>
      <c r="Z302" s="95" t="s">
        <v>71</v>
      </c>
      <c r="AA302" s="95" t="s">
        <v>71</v>
      </c>
      <c r="AB302" s="95" t="s">
        <v>71</v>
      </c>
      <c r="AC302" s="95" t="s">
        <v>71</v>
      </c>
      <c r="AD302" s="95" t="s">
        <v>71</v>
      </c>
      <c r="AE302" s="95" t="s">
        <v>71</v>
      </c>
      <c r="AF302" s="95" t="s">
        <v>71</v>
      </c>
      <c r="AG302" s="95" t="s">
        <v>72</v>
      </c>
      <c r="AH302" s="95" t="s">
        <v>72</v>
      </c>
      <c r="AI302" s="95" t="s">
        <v>72</v>
      </c>
      <c r="AK302" s="95" t="s">
        <v>71</v>
      </c>
    </row>
    <row r="303" spans="1:37" x14ac:dyDescent="0.2">
      <c r="A303" s="95" t="s">
        <v>97</v>
      </c>
      <c r="B303" s="95" t="s">
        <v>66</v>
      </c>
      <c r="C303" s="95" t="s">
        <v>327</v>
      </c>
      <c r="F303" s="95">
        <v>2</v>
      </c>
      <c r="G303" s="95">
        <v>7.4</v>
      </c>
      <c r="I303" s="101">
        <v>1.5837037037037036</v>
      </c>
      <c r="R303" s="95" t="s">
        <v>336</v>
      </c>
      <c r="U303" s="95" t="s">
        <v>71</v>
      </c>
      <c r="V303" s="95" t="s">
        <v>71</v>
      </c>
      <c r="W303" s="95" t="s">
        <v>71</v>
      </c>
      <c r="X303" s="95" t="s">
        <v>72</v>
      </c>
      <c r="Y303" s="95" t="s">
        <v>71</v>
      </c>
      <c r="Z303" s="95" t="s">
        <v>71</v>
      </c>
      <c r="AA303" s="95" t="s">
        <v>71</v>
      </c>
      <c r="AB303" s="95" t="s">
        <v>71</v>
      </c>
      <c r="AC303" s="95" t="s">
        <v>71</v>
      </c>
      <c r="AD303" s="95" t="s">
        <v>71</v>
      </c>
      <c r="AE303" s="95" t="s">
        <v>71</v>
      </c>
      <c r="AF303" s="95" t="s">
        <v>71</v>
      </c>
      <c r="AG303" s="95" t="s">
        <v>72</v>
      </c>
      <c r="AH303" s="95" t="s">
        <v>72</v>
      </c>
      <c r="AI303" s="95" t="s">
        <v>72</v>
      </c>
      <c r="AK303" s="95" t="s">
        <v>71</v>
      </c>
    </row>
    <row r="304" spans="1:37" x14ac:dyDescent="0.2">
      <c r="A304" s="95" t="s">
        <v>97</v>
      </c>
      <c r="B304" s="95" t="s">
        <v>66</v>
      </c>
      <c r="C304" s="95" t="s">
        <v>327</v>
      </c>
      <c r="F304" s="95">
        <v>3</v>
      </c>
      <c r="G304" s="95">
        <v>11.100000000000001</v>
      </c>
      <c r="I304" s="101">
        <v>2.3755555555555556</v>
      </c>
      <c r="R304" s="95" t="s">
        <v>336</v>
      </c>
      <c r="U304" s="95" t="s">
        <v>71</v>
      </c>
      <c r="V304" s="95" t="s">
        <v>71</v>
      </c>
      <c r="W304" s="95" t="s">
        <v>71</v>
      </c>
      <c r="X304" s="95" t="s">
        <v>72</v>
      </c>
      <c r="Y304" s="95" t="s">
        <v>71</v>
      </c>
      <c r="Z304" s="95" t="s">
        <v>71</v>
      </c>
      <c r="AA304" s="95" t="s">
        <v>71</v>
      </c>
      <c r="AB304" s="95" t="s">
        <v>71</v>
      </c>
      <c r="AC304" s="95" t="s">
        <v>71</v>
      </c>
      <c r="AD304" s="95" t="s">
        <v>71</v>
      </c>
      <c r="AE304" s="95" t="s">
        <v>71</v>
      </c>
      <c r="AF304" s="95" t="s">
        <v>71</v>
      </c>
      <c r="AG304" s="95" t="s">
        <v>72</v>
      </c>
      <c r="AH304" s="95" t="s">
        <v>72</v>
      </c>
      <c r="AI304" s="95" t="s">
        <v>72</v>
      </c>
      <c r="AK304" s="95" t="s">
        <v>71</v>
      </c>
    </row>
    <row r="305" spans="1:37" x14ac:dyDescent="0.2">
      <c r="A305" s="95" t="s">
        <v>97</v>
      </c>
      <c r="B305" s="95" t="s">
        <v>66</v>
      </c>
      <c r="C305" s="95" t="s">
        <v>327</v>
      </c>
      <c r="F305" s="95">
        <v>3.5</v>
      </c>
      <c r="G305" s="95">
        <v>12.950000000000001</v>
      </c>
      <c r="I305" s="101">
        <v>2.7714814814814814</v>
      </c>
      <c r="R305" s="95" t="s">
        <v>336</v>
      </c>
      <c r="U305" s="95" t="s">
        <v>71</v>
      </c>
      <c r="V305" s="95" t="s">
        <v>71</v>
      </c>
      <c r="W305" s="95" t="s">
        <v>71</v>
      </c>
      <c r="X305" s="95" t="s">
        <v>72</v>
      </c>
      <c r="Y305" s="95" t="s">
        <v>71</v>
      </c>
      <c r="Z305" s="95" t="s">
        <v>71</v>
      </c>
      <c r="AA305" s="95" t="s">
        <v>71</v>
      </c>
      <c r="AB305" s="95" t="s">
        <v>71</v>
      </c>
      <c r="AC305" s="95" t="s">
        <v>71</v>
      </c>
      <c r="AD305" s="95" t="s">
        <v>71</v>
      </c>
      <c r="AE305" s="95" t="s">
        <v>71</v>
      </c>
      <c r="AF305" s="95" t="s">
        <v>71</v>
      </c>
      <c r="AG305" s="95" t="s">
        <v>72</v>
      </c>
      <c r="AH305" s="95" t="s">
        <v>72</v>
      </c>
      <c r="AI305" s="95" t="s">
        <v>72</v>
      </c>
      <c r="AK305" s="95" t="s">
        <v>71</v>
      </c>
    </row>
    <row r="306" spans="1:37" x14ac:dyDescent="0.2">
      <c r="A306" s="95" t="s">
        <v>97</v>
      </c>
      <c r="B306" s="95" t="s">
        <v>66</v>
      </c>
      <c r="C306" s="95" t="s">
        <v>327</v>
      </c>
      <c r="F306" s="95">
        <v>4</v>
      </c>
      <c r="G306" s="95">
        <v>14.8</v>
      </c>
      <c r="I306" s="101">
        <v>3.1674074074074072</v>
      </c>
      <c r="R306" s="95" t="s">
        <v>336</v>
      </c>
      <c r="U306" s="95" t="s">
        <v>71</v>
      </c>
      <c r="V306" s="95" t="s">
        <v>71</v>
      </c>
      <c r="W306" s="95" t="s">
        <v>71</v>
      </c>
      <c r="X306" s="95" t="s">
        <v>72</v>
      </c>
      <c r="Y306" s="95" t="s">
        <v>71</v>
      </c>
      <c r="Z306" s="95" t="s">
        <v>71</v>
      </c>
      <c r="AA306" s="95" t="s">
        <v>71</v>
      </c>
      <c r="AB306" s="95" t="s">
        <v>71</v>
      </c>
      <c r="AC306" s="95" t="s">
        <v>71</v>
      </c>
      <c r="AD306" s="95" t="s">
        <v>71</v>
      </c>
      <c r="AE306" s="95" t="s">
        <v>71</v>
      </c>
      <c r="AF306" s="95" t="s">
        <v>71</v>
      </c>
      <c r="AG306" s="95" t="s">
        <v>72</v>
      </c>
      <c r="AH306" s="95" t="s">
        <v>72</v>
      </c>
      <c r="AI306" s="95" t="s">
        <v>72</v>
      </c>
      <c r="AK306" s="95" t="s">
        <v>71</v>
      </c>
    </row>
    <row r="307" spans="1:37" x14ac:dyDescent="0.2">
      <c r="A307" s="95" t="s">
        <v>97</v>
      </c>
      <c r="B307" s="95" t="s">
        <v>66</v>
      </c>
      <c r="C307" s="95" t="s">
        <v>327</v>
      </c>
      <c r="F307" s="95">
        <v>5</v>
      </c>
      <c r="G307" s="95">
        <v>18.5</v>
      </c>
      <c r="I307" s="101">
        <v>3.9592592592592588</v>
      </c>
      <c r="R307" s="95" t="s">
        <v>336</v>
      </c>
      <c r="U307" s="95" t="s">
        <v>71</v>
      </c>
      <c r="V307" s="95" t="s">
        <v>71</v>
      </c>
      <c r="W307" s="95" t="s">
        <v>71</v>
      </c>
      <c r="X307" s="95" t="s">
        <v>72</v>
      </c>
      <c r="Y307" s="95" t="s">
        <v>71</v>
      </c>
      <c r="Z307" s="95" t="s">
        <v>71</v>
      </c>
      <c r="AA307" s="95" t="s">
        <v>71</v>
      </c>
      <c r="AB307" s="95" t="s">
        <v>71</v>
      </c>
      <c r="AC307" s="95" t="s">
        <v>71</v>
      </c>
      <c r="AD307" s="95" t="s">
        <v>71</v>
      </c>
      <c r="AE307" s="95" t="s">
        <v>71</v>
      </c>
      <c r="AF307" s="95" t="s">
        <v>71</v>
      </c>
      <c r="AG307" s="95" t="s">
        <v>72</v>
      </c>
      <c r="AH307" s="95" t="s">
        <v>72</v>
      </c>
      <c r="AI307" s="95" t="s">
        <v>72</v>
      </c>
      <c r="AK307" s="95" t="s">
        <v>71</v>
      </c>
    </row>
    <row r="308" spans="1:37" x14ac:dyDescent="0.2">
      <c r="A308" s="95" t="s">
        <v>97</v>
      </c>
      <c r="B308" s="95" t="s">
        <v>66</v>
      </c>
      <c r="C308" s="95" t="s">
        <v>327</v>
      </c>
      <c r="F308" s="95">
        <v>5.5</v>
      </c>
      <c r="G308" s="95">
        <v>20.350000000000001</v>
      </c>
      <c r="I308" s="101">
        <v>4.355185185185185</v>
      </c>
      <c r="R308" s="95" t="s">
        <v>336</v>
      </c>
      <c r="U308" s="95" t="s">
        <v>71</v>
      </c>
      <c r="V308" s="95" t="s">
        <v>71</v>
      </c>
      <c r="W308" s="95" t="s">
        <v>71</v>
      </c>
      <c r="X308" s="95" t="s">
        <v>72</v>
      </c>
      <c r="Y308" s="95" t="s">
        <v>71</v>
      </c>
      <c r="Z308" s="95" t="s">
        <v>71</v>
      </c>
      <c r="AA308" s="95" t="s">
        <v>71</v>
      </c>
      <c r="AB308" s="95" t="s">
        <v>71</v>
      </c>
      <c r="AC308" s="95" t="s">
        <v>71</v>
      </c>
      <c r="AD308" s="95" t="s">
        <v>71</v>
      </c>
      <c r="AE308" s="95" t="s">
        <v>71</v>
      </c>
      <c r="AF308" s="95" t="s">
        <v>71</v>
      </c>
      <c r="AG308" s="95" t="s">
        <v>72</v>
      </c>
      <c r="AH308" s="95" t="s">
        <v>72</v>
      </c>
      <c r="AI308" s="95" t="s">
        <v>72</v>
      </c>
      <c r="AK308" s="95" t="s">
        <v>71</v>
      </c>
    </row>
    <row r="309" spans="1:37" x14ac:dyDescent="0.2">
      <c r="A309" s="95" t="s">
        <v>97</v>
      </c>
      <c r="B309" s="95" t="s">
        <v>66</v>
      </c>
      <c r="C309" s="95" t="s">
        <v>327</v>
      </c>
      <c r="F309" s="95">
        <v>6</v>
      </c>
      <c r="G309" s="95">
        <v>22.200000000000003</v>
      </c>
      <c r="I309" s="101">
        <v>4.7511111111111113</v>
      </c>
      <c r="R309" s="95" t="s">
        <v>336</v>
      </c>
      <c r="U309" s="95" t="s">
        <v>71</v>
      </c>
      <c r="V309" s="95" t="s">
        <v>71</v>
      </c>
      <c r="W309" s="95" t="s">
        <v>71</v>
      </c>
      <c r="X309" s="95" t="s">
        <v>72</v>
      </c>
      <c r="Y309" s="95" t="s">
        <v>71</v>
      </c>
      <c r="Z309" s="95" t="s">
        <v>71</v>
      </c>
      <c r="AA309" s="95" t="s">
        <v>71</v>
      </c>
      <c r="AB309" s="95" t="s">
        <v>71</v>
      </c>
      <c r="AC309" s="95" t="s">
        <v>71</v>
      </c>
      <c r="AD309" s="95" t="s">
        <v>71</v>
      </c>
      <c r="AE309" s="95" t="s">
        <v>71</v>
      </c>
      <c r="AF309" s="95" t="s">
        <v>71</v>
      </c>
      <c r="AG309" s="95" t="s">
        <v>72</v>
      </c>
      <c r="AH309" s="95" t="s">
        <v>72</v>
      </c>
      <c r="AI309" s="95" t="s">
        <v>72</v>
      </c>
      <c r="AK309" s="95" t="s">
        <v>71</v>
      </c>
    </row>
    <row r="310" spans="1:37" x14ac:dyDescent="0.2">
      <c r="A310" s="95" t="s">
        <v>337</v>
      </c>
      <c r="B310" s="95" t="s">
        <v>87</v>
      </c>
      <c r="I310" s="95">
        <v>1.7</v>
      </c>
      <c r="K310" s="95">
        <v>0.84</v>
      </c>
      <c r="N310" s="95">
        <v>1.1200000000000001</v>
      </c>
      <c r="R310" s="95" t="s">
        <v>5398</v>
      </c>
      <c r="S310" s="95" t="s">
        <v>338</v>
      </c>
      <c r="U310" s="95" t="s">
        <v>72</v>
      </c>
      <c r="V310" s="95" t="s">
        <v>72</v>
      </c>
      <c r="W310" s="95" t="s">
        <v>72</v>
      </c>
      <c r="X310" s="95" t="s">
        <v>72</v>
      </c>
      <c r="Y310" s="95" t="s">
        <v>72</v>
      </c>
      <c r="Z310" s="95" t="s">
        <v>72</v>
      </c>
      <c r="AA310" s="95" t="s">
        <v>72</v>
      </c>
      <c r="AB310" s="95" t="s">
        <v>72</v>
      </c>
      <c r="AC310" s="95" t="s">
        <v>72</v>
      </c>
      <c r="AD310" s="95" t="s">
        <v>72</v>
      </c>
      <c r="AE310" s="95" t="s">
        <v>72</v>
      </c>
      <c r="AF310" s="95" t="s">
        <v>72</v>
      </c>
      <c r="AG310" s="95" t="s">
        <v>72</v>
      </c>
      <c r="AH310" s="95" t="s">
        <v>72</v>
      </c>
      <c r="AI310" s="95" t="s">
        <v>72</v>
      </c>
      <c r="AK310" s="95" t="s">
        <v>72</v>
      </c>
    </row>
    <row r="311" spans="1:37" x14ac:dyDescent="0.2">
      <c r="A311" s="95" t="s">
        <v>337</v>
      </c>
      <c r="B311" s="95" t="s">
        <v>87</v>
      </c>
      <c r="I311" s="95">
        <v>1.59</v>
      </c>
      <c r="K311" s="95">
        <v>0.56999999999999995</v>
      </c>
      <c r="N311" s="95">
        <v>0.9</v>
      </c>
      <c r="R311" s="95" t="s">
        <v>5398</v>
      </c>
      <c r="S311" s="95" t="s">
        <v>338</v>
      </c>
      <c r="U311" s="95" t="s">
        <v>72</v>
      </c>
      <c r="V311" s="95" t="s">
        <v>72</v>
      </c>
      <c r="W311" s="95" t="s">
        <v>72</v>
      </c>
      <c r="X311" s="95" t="s">
        <v>72</v>
      </c>
      <c r="Y311" s="95" t="s">
        <v>72</v>
      </c>
      <c r="Z311" s="95" t="s">
        <v>72</v>
      </c>
      <c r="AA311" s="95" t="s">
        <v>72</v>
      </c>
      <c r="AB311" s="95" t="s">
        <v>72</v>
      </c>
      <c r="AC311" s="95" t="s">
        <v>72</v>
      </c>
      <c r="AD311" s="95" t="s">
        <v>72</v>
      </c>
      <c r="AE311" s="95" t="s">
        <v>72</v>
      </c>
      <c r="AF311" s="95" t="s">
        <v>72</v>
      </c>
      <c r="AG311" s="95" t="s">
        <v>72</v>
      </c>
      <c r="AH311" s="95" t="s">
        <v>72</v>
      </c>
      <c r="AI311" s="95" t="s">
        <v>72</v>
      </c>
      <c r="AK311" s="95" t="s">
        <v>72</v>
      </c>
    </row>
    <row r="312" spans="1:37" x14ac:dyDescent="0.2">
      <c r="A312" s="95" t="s">
        <v>337</v>
      </c>
      <c r="B312" s="95" t="s">
        <v>87</v>
      </c>
      <c r="I312" s="95">
        <v>1.64</v>
      </c>
      <c r="K312" s="95">
        <v>0.69</v>
      </c>
      <c r="N312" s="95">
        <v>0.99</v>
      </c>
      <c r="R312" s="95" t="s">
        <v>5398</v>
      </c>
      <c r="S312" s="95" t="s">
        <v>338</v>
      </c>
      <c r="U312" s="95" t="s">
        <v>72</v>
      </c>
      <c r="V312" s="95" t="s">
        <v>72</v>
      </c>
      <c r="W312" s="95" t="s">
        <v>72</v>
      </c>
      <c r="X312" s="95" t="s">
        <v>72</v>
      </c>
      <c r="Y312" s="95" t="s">
        <v>72</v>
      </c>
      <c r="Z312" s="95" t="s">
        <v>72</v>
      </c>
      <c r="AA312" s="95" t="s">
        <v>72</v>
      </c>
      <c r="AB312" s="95" t="s">
        <v>72</v>
      </c>
      <c r="AC312" s="95" t="s">
        <v>72</v>
      </c>
      <c r="AD312" s="95" t="s">
        <v>72</v>
      </c>
      <c r="AE312" s="95" t="s">
        <v>72</v>
      </c>
      <c r="AF312" s="95" t="s">
        <v>72</v>
      </c>
      <c r="AG312" s="95" t="s">
        <v>72</v>
      </c>
      <c r="AH312" s="95" t="s">
        <v>72</v>
      </c>
      <c r="AI312" s="95" t="s">
        <v>72</v>
      </c>
      <c r="AK312" s="95" t="s">
        <v>72</v>
      </c>
    </row>
    <row r="313" spans="1:37" x14ac:dyDescent="0.2">
      <c r="A313" s="95" t="s">
        <v>337</v>
      </c>
      <c r="B313" s="95" t="s">
        <v>87</v>
      </c>
      <c r="I313" s="95">
        <v>1.6</v>
      </c>
      <c r="K313" s="95">
        <v>0.6</v>
      </c>
      <c r="N313" s="95">
        <v>0.90999999999999992</v>
      </c>
      <c r="R313" s="95" t="s">
        <v>5398</v>
      </c>
      <c r="S313" s="95" t="s">
        <v>338</v>
      </c>
      <c r="U313" s="95" t="s">
        <v>72</v>
      </c>
      <c r="V313" s="95" t="s">
        <v>72</v>
      </c>
      <c r="W313" s="95" t="s">
        <v>72</v>
      </c>
      <c r="X313" s="95" t="s">
        <v>72</v>
      </c>
      <c r="Y313" s="95" t="s">
        <v>72</v>
      </c>
      <c r="Z313" s="95" t="s">
        <v>72</v>
      </c>
      <c r="AA313" s="95" t="s">
        <v>72</v>
      </c>
      <c r="AB313" s="95" t="s">
        <v>72</v>
      </c>
      <c r="AC313" s="95" t="s">
        <v>72</v>
      </c>
      <c r="AD313" s="95" t="s">
        <v>72</v>
      </c>
      <c r="AE313" s="95" t="s">
        <v>72</v>
      </c>
      <c r="AF313" s="95" t="s">
        <v>72</v>
      </c>
      <c r="AG313" s="95" t="s">
        <v>72</v>
      </c>
      <c r="AH313" s="95" t="s">
        <v>72</v>
      </c>
      <c r="AI313" s="95" t="s">
        <v>72</v>
      </c>
      <c r="AK313" s="95" t="s">
        <v>72</v>
      </c>
    </row>
    <row r="314" spans="1:37" x14ac:dyDescent="0.2">
      <c r="A314" s="95" t="s">
        <v>337</v>
      </c>
      <c r="B314" s="95" t="s">
        <v>87</v>
      </c>
      <c r="I314" s="95">
        <v>1.57</v>
      </c>
      <c r="K314" s="95">
        <v>0.53</v>
      </c>
      <c r="N314" s="95">
        <v>0.86</v>
      </c>
      <c r="R314" s="95" t="s">
        <v>5398</v>
      </c>
      <c r="S314" s="95" t="s">
        <v>338</v>
      </c>
      <c r="U314" s="95" t="s">
        <v>72</v>
      </c>
      <c r="V314" s="95" t="s">
        <v>72</v>
      </c>
      <c r="W314" s="95" t="s">
        <v>72</v>
      </c>
      <c r="X314" s="95" t="s">
        <v>72</v>
      </c>
      <c r="Y314" s="95" t="s">
        <v>72</v>
      </c>
      <c r="Z314" s="95" t="s">
        <v>72</v>
      </c>
      <c r="AA314" s="95" t="s">
        <v>72</v>
      </c>
      <c r="AB314" s="95" t="s">
        <v>72</v>
      </c>
      <c r="AC314" s="95" t="s">
        <v>72</v>
      </c>
      <c r="AD314" s="95" t="s">
        <v>72</v>
      </c>
      <c r="AE314" s="95" t="s">
        <v>72</v>
      </c>
      <c r="AF314" s="95" t="s">
        <v>72</v>
      </c>
      <c r="AG314" s="95" t="s">
        <v>72</v>
      </c>
      <c r="AH314" s="95" t="s">
        <v>72</v>
      </c>
      <c r="AI314" s="95" t="s">
        <v>72</v>
      </c>
      <c r="AK314" s="95" t="s">
        <v>72</v>
      </c>
    </row>
    <row r="315" spans="1:37" x14ac:dyDescent="0.2">
      <c r="A315" s="95" t="s">
        <v>337</v>
      </c>
      <c r="B315" s="95" t="s">
        <v>87</v>
      </c>
      <c r="I315" s="95">
        <v>1.57</v>
      </c>
      <c r="K315" s="95">
        <v>0.53</v>
      </c>
      <c r="N315" s="95">
        <v>0.85</v>
      </c>
      <c r="R315" s="95" t="s">
        <v>5398</v>
      </c>
      <c r="S315" s="95" t="s">
        <v>338</v>
      </c>
      <c r="U315" s="95" t="s">
        <v>72</v>
      </c>
      <c r="V315" s="95" t="s">
        <v>72</v>
      </c>
      <c r="W315" s="95" t="s">
        <v>72</v>
      </c>
      <c r="X315" s="95" t="s">
        <v>72</v>
      </c>
      <c r="Y315" s="95" t="s">
        <v>72</v>
      </c>
      <c r="Z315" s="95" t="s">
        <v>72</v>
      </c>
      <c r="AA315" s="95" t="s">
        <v>72</v>
      </c>
      <c r="AB315" s="95" t="s">
        <v>72</v>
      </c>
      <c r="AC315" s="95" t="s">
        <v>72</v>
      </c>
      <c r="AD315" s="95" t="s">
        <v>72</v>
      </c>
      <c r="AE315" s="95" t="s">
        <v>72</v>
      </c>
      <c r="AF315" s="95" t="s">
        <v>72</v>
      </c>
      <c r="AG315" s="95" t="s">
        <v>72</v>
      </c>
      <c r="AH315" s="95" t="s">
        <v>72</v>
      </c>
      <c r="AI315" s="95" t="s">
        <v>72</v>
      </c>
      <c r="AK315" s="95" t="s">
        <v>72</v>
      </c>
    </row>
    <row r="316" spans="1:37" x14ac:dyDescent="0.2">
      <c r="A316" s="95" t="s">
        <v>337</v>
      </c>
      <c r="B316" s="95" t="s">
        <v>87</v>
      </c>
      <c r="I316" s="95">
        <v>1.57</v>
      </c>
      <c r="K316" s="95">
        <v>0.54</v>
      </c>
      <c r="N316" s="95">
        <v>0.86</v>
      </c>
      <c r="R316" s="95" t="s">
        <v>5398</v>
      </c>
      <c r="S316" s="95" t="s">
        <v>338</v>
      </c>
      <c r="U316" s="95" t="s">
        <v>72</v>
      </c>
      <c r="V316" s="95" t="s">
        <v>72</v>
      </c>
      <c r="W316" s="95" t="s">
        <v>72</v>
      </c>
      <c r="X316" s="95" t="s">
        <v>72</v>
      </c>
      <c r="Y316" s="95" t="s">
        <v>72</v>
      </c>
      <c r="Z316" s="95" t="s">
        <v>72</v>
      </c>
      <c r="AA316" s="95" t="s">
        <v>72</v>
      </c>
      <c r="AB316" s="95" t="s">
        <v>72</v>
      </c>
      <c r="AC316" s="95" t="s">
        <v>72</v>
      </c>
      <c r="AD316" s="95" t="s">
        <v>72</v>
      </c>
      <c r="AE316" s="95" t="s">
        <v>72</v>
      </c>
      <c r="AF316" s="95" t="s">
        <v>72</v>
      </c>
      <c r="AG316" s="95" t="s">
        <v>72</v>
      </c>
      <c r="AH316" s="95" t="s">
        <v>72</v>
      </c>
      <c r="AI316" s="95" t="s">
        <v>72</v>
      </c>
      <c r="AK316" s="95" t="s">
        <v>72</v>
      </c>
    </row>
    <row r="317" spans="1:37" x14ac:dyDescent="0.2">
      <c r="A317" s="95" t="s">
        <v>337</v>
      </c>
      <c r="B317" s="95" t="s">
        <v>87</v>
      </c>
      <c r="I317" s="95">
        <v>1.55</v>
      </c>
      <c r="K317" s="95">
        <v>0.49</v>
      </c>
      <c r="N317" s="95">
        <v>0.83000000000000007</v>
      </c>
      <c r="R317" s="95" t="s">
        <v>5398</v>
      </c>
      <c r="S317" s="95" t="s">
        <v>338</v>
      </c>
      <c r="U317" s="95" t="s">
        <v>72</v>
      </c>
      <c r="V317" s="95" t="s">
        <v>72</v>
      </c>
      <c r="W317" s="95" t="s">
        <v>72</v>
      </c>
      <c r="X317" s="95" t="s">
        <v>72</v>
      </c>
      <c r="Y317" s="95" t="s">
        <v>72</v>
      </c>
      <c r="Z317" s="95" t="s">
        <v>72</v>
      </c>
      <c r="AA317" s="95" t="s">
        <v>72</v>
      </c>
      <c r="AB317" s="95" t="s">
        <v>72</v>
      </c>
      <c r="AC317" s="95" t="s">
        <v>72</v>
      </c>
      <c r="AD317" s="95" t="s">
        <v>72</v>
      </c>
      <c r="AE317" s="95" t="s">
        <v>72</v>
      </c>
      <c r="AF317" s="95" t="s">
        <v>72</v>
      </c>
      <c r="AG317" s="95" t="s">
        <v>72</v>
      </c>
      <c r="AH317" s="95" t="s">
        <v>72</v>
      </c>
      <c r="AI317" s="95" t="s">
        <v>72</v>
      </c>
      <c r="AK317" s="95" t="s">
        <v>72</v>
      </c>
    </row>
    <row r="318" spans="1:37" x14ac:dyDescent="0.2">
      <c r="A318" s="95" t="s">
        <v>337</v>
      </c>
      <c r="B318" s="95" t="s">
        <v>87</v>
      </c>
      <c r="I318" s="95">
        <v>1.62</v>
      </c>
      <c r="K318" s="95">
        <v>0.66</v>
      </c>
      <c r="N318" s="95">
        <v>0.97</v>
      </c>
      <c r="R318" s="95" t="s">
        <v>5398</v>
      </c>
      <c r="S318" s="95" t="s">
        <v>338</v>
      </c>
      <c r="U318" s="95" t="s">
        <v>72</v>
      </c>
      <c r="V318" s="95" t="s">
        <v>72</v>
      </c>
      <c r="W318" s="95" t="s">
        <v>72</v>
      </c>
      <c r="X318" s="95" t="s">
        <v>72</v>
      </c>
      <c r="Y318" s="95" t="s">
        <v>72</v>
      </c>
      <c r="Z318" s="95" t="s">
        <v>72</v>
      </c>
      <c r="AA318" s="95" t="s">
        <v>72</v>
      </c>
      <c r="AB318" s="95" t="s">
        <v>72</v>
      </c>
      <c r="AC318" s="95" t="s">
        <v>72</v>
      </c>
      <c r="AD318" s="95" t="s">
        <v>72</v>
      </c>
      <c r="AE318" s="95" t="s">
        <v>72</v>
      </c>
      <c r="AF318" s="95" t="s">
        <v>72</v>
      </c>
      <c r="AG318" s="95" t="s">
        <v>72</v>
      </c>
      <c r="AH318" s="95" t="s">
        <v>72</v>
      </c>
      <c r="AI318" s="95" t="s">
        <v>72</v>
      </c>
      <c r="AK318" s="95" t="s">
        <v>72</v>
      </c>
    </row>
    <row r="319" spans="1:37" x14ac:dyDescent="0.2">
      <c r="A319" s="95" t="s">
        <v>337</v>
      </c>
      <c r="B319" s="95" t="s">
        <v>87</v>
      </c>
      <c r="I319" s="95">
        <v>1.61</v>
      </c>
      <c r="K319" s="95">
        <v>0.63</v>
      </c>
      <c r="N319" s="95">
        <v>0.94</v>
      </c>
      <c r="R319" s="95" t="s">
        <v>5398</v>
      </c>
      <c r="S319" s="95" t="s">
        <v>338</v>
      </c>
      <c r="U319" s="95" t="s">
        <v>72</v>
      </c>
      <c r="V319" s="95" t="s">
        <v>72</v>
      </c>
      <c r="W319" s="95" t="s">
        <v>72</v>
      </c>
      <c r="X319" s="95" t="s">
        <v>72</v>
      </c>
      <c r="Y319" s="95" t="s">
        <v>72</v>
      </c>
      <c r="Z319" s="95" t="s">
        <v>72</v>
      </c>
      <c r="AA319" s="95" t="s">
        <v>72</v>
      </c>
      <c r="AB319" s="95" t="s">
        <v>72</v>
      </c>
      <c r="AC319" s="95" t="s">
        <v>72</v>
      </c>
      <c r="AD319" s="95" t="s">
        <v>72</v>
      </c>
      <c r="AE319" s="95" t="s">
        <v>72</v>
      </c>
      <c r="AF319" s="95" t="s">
        <v>72</v>
      </c>
      <c r="AG319" s="95" t="s">
        <v>72</v>
      </c>
      <c r="AH319" s="95" t="s">
        <v>72</v>
      </c>
      <c r="AI319" s="95" t="s">
        <v>72</v>
      </c>
      <c r="AK319" s="95" t="s">
        <v>72</v>
      </c>
    </row>
    <row r="320" spans="1:37" x14ac:dyDescent="0.2">
      <c r="A320" s="95" t="s">
        <v>337</v>
      </c>
      <c r="B320" s="95" t="s">
        <v>87</v>
      </c>
      <c r="I320" s="95">
        <v>2.2400000000000002</v>
      </c>
      <c r="K320" s="95">
        <v>2.04</v>
      </c>
      <c r="N320" s="95">
        <v>2.0299999999999998</v>
      </c>
      <c r="R320" s="95" t="s">
        <v>5397</v>
      </c>
      <c r="S320" s="95" t="s">
        <v>338</v>
      </c>
      <c r="U320" s="95" t="s">
        <v>72</v>
      </c>
      <c r="V320" s="95" t="s">
        <v>72</v>
      </c>
      <c r="W320" s="95" t="s">
        <v>72</v>
      </c>
      <c r="X320" s="95" t="s">
        <v>72</v>
      </c>
      <c r="Y320" s="95" t="s">
        <v>72</v>
      </c>
      <c r="Z320" s="95" t="s">
        <v>72</v>
      </c>
      <c r="AA320" s="95" t="s">
        <v>72</v>
      </c>
      <c r="AB320" s="95" t="s">
        <v>72</v>
      </c>
      <c r="AC320" s="95" t="s">
        <v>72</v>
      </c>
      <c r="AD320" s="95" t="s">
        <v>72</v>
      </c>
      <c r="AE320" s="95" t="s">
        <v>72</v>
      </c>
      <c r="AF320" s="95" t="s">
        <v>72</v>
      </c>
      <c r="AG320" s="95" t="s">
        <v>72</v>
      </c>
      <c r="AH320" s="95" t="s">
        <v>72</v>
      </c>
      <c r="AI320" s="95" t="s">
        <v>72</v>
      </c>
      <c r="AK320" s="95" t="s">
        <v>72</v>
      </c>
    </row>
    <row r="321" spans="1:37" x14ac:dyDescent="0.2">
      <c r="A321" s="95" t="s">
        <v>337</v>
      </c>
      <c r="B321" s="95" t="s">
        <v>87</v>
      </c>
      <c r="I321" s="95">
        <v>2.09</v>
      </c>
      <c r="K321" s="95">
        <v>1.38</v>
      </c>
      <c r="N321" s="95">
        <v>1.52</v>
      </c>
      <c r="R321" s="95" t="s">
        <v>5397</v>
      </c>
      <c r="S321" s="95" t="s">
        <v>338</v>
      </c>
      <c r="U321" s="95" t="s">
        <v>72</v>
      </c>
      <c r="V321" s="95" t="s">
        <v>72</v>
      </c>
      <c r="W321" s="95" t="s">
        <v>72</v>
      </c>
      <c r="X321" s="95" t="s">
        <v>72</v>
      </c>
      <c r="Y321" s="95" t="s">
        <v>72</v>
      </c>
      <c r="Z321" s="95" t="s">
        <v>72</v>
      </c>
      <c r="AA321" s="95" t="s">
        <v>72</v>
      </c>
      <c r="AB321" s="95" t="s">
        <v>72</v>
      </c>
      <c r="AC321" s="95" t="s">
        <v>72</v>
      </c>
      <c r="AD321" s="95" t="s">
        <v>72</v>
      </c>
      <c r="AE321" s="95" t="s">
        <v>72</v>
      </c>
      <c r="AF321" s="95" t="s">
        <v>72</v>
      </c>
      <c r="AG321" s="95" t="s">
        <v>72</v>
      </c>
      <c r="AH321" s="95" t="s">
        <v>72</v>
      </c>
      <c r="AI321" s="95" t="s">
        <v>72</v>
      </c>
      <c r="AK321" s="95" t="s">
        <v>72</v>
      </c>
    </row>
    <row r="322" spans="1:37" x14ac:dyDescent="0.2">
      <c r="A322" s="95" t="s">
        <v>337</v>
      </c>
      <c r="B322" s="95" t="s">
        <v>87</v>
      </c>
      <c r="I322" s="95">
        <v>2.16</v>
      </c>
      <c r="K322" s="95">
        <v>1.66</v>
      </c>
      <c r="N322" s="95">
        <v>1.73</v>
      </c>
      <c r="R322" s="95" t="s">
        <v>5397</v>
      </c>
      <c r="S322" s="95" t="s">
        <v>338</v>
      </c>
      <c r="U322" s="95" t="s">
        <v>72</v>
      </c>
      <c r="V322" s="95" t="s">
        <v>72</v>
      </c>
      <c r="W322" s="95" t="s">
        <v>72</v>
      </c>
      <c r="X322" s="95" t="s">
        <v>72</v>
      </c>
      <c r="Y322" s="95" t="s">
        <v>72</v>
      </c>
      <c r="Z322" s="95" t="s">
        <v>72</v>
      </c>
      <c r="AA322" s="95" t="s">
        <v>72</v>
      </c>
      <c r="AB322" s="95" t="s">
        <v>72</v>
      </c>
      <c r="AC322" s="95" t="s">
        <v>72</v>
      </c>
      <c r="AD322" s="95" t="s">
        <v>72</v>
      </c>
      <c r="AE322" s="95" t="s">
        <v>72</v>
      </c>
      <c r="AF322" s="95" t="s">
        <v>72</v>
      </c>
      <c r="AG322" s="95" t="s">
        <v>72</v>
      </c>
      <c r="AH322" s="95" t="s">
        <v>72</v>
      </c>
      <c r="AI322" s="95" t="s">
        <v>72</v>
      </c>
      <c r="AK322" s="95" t="s">
        <v>72</v>
      </c>
    </row>
    <row r="323" spans="1:37" x14ac:dyDescent="0.2">
      <c r="A323" s="95" t="s">
        <v>337</v>
      </c>
      <c r="B323" s="95" t="s">
        <v>87</v>
      </c>
      <c r="I323" s="95">
        <v>2.11</v>
      </c>
      <c r="K323" s="95">
        <v>1.44</v>
      </c>
      <c r="N323" s="95">
        <v>1.5699999999999998</v>
      </c>
      <c r="R323" s="95" t="s">
        <v>5397</v>
      </c>
      <c r="S323" s="95" t="s">
        <v>338</v>
      </c>
      <c r="U323" s="95" t="s">
        <v>72</v>
      </c>
      <c r="V323" s="95" t="s">
        <v>72</v>
      </c>
      <c r="W323" s="95" t="s">
        <v>72</v>
      </c>
      <c r="X323" s="95" t="s">
        <v>72</v>
      </c>
      <c r="Y323" s="95" t="s">
        <v>72</v>
      </c>
      <c r="Z323" s="95" t="s">
        <v>72</v>
      </c>
      <c r="AA323" s="95" t="s">
        <v>72</v>
      </c>
      <c r="AB323" s="95" t="s">
        <v>72</v>
      </c>
      <c r="AC323" s="95" t="s">
        <v>72</v>
      </c>
      <c r="AD323" s="95" t="s">
        <v>72</v>
      </c>
      <c r="AE323" s="95" t="s">
        <v>72</v>
      </c>
      <c r="AF323" s="95" t="s">
        <v>72</v>
      </c>
      <c r="AG323" s="95" t="s">
        <v>72</v>
      </c>
      <c r="AH323" s="95" t="s">
        <v>72</v>
      </c>
      <c r="AI323" s="95" t="s">
        <v>72</v>
      </c>
      <c r="AK323" s="95" t="s">
        <v>72</v>
      </c>
    </row>
    <row r="324" spans="1:37" x14ac:dyDescent="0.2">
      <c r="A324" s="95" t="s">
        <v>337</v>
      </c>
      <c r="B324" s="95" t="s">
        <v>87</v>
      </c>
      <c r="I324" s="95">
        <v>2.0699999999999998</v>
      </c>
      <c r="K324" s="95">
        <v>1.27</v>
      </c>
      <c r="N324" s="95">
        <v>1.44</v>
      </c>
      <c r="R324" s="95" t="s">
        <v>5397</v>
      </c>
      <c r="S324" s="95" t="s">
        <v>338</v>
      </c>
      <c r="U324" s="95" t="s">
        <v>72</v>
      </c>
      <c r="V324" s="95" t="s">
        <v>72</v>
      </c>
      <c r="W324" s="95" t="s">
        <v>72</v>
      </c>
      <c r="X324" s="95" t="s">
        <v>72</v>
      </c>
      <c r="Y324" s="95" t="s">
        <v>72</v>
      </c>
      <c r="Z324" s="95" t="s">
        <v>72</v>
      </c>
      <c r="AA324" s="95" t="s">
        <v>72</v>
      </c>
      <c r="AB324" s="95" t="s">
        <v>72</v>
      </c>
      <c r="AC324" s="95" t="s">
        <v>72</v>
      </c>
      <c r="AD324" s="95" t="s">
        <v>72</v>
      </c>
      <c r="AE324" s="95" t="s">
        <v>72</v>
      </c>
      <c r="AF324" s="95" t="s">
        <v>72</v>
      </c>
      <c r="AG324" s="95" t="s">
        <v>72</v>
      </c>
      <c r="AH324" s="95" t="s">
        <v>72</v>
      </c>
      <c r="AI324" s="95" t="s">
        <v>72</v>
      </c>
      <c r="AK324" s="95" t="s">
        <v>72</v>
      </c>
    </row>
    <row r="325" spans="1:37" x14ac:dyDescent="0.2">
      <c r="A325" s="95" t="s">
        <v>337</v>
      </c>
      <c r="B325" s="95" t="s">
        <v>87</v>
      </c>
      <c r="I325" s="95">
        <v>2.0699999999999998</v>
      </c>
      <c r="K325" s="95">
        <v>1.27</v>
      </c>
      <c r="N325" s="95">
        <v>1.44</v>
      </c>
      <c r="R325" s="95" t="s">
        <v>5397</v>
      </c>
      <c r="S325" s="95" t="s">
        <v>338</v>
      </c>
      <c r="U325" s="95" t="s">
        <v>72</v>
      </c>
      <c r="V325" s="95" t="s">
        <v>72</v>
      </c>
      <c r="W325" s="95" t="s">
        <v>72</v>
      </c>
      <c r="X325" s="95" t="s">
        <v>72</v>
      </c>
      <c r="Y325" s="95" t="s">
        <v>72</v>
      </c>
      <c r="Z325" s="95" t="s">
        <v>72</v>
      </c>
      <c r="AA325" s="95" t="s">
        <v>72</v>
      </c>
      <c r="AB325" s="95" t="s">
        <v>72</v>
      </c>
      <c r="AC325" s="95" t="s">
        <v>72</v>
      </c>
      <c r="AD325" s="95" t="s">
        <v>72</v>
      </c>
      <c r="AE325" s="95" t="s">
        <v>72</v>
      </c>
      <c r="AF325" s="95" t="s">
        <v>72</v>
      </c>
      <c r="AG325" s="95" t="s">
        <v>72</v>
      </c>
      <c r="AH325" s="95" t="s">
        <v>72</v>
      </c>
      <c r="AI325" s="95" t="s">
        <v>72</v>
      </c>
      <c r="AK325" s="95" t="s">
        <v>72</v>
      </c>
    </row>
    <row r="326" spans="1:37" x14ac:dyDescent="0.2">
      <c r="A326" s="95" t="s">
        <v>337</v>
      </c>
      <c r="B326" s="95" t="s">
        <v>87</v>
      </c>
      <c r="I326" s="95">
        <v>2.0699999999999998</v>
      </c>
      <c r="K326" s="95">
        <v>1.3</v>
      </c>
      <c r="N326" s="95">
        <v>1.46</v>
      </c>
      <c r="R326" s="95" t="s">
        <v>5397</v>
      </c>
      <c r="S326" s="95" t="s">
        <v>338</v>
      </c>
      <c r="U326" s="95" t="s">
        <v>72</v>
      </c>
      <c r="V326" s="95" t="s">
        <v>72</v>
      </c>
      <c r="W326" s="95" t="s">
        <v>72</v>
      </c>
      <c r="X326" s="95" t="s">
        <v>72</v>
      </c>
      <c r="Y326" s="95" t="s">
        <v>72</v>
      </c>
      <c r="Z326" s="95" t="s">
        <v>72</v>
      </c>
      <c r="AA326" s="95" t="s">
        <v>72</v>
      </c>
      <c r="AB326" s="95" t="s">
        <v>72</v>
      </c>
      <c r="AC326" s="95" t="s">
        <v>72</v>
      </c>
      <c r="AD326" s="95" t="s">
        <v>72</v>
      </c>
      <c r="AE326" s="95" t="s">
        <v>72</v>
      </c>
      <c r="AF326" s="95" t="s">
        <v>72</v>
      </c>
      <c r="AG326" s="95" t="s">
        <v>72</v>
      </c>
      <c r="AH326" s="95" t="s">
        <v>72</v>
      </c>
      <c r="AI326" s="95" t="s">
        <v>72</v>
      </c>
      <c r="AK326" s="95" t="s">
        <v>72</v>
      </c>
    </row>
    <row r="327" spans="1:37" x14ac:dyDescent="0.2">
      <c r="A327" s="95" t="s">
        <v>337</v>
      </c>
      <c r="B327" s="95" t="s">
        <v>87</v>
      </c>
      <c r="I327" s="95">
        <v>2.0499999999999998</v>
      </c>
      <c r="K327" s="95">
        <v>1.19</v>
      </c>
      <c r="N327" s="95">
        <v>1.37</v>
      </c>
      <c r="R327" s="95" t="s">
        <v>5397</v>
      </c>
      <c r="S327" s="95" t="s">
        <v>338</v>
      </c>
      <c r="U327" s="95" t="s">
        <v>72</v>
      </c>
      <c r="V327" s="95" t="s">
        <v>72</v>
      </c>
      <c r="W327" s="95" t="s">
        <v>72</v>
      </c>
      <c r="X327" s="95" t="s">
        <v>72</v>
      </c>
      <c r="Y327" s="95" t="s">
        <v>72</v>
      </c>
      <c r="Z327" s="95" t="s">
        <v>72</v>
      </c>
      <c r="AA327" s="95" t="s">
        <v>72</v>
      </c>
      <c r="AB327" s="95" t="s">
        <v>72</v>
      </c>
      <c r="AC327" s="95" t="s">
        <v>72</v>
      </c>
      <c r="AD327" s="95" t="s">
        <v>72</v>
      </c>
      <c r="AE327" s="95" t="s">
        <v>72</v>
      </c>
      <c r="AF327" s="95" t="s">
        <v>72</v>
      </c>
      <c r="AG327" s="95" t="s">
        <v>72</v>
      </c>
      <c r="AH327" s="95" t="s">
        <v>72</v>
      </c>
      <c r="AI327" s="95" t="s">
        <v>72</v>
      </c>
      <c r="AK327" s="95" t="s">
        <v>72</v>
      </c>
    </row>
    <row r="328" spans="1:37" x14ac:dyDescent="0.2">
      <c r="A328" s="95" t="s">
        <v>337</v>
      </c>
      <c r="B328" s="95" t="s">
        <v>87</v>
      </c>
      <c r="I328" s="95">
        <v>2.14</v>
      </c>
      <c r="K328" s="95">
        <v>1.59</v>
      </c>
      <c r="N328" s="95">
        <v>1.69</v>
      </c>
      <c r="R328" s="95" t="s">
        <v>5397</v>
      </c>
      <c r="S328" s="95" t="s">
        <v>338</v>
      </c>
      <c r="U328" s="95" t="s">
        <v>72</v>
      </c>
      <c r="V328" s="95" t="s">
        <v>72</v>
      </c>
      <c r="W328" s="95" t="s">
        <v>72</v>
      </c>
      <c r="X328" s="95" t="s">
        <v>72</v>
      </c>
      <c r="Y328" s="95" t="s">
        <v>72</v>
      </c>
      <c r="Z328" s="95" t="s">
        <v>72</v>
      </c>
      <c r="AA328" s="95" t="s">
        <v>72</v>
      </c>
      <c r="AB328" s="95" t="s">
        <v>72</v>
      </c>
      <c r="AC328" s="95" t="s">
        <v>72</v>
      </c>
      <c r="AD328" s="95" t="s">
        <v>72</v>
      </c>
      <c r="AE328" s="95" t="s">
        <v>72</v>
      </c>
      <c r="AF328" s="95" t="s">
        <v>72</v>
      </c>
      <c r="AG328" s="95" t="s">
        <v>72</v>
      </c>
      <c r="AH328" s="95" t="s">
        <v>72</v>
      </c>
      <c r="AI328" s="95" t="s">
        <v>72</v>
      </c>
      <c r="AK328" s="95" t="s">
        <v>72</v>
      </c>
    </row>
    <row r="329" spans="1:37" x14ac:dyDescent="0.2">
      <c r="A329" s="95" t="s">
        <v>337</v>
      </c>
      <c r="B329" s="95" t="s">
        <v>87</v>
      </c>
      <c r="I329" s="95">
        <v>2.12</v>
      </c>
      <c r="K329" s="95">
        <v>1.52</v>
      </c>
      <c r="N329" s="95">
        <v>1.63</v>
      </c>
      <c r="R329" s="95" t="s">
        <v>5397</v>
      </c>
      <c r="S329" s="95" t="s">
        <v>338</v>
      </c>
      <c r="U329" s="95" t="s">
        <v>72</v>
      </c>
      <c r="V329" s="95" t="s">
        <v>72</v>
      </c>
      <c r="W329" s="95" t="s">
        <v>72</v>
      </c>
      <c r="X329" s="95" t="s">
        <v>72</v>
      </c>
      <c r="Y329" s="95" t="s">
        <v>72</v>
      </c>
      <c r="Z329" s="95" t="s">
        <v>72</v>
      </c>
      <c r="AA329" s="95" t="s">
        <v>72</v>
      </c>
      <c r="AB329" s="95" t="s">
        <v>72</v>
      </c>
      <c r="AC329" s="95" t="s">
        <v>72</v>
      </c>
      <c r="AD329" s="95" t="s">
        <v>72</v>
      </c>
      <c r="AE329" s="95" t="s">
        <v>72</v>
      </c>
      <c r="AF329" s="95" t="s">
        <v>72</v>
      </c>
      <c r="AG329" s="95" t="s">
        <v>72</v>
      </c>
      <c r="AH329" s="95" t="s">
        <v>72</v>
      </c>
      <c r="AI329" s="95" t="s">
        <v>72</v>
      </c>
      <c r="AK329" s="95" t="s">
        <v>72</v>
      </c>
    </row>
    <row r="330" spans="1:37" x14ac:dyDescent="0.2">
      <c r="A330" s="95" t="s">
        <v>339</v>
      </c>
      <c r="B330" s="95" t="s">
        <v>69</v>
      </c>
      <c r="I330" s="95">
        <v>0.9</v>
      </c>
      <c r="K330" s="95">
        <v>0.77</v>
      </c>
      <c r="R330" s="95" t="s">
        <v>5398</v>
      </c>
      <c r="S330" s="95" t="s">
        <v>338</v>
      </c>
      <c r="U330" s="95" t="s">
        <v>72</v>
      </c>
      <c r="V330" s="95" t="s">
        <v>72</v>
      </c>
      <c r="W330" s="95" t="s">
        <v>72</v>
      </c>
      <c r="X330" s="95" t="s">
        <v>72</v>
      </c>
      <c r="Y330" s="95" t="s">
        <v>72</v>
      </c>
      <c r="Z330" s="95" t="s">
        <v>72</v>
      </c>
      <c r="AA330" s="95" t="s">
        <v>72</v>
      </c>
      <c r="AB330" s="95" t="s">
        <v>72</v>
      </c>
      <c r="AC330" s="95" t="s">
        <v>72</v>
      </c>
      <c r="AD330" s="95" t="s">
        <v>72</v>
      </c>
      <c r="AE330" s="95" t="s">
        <v>72</v>
      </c>
      <c r="AF330" s="95" t="s">
        <v>72</v>
      </c>
      <c r="AG330" s="95" t="s">
        <v>72</v>
      </c>
      <c r="AH330" s="95" t="s">
        <v>72</v>
      </c>
      <c r="AI330" s="95" t="s">
        <v>72</v>
      </c>
      <c r="AK330" s="95" t="s">
        <v>72</v>
      </c>
    </row>
    <row r="331" spans="1:37" x14ac:dyDescent="0.2">
      <c r="A331" s="95" t="s">
        <v>339</v>
      </c>
      <c r="B331" s="95" t="s">
        <v>69</v>
      </c>
      <c r="I331" s="95">
        <v>0.84</v>
      </c>
      <c r="K331" s="95">
        <v>0.52</v>
      </c>
      <c r="R331" s="95" t="s">
        <v>5398</v>
      </c>
      <c r="S331" s="95" t="s">
        <v>338</v>
      </c>
      <c r="U331" s="95" t="s">
        <v>72</v>
      </c>
      <c r="V331" s="95" t="s">
        <v>72</v>
      </c>
      <c r="W331" s="95" t="s">
        <v>72</v>
      </c>
      <c r="X331" s="95" t="s">
        <v>72</v>
      </c>
      <c r="Y331" s="95" t="s">
        <v>72</v>
      </c>
      <c r="Z331" s="95" t="s">
        <v>72</v>
      </c>
      <c r="AA331" s="95" t="s">
        <v>72</v>
      </c>
      <c r="AB331" s="95" t="s">
        <v>72</v>
      </c>
      <c r="AC331" s="95" t="s">
        <v>72</v>
      </c>
      <c r="AD331" s="95" t="s">
        <v>72</v>
      </c>
      <c r="AE331" s="95" t="s">
        <v>72</v>
      </c>
      <c r="AF331" s="95" t="s">
        <v>72</v>
      </c>
      <c r="AG331" s="95" t="s">
        <v>72</v>
      </c>
      <c r="AH331" s="95" t="s">
        <v>72</v>
      </c>
      <c r="AI331" s="95" t="s">
        <v>72</v>
      </c>
      <c r="AK331" s="95" t="s">
        <v>72</v>
      </c>
    </row>
    <row r="332" spans="1:37" x14ac:dyDescent="0.2">
      <c r="A332" s="95" t="s">
        <v>339</v>
      </c>
      <c r="B332" s="95" t="s">
        <v>69</v>
      </c>
      <c r="I332" s="95">
        <v>0.86</v>
      </c>
      <c r="K332" s="95">
        <v>0.63</v>
      </c>
      <c r="R332" s="95" t="s">
        <v>5398</v>
      </c>
      <c r="S332" s="95" t="s">
        <v>338</v>
      </c>
      <c r="U332" s="95" t="s">
        <v>72</v>
      </c>
      <c r="V332" s="95" t="s">
        <v>72</v>
      </c>
      <c r="W332" s="95" t="s">
        <v>72</v>
      </c>
      <c r="X332" s="95" t="s">
        <v>72</v>
      </c>
      <c r="Y332" s="95" t="s">
        <v>72</v>
      </c>
      <c r="Z332" s="95" t="s">
        <v>72</v>
      </c>
      <c r="AA332" s="95" t="s">
        <v>72</v>
      </c>
      <c r="AB332" s="95" t="s">
        <v>72</v>
      </c>
      <c r="AC332" s="95" t="s">
        <v>72</v>
      </c>
      <c r="AD332" s="95" t="s">
        <v>72</v>
      </c>
      <c r="AE332" s="95" t="s">
        <v>72</v>
      </c>
      <c r="AF332" s="95" t="s">
        <v>72</v>
      </c>
      <c r="AG332" s="95" t="s">
        <v>72</v>
      </c>
      <c r="AH332" s="95" t="s">
        <v>72</v>
      </c>
      <c r="AI332" s="95" t="s">
        <v>72</v>
      </c>
      <c r="AK332" s="95" t="s">
        <v>72</v>
      </c>
    </row>
    <row r="333" spans="1:37" x14ac:dyDescent="0.2">
      <c r="A333" s="95" t="s">
        <v>339</v>
      </c>
      <c r="B333" s="95" t="s">
        <v>69</v>
      </c>
      <c r="I333" s="95">
        <v>0.84</v>
      </c>
      <c r="K333" s="95">
        <v>0.55000000000000004</v>
      </c>
      <c r="R333" s="95" t="s">
        <v>5398</v>
      </c>
      <c r="S333" s="95" t="s">
        <v>338</v>
      </c>
      <c r="U333" s="95" t="s">
        <v>72</v>
      </c>
      <c r="V333" s="95" t="s">
        <v>72</v>
      </c>
      <c r="W333" s="95" t="s">
        <v>72</v>
      </c>
      <c r="X333" s="95" t="s">
        <v>72</v>
      </c>
      <c r="Y333" s="95" t="s">
        <v>72</v>
      </c>
      <c r="Z333" s="95" t="s">
        <v>72</v>
      </c>
      <c r="AA333" s="95" t="s">
        <v>72</v>
      </c>
      <c r="AB333" s="95" t="s">
        <v>72</v>
      </c>
      <c r="AC333" s="95" t="s">
        <v>72</v>
      </c>
      <c r="AD333" s="95" t="s">
        <v>72</v>
      </c>
      <c r="AE333" s="95" t="s">
        <v>72</v>
      </c>
      <c r="AF333" s="95" t="s">
        <v>72</v>
      </c>
      <c r="AG333" s="95" t="s">
        <v>72</v>
      </c>
      <c r="AH333" s="95" t="s">
        <v>72</v>
      </c>
      <c r="AI333" s="95" t="s">
        <v>72</v>
      </c>
      <c r="AK333" s="95" t="s">
        <v>72</v>
      </c>
    </row>
    <row r="334" spans="1:37" x14ac:dyDescent="0.2">
      <c r="A334" s="95" t="s">
        <v>339</v>
      </c>
      <c r="B334" s="95" t="s">
        <v>69</v>
      </c>
      <c r="I334" s="95">
        <v>0.83</v>
      </c>
      <c r="K334" s="95">
        <v>0.48</v>
      </c>
      <c r="R334" s="95" t="s">
        <v>5398</v>
      </c>
      <c r="S334" s="95" t="s">
        <v>338</v>
      </c>
      <c r="U334" s="95" t="s">
        <v>72</v>
      </c>
      <c r="V334" s="95" t="s">
        <v>72</v>
      </c>
      <c r="W334" s="95" t="s">
        <v>72</v>
      </c>
      <c r="X334" s="95" t="s">
        <v>72</v>
      </c>
      <c r="Y334" s="95" t="s">
        <v>72</v>
      </c>
      <c r="Z334" s="95" t="s">
        <v>72</v>
      </c>
      <c r="AA334" s="95" t="s">
        <v>72</v>
      </c>
      <c r="AB334" s="95" t="s">
        <v>72</v>
      </c>
      <c r="AC334" s="95" t="s">
        <v>72</v>
      </c>
      <c r="AD334" s="95" t="s">
        <v>72</v>
      </c>
      <c r="AE334" s="95" t="s">
        <v>72</v>
      </c>
      <c r="AF334" s="95" t="s">
        <v>72</v>
      </c>
      <c r="AG334" s="95" t="s">
        <v>72</v>
      </c>
      <c r="AH334" s="95" t="s">
        <v>72</v>
      </c>
      <c r="AI334" s="95" t="s">
        <v>72</v>
      </c>
      <c r="AK334" s="95" t="s">
        <v>72</v>
      </c>
    </row>
    <row r="335" spans="1:37" x14ac:dyDescent="0.2">
      <c r="A335" s="95" t="s">
        <v>339</v>
      </c>
      <c r="B335" s="95" t="s">
        <v>69</v>
      </c>
      <c r="I335" s="95">
        <v>0.83</v>
      </c>
      <c r="K335" s="95">
        <v>0.48</v>
      </c>
      <c r="R335" s="95" t="s">
        <v>5398</v>
      </c>
      <c r="S335" s="95" t="s">
        <v>338</v>
      </c>
      <c r="U335" s="95" t="s">
        <v>72</v>
      </c>
      <c r="V335" s="95" t="s">
        <v>72</v>
      </c>
      <c r="W335" s="95" t="s">
        <v>72</v>
      </c>
      <c r="X335" s="95" t="s">
        <v>72</v>
      </c>
      <c r="Y335" s="95" t="s">
        <v>72</v>
      </c>
      <c r="Z335" s="95" t="s">
        <v>72</v>
      </c>
      <c r="AA335" s="95" t="s">
        <v>72</v>
      </c>
      <c r="AB335" s="95" t="s">
        <v>72</v>
      </c>
      <c r="AC335" s="95" t="s">
        <v>72</v>
      </c>
      <c r="AD335" s="95" t="s">
        <v>72</v>
      </c>
      <c r="AE335" s="95" t="s">
        <v>72</v>
      </c>
      <c r="AF335" s="95" t="s">
        <v>72</v>
      </c>
      <c r="AG335" s="95" t="s">
        <v>72</v>
      </c>
      <c r="AH335" s="95" t="s">
        <v>72</v>
      </c>
      <c r="AI335" s="95" t="s">
        <v>72</v>
      </c>
      <c r="AK335" s="95" t="s">
        <v>72</v>
      </c>
    </row>
    <row r="336" spans="1:37" x14ac:dyDescent="0.2">
      <c r="A336" s="95" t="s">
        <v>339</v>
      </c>
      <c r="B336" s="95" t="s">
        <v>69</v>
      </c>
      <c r="I336" s="95">
        <v>0.83</v>
      </c>
      <c r="K336" s="95">
        <v>0.49</v>
      </c>
      <c r="R336" s="95" t="s">
        <v>5398</v>
      </c>
      <c r="S336" s="95" t="s">
        <v>338</v>
      </c>
      <c r="U336" s="95" t="s">
        <v>72</v>
      </c>
      <c r="V336" s="95" t="s">
        <v>72</v>
      </c>
      <c r="W336" s="95" t="s">
        <v>72</v>
      </c>
      <c r="X336" s="95" t="s">
        <v>72</v>
      </c>
      <c r="Y336" s="95" t="s">
        <v>72</v>
      </c>
      <c r="Z336" s="95" t="s">
        <v>72</v>
      </c>
      <c r="AA336" s="95" t="s">
        <v>72</v>
      </c>
      <c r="AB336" s="95" t="s">
        <v>72</v>
      </c>
      <c r="AC336" s="95" t="s">
        <v>72</v>
      </c>
      <c r="AD336" s="95" t="s">
        <v>72</v>
      </c>
      <c r="AE336" s="95" t="s">
        <v>72</v>
      </c>
      <c r="AF336" s="95" t="s">
        <v>72</v>
      </c>
      <c r="AG336" s="95" t="s">
        <v>72</v>
      </c>
      <c r="AH336" s="95" t="s">
        <v>72</v>
      </c>
      <c r="AI336" s="95" t="s">
        <v>72</v>
      </c>
      <c r="AK336" s="95" t="s">
        <v>72</v>
      </c>
    </row>
    <row r="337" spans="1:37" x14ac:dyDescent="0.2">
      <c r="A337" s="95" t="s">
        <v>339</v>
      </c>
      <c r="B337" s="95" t="s">
        <v>69</v>
      </c>
      <c r="I337" s="95">
        <v>0.82</v>
      </c>
      <c r="K337" s="95">
        <v>0.45</v>
      </c>
      <c r="R337" s="95" t="s">
        <v>5398</v>
      </c>
      <c r="S337" s="95" t="s">
        <v>338</v>
      </c>
      <c r="U337" s="95" t="s">
        <v>72</v>
      </c>
      <c r="V337" s="95" t="s">
        <v>72</v>
      </c>
      <c r="W337" s="95" t="s">
        <v>72</v>
      </c>
      <c r="X337" s="95" t="s">
        <v>72</v>
      </c>
      <c r="Y337" s="95" t="s">
        <v>72</v>
      </c>
      <c r="Z337" s="95" t="s">
        <v>72</v>
      </c>
      <c r="AA337" s="95" t="s">
        <v>72</v>
      </c>
      <c r="AB337" s="95" t="s">
        <v>72</v>
      </c>
      <c r="AC337" s="95" t="s">
        <v>72</v>
      </c>
      <c r="AD337" s="95" t="s">
        <v>72</v>
      </c>
      <c r="AE337" s="95" t="s">
        <v>72</v>
      </c>
      <c r="AF337" s="95" t="s">
        <v>72</v>
      </c>
      <c r="AG337" s="95" t="s">
        <v>72</v>
      </c>
      <c r="AH337" s="95" t="s">
        <v>72</v>
      </c>
      <c r="AI337" s="95" t="s">
        <v>72</v>
      </c>
      <c r="AK337" s="95" t="s">
        <v>72</v>
      </c>
    </row>
    <row r="338" spans="1:37" x14ac:dyDescent="0.2">
      <c r="A338" s="95" t="s">
        <v>339</v>
      </c>
      <c r="B338" s="95" t="s">
        <v>69</v>
      </c>
      <c r="I338" s="95">
        <v>0.86</v>
      </c>
      <c r="K338" s="95">
        <v>0.6</v>
      </c>
      <c r="R338" s="95" t="s">
        <v>5398</v>
      </c>
      <c r="S338" s="95" t="s">
        <v>338</v>
      </c>
      <c r="U338" s="95" t="s">
        <v>72</v>
      </c>
      <c r="V338" s="95" t="s">
        <v>72</v>
      </c>
      <c r="W338" s="95" t="s">
        <v>72</v>
      </c>
      <c r="X338" s="95" t="s">
        <v>72</v>
      </c>
      <c r="Y338" s="95" t="s">
        <v>72</v>
      </c>
      <c r="Z338" s="95" t="s">
        <v>72</v>
      </c>
      <c r="AA338" s="95" t="s">
        <v>72</v>
      </c>
      <c r="AB338" s="95" t="s">
        <v>72</v>
      </c>
      <c r="AC338" s="95" t="s">
        <v>72</v>
      </c>
      <c r="AD338" s="95" t="s">
        <v>72</v>
      </c>
      <c r="AE338" s="95" t="s">
        <v>72</v>
      </c>
      <c r="AF338" s="95" t="s">
        <v>72</v>
      </c>
      <c r="AG338" s="95" t="s">
        <v>72</v>
      </c>
      <c r="AH338" s="95" t="s">
        <v>72</v>
      </c>
      <c r="AI338" s="95" t="s">
        <v>72</v>
      </c>
      <c r="AK338" s="95" t="s">
        <v>72</v>
      </c>
    </row>
    <row r="339" spans="1:37" x14ac:dyDescent="0.2">
      <c r="A339" s="95" t="s">
        <v>339</v>
      </c>
      <c r="B339" s="95" t="s">
        <v>69</v>
      </c>
      <c r="I339" s="95">
        <v>0.85</v>
      </c>
      <c r="K339" s="95">
        <v>0.57999999999999996</v>
      </c>
      <c r="R339" s="95" t="s">
        <v>5398</v>
      </c>
      <c r="S339" s="95" t="s">
        <v>338</v>
      </c>
      <c r="U339" s="95" t="s">
        <v>72</v>
      </c>
      <c r="V339" s="95" t="s">
        <v>72</v>
      </c>
      <c r="W339" s="95" t="s">
        <v>72</v>
      </c>
      <c r="X339" s="95" t="s">
        <v>72</v>
      </c>
      <c r="Y339" s="95" t="s">
        <v>72</v>
      </c>
      <c r="Z339" s="95" t="s">
        <v>72</v>
      </c>
      <c r="AA339" s="95" t="s">
        <v>72</v>
      </c>
      <c r="AB339" s="95" t="s">
        <v>72</v>
      </c>
      <c r="AC339" s="95" t="s">
        <v>72</v>
      </c>
      <c r="AD339" s="95" t="s">
        <v>72</v>
      </c>
      <c r="AE339" s="95" t="s">
        <v>72</v>
      </c>
      <c r="AF339" s="95" t="s">
        <v>72</v>
      </c>
      <c r="AG339" s="95" t="s">
        <v>72</v>
      </c>
      <c r="AH339" s="95" t="s">
        <v>72</v>
      </c>
      <c r="AI339" s="95" t="s">
        <v>72</v>
      </c>
      <c r="AK339" s="95" t="s">
        <v>72</v>
      </c>
    </row>
    <row r="340" spans="1:37" x14ac:dyDescent="0.2">
      <c r="A340" s="95" t="s">
        <v>339</v>
      </c>
      <c r="B340" s="95" t="s">
        <v>69</v>
      </c>
      <c r="I340" s="95">
        <v>1.24</v>
      </c>
      <c r="K340" s="95">
        <v>1.87</v>
      </c>
      <c r="R340" s="95" t="s">
        <v>5397</v>
      </c>
      <c r="S340" s="95" t="s">
        <v>338</v>
      </c>
      <c r="U340" s="95" t="s">
        <v>72</v>
      </c>
      <c r="V340" s="95" t="s">
        <v>72</v>
      </c>
      <c r="W340" s="95" t="s">
        <v>72</v>
      </c>
      <c r="X340" s="95" t="s">
        <v>72</v>
      </c>
      <c r="Y340" s="95" t="s">
        <v>72</v>
      </c>
      <c r="Z340" s="95" t="s">
        <v>72</v>
      </c>
      <c r="AA340" s="95" t="s">
        <v>72</v>
      </c>
      <c r="AB340" s="95" t="s">
        <v>72</v>
      </c>
      <c r="AC340" s="95" t="s">
        <v>72</v>
      </c>
      <c r="AD340" s="95" t="s">
        <v>72</v>
      </c>
      <c r="AE340" s="95" t="s">
        <v>72</v>
      </c>
      <c r="AF340" s="95" t="s">
        <v>72</v>
      </c>
      <c r="AG340" s="95" t="s">
        <v>72</v>
      </c>
      <c r="AH340" s="95" t="s">
        <v>72</v>
      </c>
      <c r="AI340" s="95" t="s">
        <v>72</v>
      </c>
      <c r="AK340" s="95" t="s">
        <v>72</v>
      </c>
    </row>
    <row r="341" spans="1:37" x14ac:dyDescent="0.2">
      <c r="A341" s="95" t="s">
        <v>339</v>
      </c>
      <c r="B341" s="95" t="s">
        <v>69</v>
      </c>
      <c r="I341" s="95">
        <v>1.1599999999999999</v>
      </c>
      <c r="K341" s="95">
        <v>1.27</v>
      </c>
      <c r="R341" s="95" t="s">
        <v>5397</v>
      </c>
      <c r="S341" s="95" t="s">
        <v>338</v>
      </c>
      <c r="U341" s="95" t="s">
        <v>72</v>
      </c>
      <c r="V341" s="95" t="s">
        <v>72</v>
      </c>
      <c r="W341" s="95" t="s">
        <v>72</v>
      </c>
      <c r="X341" s="95" t="s">
        <v>72</v>
      </c>
      <c r="Y341" s="95" t="s">
        <v>72</v>
      </c>
      <c r="Z341" s="95" t="s">
        <v>72</v>
      </c>
      <c r="AA341" s="95" t="s">
        <v>72</v>
      </c>
      <c r="AB341" s="95" t="s">
        <v>72</v>
      </c>
      <c r="AC341" s="95" t="s">
        <v>72</v>
      </c>
      <c r="AD341" s="95" t="s">
        <v>72</v>
      </c>
      <c r="AE341" s="95" t="s">
        <v>72</v>
      </c>
      <c r="AF341" s="95" t="s">
        <v>72</v>
      </c>
      <c r="AG341" s="95" t="s">
        <v>72</v>
      </c>
      <c r="AH341" s="95" t="s">
        <v>72</v>
      </c>
      <c r="AI341" s="95" t="s">
        <v>72</v>
      </c>
      <c r="AK341" s="95" t="s">
        <v>72</v>
      </c>
    </row>
    <row r="342" spans="1:37" x14ac:dyDescent="0.2">
      <c r="A342" s="95" t="s">
        <v>339</v>
      </c>
      <c r="B342" s="95" t="s">
        <v>69</v>
      </c>
      <c r="I342" s="95">
        <v>1.19</v>
      </c>
      <c r="K342" s="95">
        <v>1.52</v>
      </c>
      <c r="R342" s="95" t="s">
        <v>5397</v>
      </c>
      <c r="S342" s="95" t="s">
        <v>338</v>
      </c>
      <c r="U342" s="95" t="s">
        <v>72</v>
      </c>
      <c r="V342" s="95" t="s">
        <v>72</v>
      </c>
      <c r="W342" s="95" t="s">
        <v>72</v>
      </c>
      <c r="X342" s="95" t="s">
        <v>72</v>
      </c>
      <c r="Y342" s="95" t="s">
        <v>72</v>
      </c>
      <c r="Z342" s="95" t="s">
        <v>72</v>
      </c>
      <c r="AA342" s="95" t="s">
        <v>72</v>
      </c>
      <c r="AB342" s="95" t="s">
        <v>72</v>
      </c>
      <c r="AC342" s="95" t="s">
        <v>72</v>
      </c>
      <c r="AD342" s="95" t="s">
        <v>72</v>
      </c>
      <c r="AE342" s="95" t="s">
        <v>72</v>
      </c>
      <c r="AF342" s="95" t="s">
        <v>72</v>
      </c>
      <c r="AG342" s="95" t="s">
        <v>72</v>
      </c>
      <c r="AH342" s="95" t="s">
        <v>72</v>
      </c>
      <c r="AI342" s="95" t="s">
        <v>72</v>
      </c>
      <c r="AK342" s="95" t="s">
        <v>72</v>
      </c>
    </row>
    <row r="343" spans="1:37" x14ac:dyDescent="0.2">
      <c r="A343" s="95" t="s">
        <v>339</v>
      </c>
      <c r="B343" s="95" t="s">
        <v>69</v>
      </c>
      <c r="I343" s="95">
        <v>1.17</v>
      </c>
      <c r="K343" s="95">
        <v>1.32</v>
      </c>
      <c r="R343" s="95" t="s">
        <v>5397</v>
      </c>
      <c r="S343" s="95" t="s">
        <v>338</v>
      </c>
      <c r="U343" s="95" t="s">
        <v>72</v>
      </c>
      <c r="V343" s="95" t="s">
        <v>72</v>
      </c>
      <c r="W343" s="95" t="s">
        <v>72</v>
      </c>
      <c r="X343" s="95" t="s">
        <v>72</v>
      </c>
      <c r="Y343" s="95" t="s">
        <v>72</v>
      </c>
      <c r="Z343" s="95" t="s">
        <v>72</v>
      </c>
      <c r="AA343" s="95" t="s">
        <v>72</v>
      </c>
      <c r="AB343" s="95" t="s">
        <v>72</v>
      </c>
      <c r="AC343" s="95" t="s">
        <v>72</v>
      </c>
      <c r="AD343" s="95" t="s">
        <v>72</v>
      </c>
      <c r="AE343" s="95" t="s">
        <v>72</v>
      </c>
      <c r="AF343" s="95" t="s">
        <v>72</v>
      </c>
      <c r="AG343" s="95" t="s">
        <v>72</v>
      </c>
      <c r="AH343" s="95" t="s">
        <v>72</v>
      </c>
      <c r="AI343" s="95" t="s">
        <v>72</v>
      </c>
      <c r="AK343" s="95" t="s">
        <v>72</v>
      </c>
    </row>
    <row r="344" spans="1:37" x14ac:dyDescent="0.2">
      <c r="A344" s="95" t="s">
        <v>339</v>
      </c>
      <c r="B344" s="95" t="s">
        <v>69</v>
      </c>
      <c r="I344" s="95">
        <v>1.1399999999999999</v>
      </c>
      <c r="K344" s="95">
        <v>1.17</v>
      </c>
      <c r="R344" s="95" t="s">
        <v>5397</v>
      </c>
      <c r="S344" s="95" t="s">
        <v>338</v>
      </c>
      <c r="U344" s="95" t="s">
        <v>72</v>
      </c>
      <c r="V344" s="95" t="s">
        <v>72</v>
      </c>
      <c r="W344" s="95" t="s">
        <v>72</v>
      </c>
      <c r="X344" s="95" t="s">
        <v>72</v>
      </c>
      <c r="Y344" s="95" t="s">
        <v>72</v>
      </c>
      <c r="Z344" s="95" t="s">
        <v>72</v>
      </c>
      <c r="AA344" s="95" t="s">
        <v>72</v>
      </c>
      <c r="AB344" s="95" t="s">
        <v>72</v>
      </c>
      <c r="AC344" s="95" t="s">
        <v>72</v>
      </c>
      <c r="AD344" s="95" t="s">
        <v>72</v>
      </c>
      <c r="AE344" s="95" t="s">
        <v>72</v>
      </c>
      <c r="AF344" s="95" t="s">
        <v>72</v>
      </c>
      <c r="AG344" s="95" t="s">
        <v>72</v>
      </c>
      <c r="AH344" s="95" t="s">
        <v>72</v>
      </c>
      <c r="AI344" s="95" t="s">
        <v>72</v>
      </c>
      <c r="AK344" s="95" t="s">
        <v>72</v>
      </c>
    </row>
    <row r="345" spans="1:37" x14ac:dyDescent="0.2">
      <c r="A345" s="95" t="s">
        <v>339</v>
      </c>
      <c r="B345" s="95" t="s">
        <v>69</v>
      </c>
      <c r="I345" s="95">
        <v>1.1399999999999999</v>
      </c>
      <c r="K345" s="95">
        <v>1.17</v>
      </c>
      <c r="R345" s="95" t="s">
        <v>5397</v>
      </c>
      <c r="S345" s="95" t="s">
        <v>338</v>
      </c>
      <c r="U345" s="95" t="s">
        <v>72</v>
      </c>
      <c r="V345" s="95" t="s">
        <v>72</v>
      </c>
      <c r="W345" s="95" t="s">
        <v>72</v>
      </c>
      <c r="X345" s="95" t="s">
        <v>72</v>
      </c>
      <c r="Y345" s="95" t="s">
        <v>72</v>
      </c>
      <c r="Z345" s="95" t="s">
        <v>72</v>
      </c>
      <c r="AA345" s="95" t="s">
        <v>72</v>
      </c>
      <c r="AB345" s="95" t="s">
        <v>72</v>
      </c>
      <c r="AC345" s="95" t="s">
        <v>72</v>
      </c>
      <c r="AD345" s="95" t="s">
        <v>72</v>
      </c>
      <c r="AE345" s="95" t="s">
        <v>72</v>
      </c>
      <c r="AF345" s="95" t="s">
        <v>72</v>
      </c>
      <c r="AG345" s="95" t="s">
        <v>72</v>
      </c>
      <c r="AH345" s="95" t="s">
        <v>72</v>
      </c>
      <c r="AI345" s="95" t="s">
        <v>72</v>
      </c>
      <c r="AK345" s="95" t="s">
        <v>72</v>
      </c>
    </row>
    <row r="346" spans="1:37" x14ac:dyDescent="0.2">
      <c r="A346" s="95" t="s">
        <v>339</v>
      </c>
      <c r="B346" s="95" t="s">
        <v>69</v>
      </c>
      <c r="I346" s="95">
        <v>1.1499999999999999</v>
      </c>
      <c r="K346" s="95">
        <v>1.19</v>
      </c>
      <c r="R346" s="95" t="s">
        <v>5397</v>
      </c>
      <c r="S346" s="95" t="s">
        <v>338</v>
      </c>
      <c r="U346" s="95" t="s">
        <v>72</v>
      </c>
      <c r="V346" s="95" t="s">
        <v>72</v>
      </c>
      <c r="W346" s="95" t="s">
        <v>72</v>
      </c>
      <c r="X346" s="95" t="s">
        <v>72</v>
      </c>
      <c r="Y346" s="95" t="s">
        <v>72</v>
      </c>
      <c r="Z346" s="95" t="s">
        <v>72</v>
      </c>
      <c r="AA346" s="95" t="s">
        <v>72</v>
      </c>
      <c r="AB346" s="95" t="s">
        <v>72</v>
      </c>
      <c r="AC346" s="95" t="s">
        <v>72</v>
      </c>
      <c r="AD346" s="95" t="s">
        <v>72</v>
      </c>
      <c r="AE346" s="95" t="s">
        <v>72</v>
      </c>
      <c r="AF346" s="95" t="s">
        <v>72</v>
      </c>
      <c r="AG346" s="95" t="s">
        <v>72</v>
      </c>
      <c r="AH346" s="95" t="s">
        <v>72</v>
      </c>
      <c r="AI346" s="95" t="s">
        <v>72</v>
      </c>
      <c r="AK346" s="95" t="s">
        <v>72</v>
      </c>
    </row>
    <row r="347" spans="1:37" x14ac:dyDescent="0.2">
      <c r="A347" s="95" t="s">
        <v>339</v>
      </c>
      <c r="B347" s="95" t="s">
        <v>69</v>
      </c>
      <c r="I347" s="95">
        <v>1.1299999999999999</v>
      </c>
      <c r="K347" s="95">
        <v>1.0900000000000001</v>
      </c>
      <c r="R347" s="95" t="s">
        <v>5397</v>
      </c>
      <c r="S347" s="95" t="s">
        <v>338</v>
      </c>
      <c r="U347" s="95" t="s">
        <v>72</v>
      </c>
      <c r="V347" s="95" t="s">
        <v>72</v>
      </c>
      <c r="W347" s="95" t="s">
        <v>72</v>
      </c>
      <c r="X347" s="95" t="s">
        <v>72</v>
      </c>
      <c r="Y347" s="95" t="s">
        <v>72</v>
      </c>
      <c r="Z347" s="95" t="s">
        <v>72</v>
      </c>
      <c r="AA347" s="95" t="s">
        <v>72</v>
      </c>
      <c r="AB347" s="95" t="s">
        <v>72</v>
      </c>
      <c r="AC347" s="95" t="s">
        <v>72</v>
      </c>
      <c r="AD347" s="95" t="s">
        <v>72</v>
      </c>
      <c r="AE347" s="95" t="s">
        <v>72</v>
      </c>
      <c r="AF347" s="95" t="s">
        <v>72</v>
      </c>
      <c r="AG347" s="95" t="s">
        <v>72</v>
      </c>
      <c r="AH347" s="95" t="s">
        <v>72</v>
      </c>
      <c r="AI347" s="95" t="s">
        <v>72</v>
      </c>
      <c r="AK347" s="95" t="s">
        <v>72</v>
      </c>
    </row>
    <row r="348" spans="1:37" x14ac:dyDescent="0.2">
      <c r="A348" s="95" t="s">
        <v>339</v>
      </c>
      <c r="B348" s="95" t="s">
        <v>69</v>
      </c>
      <c r="I348" s="95">
        <v>1.19</v>
      </c>
      <c r="K348" s="95">
        <v>1.46</v>
      </c>
      <c r="R348" s="95" t="s">
        <v>5397</v>
      </c>
      <c r="S348" s="95" t="s">
        <v>338</v>
      </c>
      <c r="U348" s="95" t="s">
        <v>72</v>
      </c>
      <c r="V348" s="95" t="s">
        <v>72</v>
      </c>
      <c r="W348" s="95" t="s">
        <v>72</v>
      </c>
      <c r="X348" s="95" t="s">
        <v>72</v>
      </c>
      <c r="Y348" s="95" t="s">
        <v>72</v>
      </c>
      <c r="Z348" s="95" t="s">
        <v>72</v>
      </c>
      <c r="AA348" s="95" t="s">
        <v>72</v>
      </c>
      <c r="AB348" s="95" t="s">
        <v>72</v>
      </c>
      <c r="AC348" s="95" t="s">
        <v>72</v>
      </c>
      <c r="AD348" s="95" t="s">
        <v>72</v>
      </c>
      <c r="AE348" s="95" t="s">
        <v>72</v>
      </c>
      <c r="AF348" s="95" t="s">
        <v>72</v>
      </c>
      <c r="AG348" s="95" t="s">
        <v>72</v>
      </c>
      <c r="AH348" s="95" t="s">
        <v>72</v>
      </c>
      <c r="AI348" s="95" t="s">
        <v>72</v>
      </c>
      <c r="AK348" s="95" t="s">
        <v>72</v>
      </c>
    </row>
    <row r="349" spans="1:37" x14ac:dyDescent="0.2">
      <c r="A349" s="95" t="s">
        <v>339</v>
      </c>
      <c r="B349" s="95" t="s">
        <v>69</v>
      </c>
      <c r="I349" s="95">
        <v>1.18</v>
      </c>
      <c r="K349" s="95">
        <v>1.39</v>
      </c>
      <c r="R349" s="95" t="s">
        <v>5397</v>
      </c>
      <c r="S349" s="95" t="s">
        <v>338</v>
      </c>
      <c r="U349" s="95" t="s">
        <v>72</v>
      </c>
      <c r="V349" s="95" t="s">
        <v>72</v>
      </c>
      <c r="W349" s="95" t="s">
        <v>72</v>
      </c>
      <c r="X349" s="95" t="s">
        <v>72</v>
      </c>
      <c r="Y349" s="95" t="s">
        <v>72</v>
      </c>
      <c r="Z349" s="95" t="s">
        <v>72</v>
      </c>
      <c r="AA349" s="95" t="s">
        <v>72</v>
      </c>
      <c r="AB349" s="95" t="s">
        <v>72</v>
      </c>
      <c r="AC349" s="95" t="s">
        <v>72</v>
      </c>
      <c r="AD349" s="95" t="s">
        <v>72</v>
      </c>
      <c r="AE349" s="95" t="s">
        <v>72</v>
      </c>
      <c r="AF349" s="95" t="s">
        <v>72</v>
      </c>
      <c r="AG349" s="95" t="s">
        <v>72</v>
      </c>
      <c r="AH349" s="95" t="s">
        <v>72</v>
      </c>
      <c r="AI349" s="95" t="s">
        <v>72</v>
      </c>
      <c r="AK349" s="95" t="s">
        <v>72</v>
      </c>
    </row>
    <row r="350" spans="1:37" x14ac:dyDescent="0.2">
      <c r="A350" s="95" t="s">
        <v>340</v>
      </c>
      <c r="B350" s="95" t="s">
        <v>69</v>
      </c>
      <c r="I350" s="95">
        <v>0.73</v>
      </c>
      <c r="K350" s="95">
        <v>3.62</v>
      </c>
      <c r="R350" s="95" t="s">
        <v>5398</v>
      </c>
      <c r="S350" s="95" t="s">
        <v>338</v>
      </c>
      <c r="U350" s="95" t="s">
        <v>72</v>
      </c>
      <c r="V350" s="95" t="s">
        <v>72</v>
      </c>
      <c r="W350" s="95" t="s">
        <v>72</v>
      </c>
      <c r="X350" s="95" t="s">
        <v>72</v>
      </c>
      <c r="Y350" s="95" t="s">
        <v>72</v>
      </c>
      <c r="Z350" s="95" t="s">
        <v>72</v>
      </c>
      <c r="AA350" s="95" t="s">
        <v>72</v>
      </c>
      <c r="AB350" s="95" t="s">
        <v>72</v>
      </c>
      <c r="AC350" s="95" t="s">
        <v>72</v>
      </c>
      <c r="AD350" s="95" t="s">
        <v>72</v>
      </c>
      <c r="AE350" s="95" t="s">
        <v>72</v>
      </c>
      <c r="AF350" s="95" t="s">
        <v>72</v>
      </c>
      <c r="AG350" s="95" t="s">
        <v>72</v>
      </c>
      <c r="AH350" s="95" t="s">
        <v>72</v>
      </c>
      <c r="AI350" s="95" t="s">
        <v>72</v>
      </c>
      <c r="AK350" s="95" t="s">
        <v>71</v>
      </c>
    </row>
    <row r="351" spans="1:37" x14ac:dyDescent="0.2">
      <c r="A351" s="95" t="s">
        <v>340</v>
      </c>
      <c r="B351" s="95" t="s">
        <v>69</v>
      </c>
      <c r="I351" s="95">
        <v>0.68</v>
      </c>
      <c r="K351" s="95">
        <v>2.4500000000000002</v>
      </c>
      <c r="R351" s="95" t="s">
        <v>5398</v>
      </c>
      <c r="S351" s="95" t="s">
        <v>338</v>
      </c>
      <c r="U351" s="95" t="s">
        <v>72</v>
      </c>
      <c r="V351" s="95" t="s">
        <v>72</v>
      </c>
      <c r="W351" s="95" t="s">
        <v>72</v>
      </c>
      <c r="X351" s="95" t="s">
        <v>72</v>
      </c>
      <c r="Y351" s="95" t="s">
        <v>72</v>
      </c>
      <c r="Z351" s="95" t="s">
        <v>72</v>
      </c>
      <c r="AA351" s="95" t="s">
        <v>72</v>
      </c>
      <c r="AB351" s="95" t="s">
        <v>72</v>
      </c>
      <c r="AC351" s="95" t="s">
        <v>72</v>
      </c>
      <c r="AD351" s="95" t="s">
        <v>72</v>
      </c>
      <c r="AE351" s="95" t="s">
        <v>72</v>
      </c>
      <c r="AF351" s="95" t="s">
        <v>72</v>
      </c>
      <c r="AG351" s="95" t="s">
        <v>72</v>
      </c>
      <c r="AH351" s="95" t="s">
        <v>72</v>
      </c>
      <c r="AI351" s="95" t="s">
        <v>72</v>
      </c>
      <c r="AK351" s="95" t="s">
        <v>71</v>
      </c>
    </row>
    <row r="352" spans="1:37" x14ac:dyDescent="0.2">
      <c r="A352" s="95" t="s">
        <v>340</v>
      </c>
      <c r="B352" s="95" t="s">
        <v>69</v>
      </c>
      <c r="I352" s="95">
        <v>0.7</v>
      </c>
      <c r="K352" s="95">
        <v>2.94</v>
      </c>
      <c r="R352" s="95" t="s">
        <v>5398</v>
      </c>
      <c r="S352" s="95" t="s">
        <v>338</v>
      </c>
      <c r="U352" s="95" t="s">
        <v>72</v>
      </c>
      <c r="V352" s="95" t="s">
        <v>72</v>
      </c>
      <c r="W352" s="95" t="s">
        <v>72</v>
      </c>
      <c r="X352" s="95" t="s">
        <v>72</v>
      </c>
      <c r="Y352" s="95" t="s">
        <v>72</v>
      </c>
      <c r="Z352" s="95" t="s">
        <v>72</v>
      </c>
      <c r="AA352" s="95" t="s">
        <v>72</v>
      </c>
      <c r="AB352" s="95" t="s">
        <v>72</v>
      </c>
      <c r="AC352" s="95" t="s">
        <v>72</v>
      </c>
      <c r="AD352" s="95" t="s">
        <v>72</v>
      </c>
      <c r="AE352" s="95" t="s">
        <v>72</v>
      </c>
      <c r="AF352" s="95" t="s">
        <v>72</v>
      </c>
      <c r="AG352" s="95" t="s">
        <v>72</v>
      </c>
      <c r="AH352" s="95" t="s">
        <v>72</v>
      </c>
      <c r="AI352" s="95" t="s">
        <v>72</v>
      </c>
      <c r="AK352" s="95" t="s">
        <v>71</v>
      </c>
    </row>
    <row r="353" spans="1:37" x14ac:dyDescent="0.2">
      <c r="A353" s="95" t="s">
        <v>340</v>
      </c>
      <c r="B353" s="95" t="s">
        <v>69</v>
      </c>
      <c r="I353" s="95">
        <v>0.69</v>
      </c>
      <c r="K353" s="95">
        <v>2.56</v>
      </c>
      <c r="R353" s="95" t="s">
        <v>5398</v>
      </c>
      <c r="S353" s="95" t="s">
        <v>338</v>
      </c>
      <c r="U353" s="95" t="s">
        <v>72</v>
      </c>
      <c r="V353" s="95" t="s">
        <v>72</v>
      </c>
      <c r="W353" s="95" t="s">
        <v>72</v>
      </c>
      <c r="X353" s="95" t="s">
        <v>72</v>
      </c>
      <c r="Y353" s="95" t="s">
        <v>72</v>
      </c>
      <c r="Z353" s="95" t="s">
        <v>72</v>
      </c>
      <c r="AA353" s="95" t="s">
        <v>72</v>
      </c>
      <c r="AB353" s="95" t="s">
        <v>72</v>
      </c>
      <c r="AC353" s="95" t="s">
        <v>72</v>
      </c>
      <c r="AD353" s="95" t="s">
        <v>72</v>
      </c>
      <c r="AE353" s="95" t="s">
        <v>72</v>
      </c>
      <c r="AF353" s="95" t="s">
        <v>72</v>
      </c>
      <c r="AG353" s="95" t="s">
        <v>72</v>
      </c>
      <c r="AH353" s="95" t="s">
        <v>72</v>
      </c>
      <c r="AI353" s="95" t="s">
        <v>72</v>
      </c>
      <c r="AK353" s="95" t="s">
        <v>71</v>
      </c>
    </row>
    <row r="354" spans="1:37" x14ac:dyDescent="0.2">
      <c r="A354" s="95" t="s">
        <v>340</v>
      </c>
      <c r="B354" s="95" t="s">
        <v>69</v>
      </c>
      <c r="I354" s="95">
        <v>0.68</v>
      </c>
      <c r="K354" s="95">
        <v>2.2599999999999998</v>
      </c>
      <c r="R354" s="95" t="s">
        <v>5398</v>
      </c>
      <c r="S354" s="95" t="s">
        <v>338</v>
      </c>
      <c r="U354" s="95" t="s">
        <v>72</v>
      </c>
      <c r="V354" s="95" t="s">
        <v>72</v>
      </c>
      <c r="W354" s="95" t="s">
        <v>72</v>
      </c>
      <c r="X354" s="95" t="s">
        <v>72</v>
      </c>
      <c r="Y354" s="95" t="s">
        <v>72</v>
      </c>
      <c r="Z354" s="95" t="s">
        <v>72</v>
      </c>
      <c r="AA354" s="95" t="s">
        <v>72</v>
      </c>
      <c r="AB354" s="95" t="s">
        <v>72</v>
      </c>
      <c r="AC354" s="95" t="s">
        <v>72</v>
      </c>
      <c r="AD354" s="95" t="s">
        <v>72</v>
      </c>
      <c r="AE354" s="95" t="s">
        <v>72</v>
      </c>
      <c r="AF354" s="95" t="s">
        <v>72</v>
      </c>
      <c r="AG354" s="95" t="s">
        <v>72</v>
      </c>
      <c r="AH354" s="95" t="s">
        <v>72</v>
      </c>
      <c r="AI354" s="95" t="s">
        <v>72</v>
      </c>
      <c r="AK354" s="95" t="s">
        <v>71</v>
      </c>
    </row>
    <row r="355" spans="1:37" x14ac:dyDescent="0.2">
      <c r="A355" s="95" t="s">
        <v>340</v>
      </c>
      <c r="B355" s="95" t="s">
        <v>69</v>
      </c>
      <c r="I355" s="95">
        <v>0.68</v>
      </c>
      <c r="K355" s="95">
        <v>2.25</v>
      </c>
      <c r="R355" s="95" t="s">
        <v>5398</v>
      </c>
      <c r="S355" s="95" t="s">
        <v>338</v>
      </c>
      <c r="U355" s="95" t="s">
        <v>72</v>
      </c>
      <c r="V355" s="95" t="s">
        <v>72</v>
      </c>
      <c r="W355" s="95" t="s">
        <v>72</v>
      </c>
      <c r="X355" s="95" t="s">
        <v>72</v>
      </c>
      <c r="Y355" s="95" t="s">
        <v>72</v>
      </c>
      <c r="Z355" s="95" t="s">
        <v>72</v>
      </c>
      <c r="AA355" s="95" t="s">
        <v>72</v>
      </c>
      <c r="AB355" s="95" t="s">
        <v>72</v>
      </c>
      <c r="AC355" s="95" t="s">
        <v>72</v>
      </c>
      <c r="AD355" s="95" t="s">
        <v>72</v>
      </c>
      <c r="AE355" s="95" t="s">
        <v>72</v>
      </c>
      <c r="AF355" s="95" t="s">
        <v>72</v>
      </c>
      <c r="AG355" s="95" t="s">
        <v>72</v>
      </c>
      <c r="AH355" s="95" t="s">
        <v>72</v>
      </c>
      <c r="AI355" s="95" t="s">
        <v>72</v>
      </c>
      <c r="AK355" s="95" t="s">
        <v>71</v>
      </c>
    </row>
    <row r="356" spans="1:37" x14ac:dyDescent="0.2">
      <c r="A356" s="95" t="s">
        <v>340</v>
      </c>
      <c r="B356" s="95" t="s">
        <v>69</v>
      </c>
      <c r="I356" s="95">
        <v>0.68</v>
      </c>
      <c r="K356" s="95">
        <v>2.2999999999999998</v>
      </c>
      <c r="R356" s="95" t="s">
        <v>5398</v>
      </c>
      <c r="S356" s="95" t="s">
        <v>338</v>
      </c>
      <c r="U356" s="95" t="s">
        <v>72</v>
      </c>
      <c r="V356" s="95" t="s">
        <v>72</v>
      </c>
      <c r="W356" s="95" t="s">
        <v>72</v>
      </c>
      <c r="X356" s="95" t="s">
        <v>72</v>
      </c>
      <c r="Y356" s="95" t="s">
        <v>72</v>
      </c>
      <c r="Z356" s="95" t="s">
        <v>72</v>
      </c>
      <c r="AA356" s="95" t="s">
        <v>72</v>
      </c>
      <c r="AB356" s="95" t="s">
        <v>72</v>
      </c>
      <c r="AC356" s="95" t="s">
        <v>72</v>
      </c>
      <c r="AD356" s="95" t="s">
        <v>72</v>
      </c>
      <c r="AE356" s="95" t="s">
        <v>72</v>
      </c>
      <c r="AF356" s="95" t="s">
        <v>72</v>
      </c>
      <c r="AG356" s="95" t="s">
        <v>72</v>
      </c>
      <c r="AH356" s="95" t="s">
        <v>72</v>
      </c>
      <c r="AI356" s="95" t="s">
        <v>72</v>
      </c>
      <c r="AK356" s="95" t="s">
        <v>71</v>
      </c>
    </row>
    <row r="357" spans="1:37" x14ac:dyDescent="0.2">
      <c r="A357" s="95" t="s">
        <v>340</v>
      </c>
      <c r="B357" s="95" t="s">
        <v>69</v>
      </c>
      <c r="I357" s="95">
        <v>0.67</v>
      </c>
      <c r="K357" s="95">
        <v>2.11</v>
      </c>
      <c r="R357" s="95" t="s">
        <v>5398</v>
      </c>
      <c r="S357" s="95" t="s">
        <v>338</v>
      </c>
      <c r="U357" s="95" t="s">
        <v>72</v>
      </c>
      <c r="V357" s="95" t="s">
        <v>72</v>
      </c>
      <c r="W357" s="95" t="s">
        <v>72</v>
      </c>
      <c r="X357" s="95" t="s">
        <v>72</v>
      </c>
      <c r="Y357" s="95" t="s">
        <v>72</v>
      </c>
      <c r="Z357" s="95" t="s">
        <v>72</v>
      </c>
      <c r="AA357" s="95" t="s">
        <v>72</v>
      </c>
      <c r="AB357" s="95" t="s">
        <v>72</v>
      </c>
      <c r="AC357" s="95" t="s">
        <v>72</v>
      </c>
      <c r="AD357" s="95" t="s">
        <v>72</v>
      </c>
      <c r="AE357" s="95" t="s">
        <v>72</v>
      </c>
      <c r="AF357" s="95" t="s">
        <v>72</v>
      </c>
      <c r="AG357" s="95" t="s">
        <v>72</v>
      </c>
      <c r="AH357" s="95" t="s">
        <v>72</v>
      </c>
      <c r="AI357" s="95" t="s">
        <v>72</v>
      </c>
      <c r="AK357" s="95" t="s">
        <v>71</v>
      </c>
    </row>
    <row r="358" spans="1:37" x14ac:dyDescent="0.2">
      <c r="A358" s="95" t="s">
        <v>340</v>
      </c>
      <c r="B358" s="95" t="s">
        <v>69</v>
      </c>
      <c r="I358" s="95">
        <v>0.7</v>
      </c>
      <c r="K358" s="95">
        <v>2.83</v>
      </c>
      <c r="R358" s="95" t="s">
        <v>5398</v>
      </c>
      <c r="S358" s="95" t="s">
        <v>338</v>
      </c>
      <c r="U358" s="95" t="s">
        <v>72</v>
      </c>
      <c r="V358" s="95" t="s">
        <v>72</v>
      </c>
      <c r="W358" s="95" t="s">
        <v>72</v>
      </c>
      <c r="X358" s="95" t="s">
        <v>72</v>
      </c>
      <c r="Y358" s="95" t="s">
        <v>72</v>
      </c>
      <c r="Z358" s="95" t="s">
        <v>72</v>
      </c>
      <c r="AA358" s="95" t="s">
        <v>72</v>
      </c>
      <c r="AB358" s="95" t="s">
        <v>72</v>
      </c>
      <c r="AC358" s="95" t="s">
        <v>72</v>
      </c>
      <c r="AD358" s="95" t="s">
        <v>72</v>
      </c>
      <c r="AE358" s="95" t="s">
        <v>72</v>
      </c>
      <c r="AF358" s="95" t="s">
        <v>72</v>
      </c>
      <c r="AG358" s="95" t="s">
        <v>72</v>
      </c>
      <c r="AH358" s="95" t="s">
        <v>72</v>
      </c>
      <c r="AI358" s="95" t="s">
        <v>72</v>
      </c>
      <c r="AK358" s="95" t="s">
        <v>71</v>
      </c>
    </row>
    <row r="359" spans="1:37" x14ac:dyDescent="0.2">
      <c r="A359" s="95" t="s">
        <v>340</v>
      </c>
      <c r="B359" s="95" t="s">
        <v>69</v>
      </c>
      <c r="I359" s="95">
        <v>0.69</v>
      </c>
      <c r="K359" s="95">
        <v>2.69</v>
      </c>
      <c r="R359" s="95" t="s">
        <v>5398</v>
      </c>
      <c r="S359" s="95" t="s">
        <v>338</v>
      </c>
      <c r="U359" s="95" t="s">
        <v>72</v>
      </c>
      <c r="V359" s="95" t="s">
        <v>72</v>
      </c>
      <c r="W359" s="95" t="s">
        <v>72</v>
      </c>
      <c r="X359" s="95" t="s">
        <v>72</v>
      </c>
      <c r="Y359" s="95" t="s">
        <v>72</v>
      </c>
      <c r="Z359" s="95" t="s">
        <v>72</v>
      </c>
      <c r="AA359" s="95" t="s">
        <v>72</v>
      </c>
      <c r="AB359" s="95" t="s">
        <v>72</v>
      </c>
      <c r="AC359" s="95" t="s">
        <v>72</v>
      </c>
      <c r="AD359" s="95" t="s">
        <v>72</v>
      </c>
      <c r="AE359" s="95" t="s">
        <v>72</v>
      </c>
      <c r="AF359" s="95" t="s">
        <v>72</v>
      </c>
      <c r="AG359" s="95" t="s">
        <v>72</v>
      </c>
      <c r="AH359" s="95" t="s">
        <v>72</v>
      </c>
      <c r="AI359" s="95" t="s">
        <v>72</v>
      </c>
      <c r="AK359" s="95" t="s">
        <v>71</v>
      </c>
    </row>
    <row r="360" spans="1:37" x14ac:dyDescent="0.2">
      <c r="A360" s="95" t="s">
        <v>340</v>
      </c>
      <c r="B360" s="95" t="s">
        <v>69</v>
      </c>
      <c r="I360" s="95">
        <v>0.82</v>
      </c>
      <c r="K360" s="95">
        <v>4.38</v>
      </c>
      <c r="R360" s="95" t="s">
        <v>5397</v>
      </c>
      <c r="S360" s="95" t="s">
        <v>338</v>
      </c>
      <c r="U360" s="95" t="s">
        <v>72</v>
      </c>
      <c r="V360" s="95" t="s">
        <v>72</v>
      </c>
      <c r="W360" s="95" t="s">
        <v>72</v>
      </c>
      <c r="X360" s="95" t="s">
        <v>72</v>
      </c>
      <c r="Y360" s="95" t="s">
        <v>72</v>
      </c>
      <c r="Z360" s="95" t="s">
        <v>72</v>
      </c>
      <c r="AA360" s="95" t="s">
        <v>72</v>
      </c>
      <c r="AB360" s="95" t="s">
        <v>72</v>
      </c>
      <c r="AC360" s="95" t="s">
        <v>72</v>
      </c>
      <c r="AD360" s="95" t="s">
        <v>72</v>
      </c>
      <c r="AE360" s="95" t="s">
        <v>72</v>
      </c>
      <c r="AF360" s="95" t="s">
        <v>72</v>
      </c>
      <c r="AG360" s="95" t="s">
        <v>72</v>
      </c>
      <c r="AH360" s="95" t="s">
        <v>72</v>
      </c>
      <c r="AI360" s="95" t="s">
        <v>72</v>
      </c>
      <c r="AK360" s="95" t="s">
        <v>71</v>
      </c>
    </row>
    <row r="361" spans="1:37" x14ac:dyDescent="0.2">
      <c r="A361" s="95" t="s">
        <v>340</v>
      </c>
      <c r="B361" s="95" t="s">
        <v>69</v>
      </c>
      <c r="I361" s="95">
        <v>0.76</v>
      </c>
      <c r="K361" s="95">
        <v>2.97</v>
      </c>
      <c r="R361" s="95" t="s">
        <v>5397</v>
      </c>
      <c r="S361" s="95" t="s">
        <v>338</v>
      </c>
      <c r="U361" s="95" t="s">
        <v>72</v>
      </c>
      <c r="V361" s="95" t="s">
        <v>72</v>
      </c>
      <c r="W361" s="95" t="s">
        <v>72</v>
      </c>
      <c r="X361" s="95" t="s">
        <v>72</v>
      </c>
      <c r="Y361" s="95" t="s">
        <v>72</v>
      </c>
      <c r="Z361" s="95" t="s">
        <v>72</v>
      </c>
      <c r="AA361" s="95" t="s">
        <v>72</v>
      </c>
      <c r="AB361" s="95" t="s">
        <v>72</v>
      </c>
      <c r="AC361" s="95" t="s">
        <v>72</v>
      </c>
      <c r="AD361" s="95" t="s">
        <v>72</v>
      </c>
      <c r="AE361" s="95" t="s">
        <v>72</v>
      </c>
      <c r="AF361" s="95" t="s">
        <v>72</v>
      </c>
      <c r="AG361" s="95" t="s">
        <v>72</v>
      </c>
      <c r="AH361" s="95" t="s">
        <v>72</v>
      </c>
      <c r="AI361" s="95" t="s">
        <v>72</v>
      </c>
      <c r="AK361" s="95" t="s">
        <v>71</v>
      </c>
    </row>
    <row r="362" spans="1:37" x14ac:dyDescent="0.2">
      <c r="A362" s="95" t="s">
        <v>340</v>
      </c>
      <c r="B362" s="95" t="s">
        <v>69</v>
      </c>
      <c r="I362" s="95">
        <v>0.79</v>
      </c>
      <c r="K362" s="95">
        <v>3.56</v>
      </c>
      <c r="R362" s="95" t="s">
        <v>5397</v>
      </c>
      <c r="S362" s="95" t="s">
        <v>338</v>
      </c>
      <c r="U362" s="95" t="s">
        <v>72</v>
      </c>
      <c r="V362" s="95" t="s">
        <v>72</v>
      </c>
      <c r="W362" s="95" t="s">
        <v>72</v>
      </c>
      <c r="X362" s="95" t="s">
        <v>72</v>
      </c>
      <c r="Y362" s="95" t="s">
        <v>72</v>
      </c>
      <c r="Z362" s="95" t="s">
        <v>72</v>
      </c>
      <c r="AA362" s="95" t="s">
        <v>72</v>
      </c>
      <c r="AB362" s="95" t="s">
        <v>72</v>
      </c>
      <c r="AC362" s="95" t="s">
        <v>72</v>
      </c>
      <c r="AD362" s="95" t="s">
        <v>72</v>
      </c>
      <c r="AE362" s="95" t="s">
        <v>72</v>
      </c>
      <c r="AF362" s="95" t="s">
        <v>72</v>
      </c>
      <c r="AG362" s="95" t="s">
        <v>72</v>
      </c>
      <c r="AH362" s="95" t="s">
        <v>72</v>
      </c>
      <c r="AI362" s="95" t="s">
        <v>72</v>
      </c>
      <c r="AK362" s="95" t="s">
        <v>71</v>
      </c>
    </row>
    <row r="363" spans="1:37" x14ac:dyDescent="0.2">
      <c r="A363" s="95" t="s">
        <v>340</v>
      </c>
      <c r="B363" s="95" t="s">
        <v>69</v>
      </c>
      <c r="I363" s="95">
        <v>0.77</v>
      </c>
      <c r="K363" s="95">
        <v>3.1</v>
      </c>
      <c r="R363" s="95" t="s">
        <v>5397</v>
      </c>
      <c r="S363" s="95" t="s">
        <v>338</v>
      </c>
      <c r="U363" s="95" t="s">
        <v>72</v>
      </c>
      <c r="V363" s="95" t="s">
        <v>72</v>
      </c>
      <c r="W363" s="95" t="s">
        <v>72</v>
      </c>
      <c r="X363" s="95" t="s">
        <v>72</v>
      </c>
      <c r="Y363" s="95" t="s">
        <v>72</v>
      </c>
      <c r="Z363" s="95" t="s">
        <v>72</v>
      </c>
      <c r="AA363" s="95" t="s">
        <v>72</v>
      </c>
      <c r="AB363" s="95" t="s">
        <v>72</v>
      </c>
      <c r="AC363" s="95" t="s">
        <v>72</v>
      </c>
      <c r="AD363" s="95" t="s">
        <v>72</v>
      </c>
      <c r="AE363" s="95" t="s">
        <v>72</v>
      </c>
      <c r="AF363" s="95" t="s">
        <v>72</v>
      </c>
      <c r="AG363" s="95" t="s">
        <v>72</v>
      </c>
      <c r="AH363" s="95" t="s">
        <v>72</v>
      </c>
      <c r="AI363" s="95" t="s">
        <v>72</v>
      </c>
      <c r="AK363" s="95" t="s">
        <v>71</v>
      </c>
    </row>
    <row r="364" spans="1:37" x14ac:dyDescent="0.2">
      <c r="A364" s="95" t="s">
        <v>340</v>
      </c>
      <c r="B364" s="95" t="s">
        <v>69</v>
      </c>
      <c r="I364" s="95">
        <v>0.75</v>
      </c>
      <c r="K364" s="95">
        <v>2.74</v>
      </c>
      <c r="R364" s="95" t="s">
        <v>5397</v>
      </c>
      <c r="S364" s="95" t="s">
        <v>338</v>
      </c>
      <c r="U364" s="95" t="s">
        <v>72</v>
      </c>
      <c r="V364" s="95" t="s">
        <v>72</v>
      </c>
      <c r="W364" s="95" t="s">
        <v>72</v>
      </c>
      <c r="X364" s="95" t="s">
        <v>72</v>
      </c>
      <c r="Y364" s="95" t="s">
        <v>72</v>
      </c>
      <c r="Z364" s="95" t="s">
        <v>72</v>
      </c>
      <c r="AA364" s="95" t="s">
        <v>72</v>
      </c>
      <c r="AB364" s="95" t="s">
        <v>72</v>
      </c>
      <c r="AC364" s="95" t="s">
        <v>72</v>
      </c>
      <c r="AD364" s="95" t="s">
        <v>72</v>
      </c>
      <c r="AE364" s="95" t="s">
        <v>72</v>
      </c>
      <c r="AF364" s="95" t="s">
        <v>72</v>
      </c>
      <c r="AG364" s="95" t="s">
        <v>72</v>
      </c>
      <c r="AH364" s="95" t="s">
        <v>72</v>
      </c>
      <c r="AI364" s="95" t="s">
        <v>72</v>
      </c>
      <c r="AK364" s="95" t="s">
        <v>71</v>
      </c>
    </row>
    <row r="365" spans="1:37" x14ac:dyDescent="0.2">
      <c r="A365" s="95" t="s">
        <v>340</v>
      </c>
      <c r="B365" s="95" t="s">
        <v>69</v>
      </c>
      <c r="I365" s="95">
        <v>0.75</v>
      </c>
      <c r="K365" s="95">
        <v>2.73</v>
      </c>
      <c r="R365" s="95" t="s">
        <v>5397</v>
      </c>
      <c r="S365" s="95" t="s">
        <v>338</v>
      </c>
      <c r="U365" s="95" t="s">
        <v>72</v>
      </c>
      <c r="V365" s="95" t="s">
        <v>72</v>
      </c>
      <c r="W365" s="95" t="s">
        <v>72</v>
      </c>
      <c r="X365" s="95" t="s">
        <v>72</v>
      </c>
      <c r="Y365" s="95" t="s">
        <v>72</v>
      </c>
      <c r="Z365" s="95" t="s">
        <v>72</v>
      </c>
      <c r="AA365" s="95" t="s">
        <v>72</v>
      </c>
      <c r="AB365" s="95" t="s">
        <v>72</v>
      </c>
      <c r="AC365" s="95" t="s">
        <v>72</v>
      </c>
      <c r="AD365" s="95" t="s">
        <v>72</v>
      </c>
      <c r="AE365" s="95" t="s">
        <v>72</v>
      </c>
      <c r="AF365" s="95" t="s">
        <v>72</v>
      </c>
      <c r="AG365" s="95" t="s">
        <v>72</v>
      </c>
      <c r="AH365" s="95" t="s">
        <v>72</v>
      </c>
      <c r="AI365" s="95" t="s">
        <v>72</v>
      </c>
      <c r="AK365" s="95" t="s">
        <v>71</v>
      </c>
    </row>
    <row r="366" spans="1:37" x14ac:dyDescent="0.2">
      <c r="A366" s="95" t="s">
        <v>340</v>
      </c>
      <c r="B366" s="95" t="s">
        <v>69</v>
      </c>
      <c r="I366" s="95">
        <v>0.76</v>
      </c>
      <c r="K366" s="95">
        <v>2.79</v>
      </c>
      <c r="R366" s="95" t="s">
        <v>5397</v>
      </c>
      <c r="S366" s="95" t="s">
        <v>338</v>
      </c>
      <c r="U366" s="95" t="s">
        <v>72</v>
      </c>
      <c r="V366" s="95" t="s">
        <v>72</v>
      </c>
      <c r="W366" s="95" t="s">
        <v>72</v>
      </c>
      <c r="X366" s="95" t="s">
        <v>72</v>
      </c>
      <c r="Y366" s="95" t="s">
        <v>72</v>
      </c>
      <c r="Z366" s="95" t="s">
        <v>72</v>
      </c>
      <c r="AA366" s="95" t="s">
        <v>72</v>
      </c>
      <c r="AB366" s="95" t="s">
        <v>72</v>
      </c>
      <c r="AC366" s="95" t="s">
        <v>72</v>
      </c>
      <c r="AD366" s="95" t="s">
        <v>72</v>
      </c>
      <c r="AE366" s="95" t="s">
        <v>72</v>
      </c>
      <c r="AF366" s="95" t="s">
        <v>72</v>
      </c>
      <c r="AG366" s="95" t="s">
        <v>72</v>
      </c>
      <c r="AH366" s="95" t="s">
        <v>72</v>
      </c>
      <c r="AI366" s="95" t="s">
        <v>72</v>
      </c>
      <c r="AK366" s="95" t="s">
        <v>71</v>
      </c>
    </row>
    <row r="367" spans="1:37" x14ac:dyDescent="0.2">
      <c r="A367" s="95" t="s">
        <v>340</v>
      </c>
      <c r="B367" s="95" t="s">
        <v>69</v>
      </c>
      <c r="I367" s="95">
        <v>0.75</v>
      </c>
      <c r="K367" s="95">
        <v>2.5499999999999998</v>
      </c>
      <c r="R367" s="95" t="s">
        <v>5397</v>
      </c>
      <c r="S367" s="95" t="s">
        <v>338</v>
      </c>
      <c r="U367" s="95" t="s">
        <v>72</v>
      </c>
      <c r="V367" s="95" t="s">
        <v>72</v>
      </c>
      <c r="W367" s="95" t="s">
        <v>72</v>
      </c>
      <c r="X367" s="95" t="s">
        <v>72</v>
      </c>
      <c r="Y367" s="95" t="s">
        <v>72</v>
      </c>
      <c r="Z367" s="95" t="s">
        <v>72</v>
      </c>
      <c r="AA367" s="95" t="s">
        <v>72</v>
      </c>
      <c r="AB367" s="95" t="s">
        <v>72</v>
      </c>
      <c r="AC367" s="95" t="s">
        <v>72</v>
      </c>
      <c r="AD367" s="95" t="s">
        <v>72</v>
      </c>
      <c r="AE367" s="95" t="s">
        <v>72</v>
      </c>
      <c r="AF367" s="95" t="s">
        <v>72</v>
      </c>
      <c r="AG367" s="95" t="s">
        <v>72</v>
      </c>
      <c r="AH367" s="95" t="s">
        <v>72</v>
      </c>
      <c r="AI367" s="95" t="s">
        <v>72</v>
      </c>
      <c r="AK367" s="95" t="s">
        <v>71</v>
      </c>
    </row>
    <row r="368" spans="1:37" x14ac:dyDescent="0.2">
      <c r="A368" s="95" t="s">
        <v>340</v>
      </c>
      <c r="B368" s="95" t="s">
        <v>69</v>
      </c>
      <c r="I368" s="95">
        <v>0.78</v>
      </c>
      <c r="K368" s="95">
        <v>3.43</v>
      </c>
      <c r="R368" s="95" t="s">
        <v>5397</v>
      </c>
      <c r="S368" s="95" t="s">
        <v>338</v>
      </c>
      <c r="U368" s="95" t="s">
        <v>72</v>
      </c>
      <c r="V368" s="95" t="s">
        <v>72</v>
      </c>
      <c r="W368" s="95" t="s">
        <v>72</v>
      </c>
      <c r="X368" s="95" t="s">
        <v>72</v>
      </c>
      <c r="Y368" s="95" t="s">
        <v>72</v>
      </c>
      <c r="Z368" s="95" t="s">
        <v>72</v>
      </c>
      <c r="AA368" s="95" t="s">
        <v>72</v>
      </c>
      <c r="AB368" s="95" t="s">
        <v>72</v>
      </c>
      <c r="AC368" s="95" t="s">
        <v>72</v>
      </c>
      <c r="AD368" s="95" t="s">
        <v>72</v>
      </c>
      <c r="AE368" s="95" t="s">
        <v>72</v>
      </c>
      <c r="AF368" s="95" t="s">
        <v>72</v>
      </c>
      <c r="AG368" s="95" t="s">
        <v>72</v>
      </c>
      <c r="AH368" s="95" t="s">
        <v>72</v>
      </c>
      <c r="AI368" s="95" t="s">
        <v>72</v>
      </c>
      <c r="AK368" s="95" t="s">
        <v>71</v>
      </c>
    </row>
    <row r="369" spans="1:37" x14ac:dyDescent="0.2">
      <c r="A369" s="95" t="s">
        <v>340</v>
      </c>
      <c r="B369" s="95" t="s">
        <v>69</v>
      </c>
      <c r="I369" s="95">
        <v>0.77</v>
      </c>
      <c r="K369" s="95">
        <v>3.27</v>
      </c>
      <c r="R369" s="95" t="s">
        <v>5397</v>
      </c>
      <c r="S369" s="95" t="s">
        <v>338</v>
      </c>
      <c r="U369" s="95" t="s">
        <v>72</v>
      </c>
      <c r="V369" s="95" t="s">
        <v>72</v>
      </c>
      <c r="W369" s="95" t="s">
        <v>72</v>
      </c>
      <c r="X369" s="95" t="s">
        <v>72</v>
      </c>
      <c r="Y369" s="95" t="s">
        <v>72</v>
      </c>
      <c r="Z369" s="95" t="s">
        <v>72</v>
      </c>
      <c r="AA369" s="95" t="s">
        <v>72</v>
      </c>
      <c r="AB369" s="95" t="s">
        <v>72</v>
      </c>
      <c r="AC369" s="95" t="s">
        <v>72</v>
      </c>
      <c r="AD369" s="95" t="s">
        <v>72</v>
      </c>
      <c r="AE369" s="95" t="s">
        <v>72</v>
      </c>
      <c r="AF369" s="95" t="s">
        <v>72</v>
      </c>
      <c r="AG369" s="95" t="s">
        <v>72</v>
      </c>
      <c r="AH369" s="95" t="s">
        <v>72</v>
      </c>
      <c r="AI369" s="95" t="s">
        <v>72</v>
      </c>
      <c r="AK369" s="95" t="s">
        <v>71</v>
      </c>
    </row>
    <row r="370" spans="1:37" x14ac:dyDescent="0.2">
      <c r="A370" s="95" t="s">
        <v>5396</v>
      </c>
      <c r="I370" s="95">
        <v>2.67</v>
      </c>
      <c r="K370" s="95">
        <v>1.06</v>
      </c>
      <c r="R370" s="95" t="s">
        <v>5398</v>
      </c>
      <c r="S370" s="95" t="s">
        <v>338</v>
      </c>
    </row>
    <row r="371" spans="1:37" x14ac:dyDescent="0.2">
      <c r="A371" s="95" t="s">
        <v>5396</v>
      </c>
      <c r="I371" s="95">
        <v>2.4900000000000002</v>
      </c>
      <c r="K371" s="95">
        <v>0.72</v>
      </c>
      <c r="R371" s="95" t="s">
        <v>5398</v>
      </c>
      <c r="S371" s="95" t="s">
        <v>338</v>
      </c>
    </row>
    <row r="372" spans="1:37" x14ac:dyDescent="0.2">
      <c r="A372" s="95" t="s">
        <v>5396</v>
      </c>
      <c r="I372" s="95">
        <v>2.57</v>
      </c>
      <c r="K372" s="95">
        <v>0.86</v>
      </c>
      <c r="R372" s="95" t="s">
        <v>5398</v>
      </c>
      <c r="S372" s="95" t="s">
        <v>338</v>
      </c>
    </row>
    <row r="373" spans="1:37" x14ac:dyDescent="0.2">
      <c r="A373" s="95" t="s">
        <v>5396</v>
      </c>
      <c r="I373" s="95">
        <v>2.5099999999999998</v>
      </c>
      <c r="K373" s="95">
        <v>0.75</v>
      </c>
      <c r="R373" s="95" t="s">
        <v>5398</v>
      </c>
      <c r="S373" s="95" t="s">
        <v>338</v>
      </c>
    </row>
    <row r="374" spans="1:37" x14ac:dyDescent="0.2">
      <c r="A374" s="95" t="s">
        <v>5396</v>
      </c>
      <c r="I374" s="95">
        <v>2.46</v>
      </c>
      <c r="K374" s="95">
        <v>0.66</v>
      </c>
      <c r="R374" s="95" t="s">
        <v>5398</v>
      </c>
      <c r="S374" s="95" t="s">
        <v>338</v>
      </c>
    </row>
    <row r="375" spans="1:37" x14ac:dyDescent="0.2">
      <c r="A375" s="95" t="s">
        <v>5396</v>
      </c>
      <c r="I375" s="95">
        <v>2.46</v>
      </c>
      <c r="K375" s="95">
        <v>0.66</v>
      </c>
      <c r="R375" s="95" t="s">
        <v>5398</v>
      </c>
      <c r="S375" s="95" t="s">
        <v>338</v>
      </c>
    </row>
    <row r="376" spans="1:37" x14ac:dyDescent="0.2">
      <c r="A376" s="95" t="s">
        <v>5396</v>
      </c>
      <c r="I376" s="95">
        <v>2.4700000000000002</v>
      </c>
      <c r="K376" s="95">
        <v>0.67</v>
      </c>
      <c r="R376" s="95" t="s">
        <v>5398</v>
      </c>
      <c r="S376" s="95" t="s">
        <v>338</v>
      </c>
    </row>
    <row r="377" spans="1:37" x14ac:dyDescent="0.2">
      <c r="A377" s="95" t="s">
        <v>5396</v>
      </c>
      <c r="I377" s="95">
        <v>2.44</v>
      </c>
      <c r="K377" s="95">
        <v>0.62</v>
      </c>
      <c r="R377" s="95" t="s">
        <v>5398</v>
      </c>
      <c r="S377" s="95" t="s">
        <v>338</v>
      </c>
    </row>
    <row r="378" spans="1:37" x14ac:dyDescent="0.2">
      <c r="A378" s="95" t="s">
        <v>5396</v>
      </c>
      <c r="I378" s="95">
        <v>2.5499999999999998</v>
      </c>
      <c r="K378" s="95">
        <v>0.83</v>
      </c>
      <c r="R378" s="95" t="s">
        <v>5398</v>
      </c>
      <c r="S378" s="95" t="s">
        <v>338</v>
      </c>
    </row>
    <row r="379" spans="1:37" x14ac:dyDescent="0.2">
      <c r="A379" s="95" t="s">
        <v>5396</v>
      </c>
      <c r="I379" s="95">
        <v>2.5299999999999998</v>
      </c>
      <c r="K379" s="95">
        <v>0.79</v>
      </c>
      <c r="R379" s="95" t="s">
        <v>5398</v>
      </c>
      <c r="S379" s="95" t="s">
        <v>338</v>
      </c>
    </row>
    <row r="380" spans="1:37" x14ac:dyDescent="0.2">
      <c r="A380" s="95" t="s">
        <v>5396</v>
      </c>
      <c r="I380" s="95">
        <v>6.25</v>
      </c>
      <c r="K380" s="95">
        <v>1.28</v>
      </c>
      <c r="R380" s="95" t="s">
        <v>5397</v>
      </c>
      <c r="S380" s="95" t="s">
        <v>338</v>
      </c>
    </row>
    <row r="381" spans="1:37" x14ac:dyDescent="0.2">
      <c r="A381" s="95" t="s">
        <v>5396</v>
      </c>
      <c r="I381" s="95">
        <v>5.83</v>
      </c>
      <c r="K381" s="95">
        <v>0.87</v>
      </c>
      <c r="R381" s="95" t="s">
        <v>5397</v>
      </c>
      <c r="S381" s="95" t="s">
        <v>338</v>
      </c>
    </row>
    <row r="382" spans="1:37" x14ac:dyDescent="0.2">
      <c r="A382" s="95" t="s">
        <v>5396</v>
      </c>
      <c r="I382" s="95">
        <v>6.01</v>
      </c>
      <c r="K382" s="95">
        <v>1.04</v>
      </c>
      <c r="R382" s="95" t="s">
        <v>5397</v>
      </c>
      <c r="S382" s="95" t="s">
        <v>338</v>
      </c>
    </row>
    <row r="383" spans="1:37" x14ac:dyDescent="0.2">
      <c r="A383" s="95" t="s">
        <v>5396</v>
      </c>
      <c r="I383" s="95">
        <v>5.87</v>
      </c>
      <c r="K383" s="95">
        <v>0.91</v>
      </c>
      <c r="R383" s="95" t="s">
        <v>5397</v>
      </c>
      <c r="S383" s="95" t="s">
        <v>338</v>
      </c>
    </row>
    <row r="384" spans="1:37" x14ac:dyDescent="0.2">
      <c r="A384" s="95" t="s">
        <v>5396</v>
      </c>
      <c r="I384" s="95">
        <v>5.77</v>
      </c>
      <c r="K384" s="95">
        <v>0.8</v>
      </c>
      <c r="R384" s="95" t="s">
        <v>5397</v>
      </c>
      <c r="S384" s="95" t="s">
        <v>338</v>
      </c>
    </row>
    <row r="385" spans="1:37" x14ac:dyDescent="0.2">
      <c r="A385" s="95" t="s">
        <v>5396</v>
      </c>
      <c r="I385" s="95">
        <v>5.76</v>
      </c>
      <c r="K385" s="95">
        <v>0.8</v>
      </c>
      <c r="R385" s="95" t="s">
        <v>5397</v>
      </c>
      <c r="S385" s="95" t="s">
        <v>338</v>
      </c>
    </row>
    <row r="386" spans="1:37" x14ac:dyDescent="0.2">
      <c r="A386" s="95" t="s">
        <v>5396</v>
      </c>
      <c r="I386" s="95">
        <v>5.78</v>
      </c>
      <c r="K386" s="95">
        <v>0.81</v>
      </c>
      <c r="R386" s="95" t="s">
        <v>5397</v>
      </c>
      <c r="S386" s="95" t="s">
        <v>338</v>
      </c>
    </row>
    <row r="387" spans="1:37" x14ac:dyDescent="0.2">
      <c r="A387" s="95" t="s">
        <v>5396</v>
      </c>
      <c r="I387" s="95">
        <v>5.71</v>
      </c>
      <c r="K387" s="95">
        <v>0.75</v>
      </c>
      <c r="R387" s="95" t="s">
        <v>5397</v>
      </c>
      <c r="S387" s="95" t="s">
        <v>338</v>
      </c>
    </row>
    <row r="388" spans="1:37" x14ac:dyDescent="0.2">
      <c r="A388" s="95" t="s">
        <v>5396</v>
      </c>
      <c r="I388" s="95">
        <v>5.97</v>
      </c>
      <c r="K388" s="95">
        <v>1</v>
      </c>
      <c r="R388" s="95" t="s">
        <v>5397</v>
      </c>
      <c r="S388" s="95" t="s">
        <v>338</v>
      </c>
    </row>
    <row r="389" spans="1:37" x14ac:dyDescent="0.2">
      <c r="A389" s="95" t="s">
        <v>5396</v>
      </c>
      <c r="I389" s="95">
        <v>5.92</v>
      </c>
      <c r="K389" s="95">
        <v>0.95</v>
      </c>
      <c r="R389" s="95" t="s">
        <v>5397</v>
      </c>
      <c r="S389" s="95" t="s">
        <v>338</v>
      </c>
    </row>
    <row r="390" spans="1:37" x14ac:dyDescent="0.2">
      <c r="A390" s="95" t="s">
        <v>341</v>
      </c>
      <c r="I390" s="95">
        <v>1.77</v>
      </c>
      <c r="K390" s="95">
        <v>1</v>
      </c>
      <c r="R390" s="95" t="s">
        <v>5398</v>
      </c>
      <c r="S390" s="95" t="s">
        <v>338</v>
      </c>
      <c r="U390" s="95" t="s">
        <v>72</v>
      </c>
      <c r="V390" s="95" t="s">
        <v>72</v>
      </c>
      <c r="W390" s="95" t="s">
        <v>72</v>
      </c>
      <c r="X390" s="95" t="s">
        <v>72</v>
      </c>
      <c r="Y390" s="95" t="s">
        <v>72</v>
      </c>
      <c r="Z390" s="95" t="s">
        <v>72</v>
      </c>
      <c r="AA390" s="95" t="s">
        <v>72</v>
      </c>
      <c r="AB390" s="95" t="s">
        <v>72</v>
      </c>
      <c r="AC390" s="95" t="s">
        <v>72</v>
      </c>
      <c r="AD390" s="95" t="s">
        <v>72</v>
      </c>
      <c r="AE390" s="95" t="s">
        <v>72</v>
      </c>
      <c r="AF390" s="95" t="s">
        <v>72</v>
      </c>
      <c r="AG390" s="95" t="s">
        <v>72</v>
      </c>
      <c r="AH390" s="95" t="s">
        <v>72</v>
      </c>
      <c r="AI390" s="95" t="s">
        <v>72</v>
      </c>
      <c r="AK390" s="95" t="s">
        <v>71</v>
      </c>
    </row>
    <row r="391" spans="1:37" x14ac:dyDescent="0.2">
      <c r="A391" s="95" t="s">
        <v>341</v>
      </c>
      <c r="I391" s="95">
        <v>1.66</v>
      </c>
      <c r="K391" s="95">
        <v>0.68</v>
      </c>
      <c r="R391" s="95" t="s">
        <v>5398</v>
      </c>
      <c r="S391" s="95" t="s">
        <v>338</v>
      </c>
      <c r="U391" s="95" t="s">
        <v>72</v>
      </c>
      <c r="V391" s="95" t="s">
        <v>72</v>
      </c>
      <c r="W391" s="95" t="s">
        <v>72</v>
      </c>
      <c r="X391" s="95" t="s">
        <v>72</v>
      </c>
      <c r="Y391" s="95" t="s">
        <v>72</v>
      </c>
      <c r="Z391" s="95" t="s">
        <v>72</v>
      </c>
      <c r="AA391" s="95" t="s">
        <v>72</v>
      </c>
      <c r="AB391" s="95" t="s">
        <v>72</v>
      </c>
      <c r="AC391" s="95" t="s">
        <v>72</v>
      </c>
      <c r="AD391" s="95" t="s">
        <v>72</v>
      </c>
      <c r="AE391" s="95" t="s">
        <v>72</v>
      </c>
      <c r="AF391" s="95" t="s">
        <v>72</v>
      </c>
      <c r="AG391" s="95" t="s">
        <v>72</v>
      </c>
      <c r="AH391" s="95" t="s">
        <v>72</v>
      </c>
      <c r="AI391" s="95" t="s">
        <v>72</v>
      </c>
      <c r="AK391" s="95" t="s">
        <v>71</v>
      </c>
    </row>
    <row r="392" spans="1:37" x14ac:dyDescent="0.2">
      <c r="A392" s="95" t="s">
        <v>341</v>
      </c>
      <c r="I392" s="95">
        <v>1.71</v>
      </c>
      <c r="K392" s="95">
        <v>0.82</v>
      </c>
      <c r="R392" s="95" t="s">
        <v>5398</v>
      </c>
      <c r="S392" s="95" t="s">
        <v>338</v>
      </c>
      <c r="U392" s="95" t="s">
        <v>72</v>
      </c>
      <c r="V392" s="95" t="s">
        <v>72</v>
      </c>
      <c r="W392" s="95" t="s">
        <v>72</v>
      </c>
      <c r="X392" s="95" t="s">
        <v>72</v>
      </c>
      <c r="Y392" s="95" t="s">
        <v>72</v>
      </c>
      <c r="Z392" s="95" t="s">
        <v>72</v>
      </c>
      <c r="AA392" s="95" t="s">
        <v>72</v>
      </c>
      <c r="AB392" s="95" t="s">
        <v>72</v>
      </c>
      <c r="AC392" s="95" t="s">
        <v>72</v>
      </c>
      <c r="AD392" s="95" t="s">
        <v>72</v>
      </c>
      <c r="AE392" s="95" t="s">
        <v>72</v>
      </c>
      <c r="AF392" s="95" t="s">
        <v>72</v>
      </c>
      <c r="AG392" s="95" t="s">
        <v>72</v>
      </c>
      <c r="AH392" s="95" t="s">
        <v>72</v>
      </c>
      <c r="AI392" s="95" t="s">
        <v>72</v>
      </c>
      <c r="AK392" s="95" t="s">
        <v>71</v>
      </c>
    </row>
    <row r="393" spans="1:37" x14ac:dyDescent="0.2">
      <c r="A393" s="95" t="s">
        <v>341</v>
      </c>
      <c r="I393" s="95">
        <v>1.67</v>
      </c>
      <c r="K393" s="95">
        <v>0.71</v>
      </c>
      <c r="R393" s="95" t="s">
        <v>5398</v>
      </c>
      <c r="S393" s="95" t="s">
        <v>338</v>
      </c>
      <c r="U393" s="95" t="s">
        <v>72</v>
      </c>
      <c r="V393" s="95" t="s">
        <v>72</v>
      </c>
      <c r="W393" s="95" t="s">
        <v>72</v>
      </c>
      <c r="X393" s="95" t="s">
        <v>72</v>
      </c>
      <c r="Y393" s="95" t="s">
        <v>72</v>
      </c>
      <c r="Z393" s="95" t="s">
        <v>72</v>
      </c>
      <c r="AA393" s="95" t="s">
        <v>72</v>
      </c>
      <c r="AB393" s="95" t="s">
        <v>72</v>
      </c>
      <c r="AC393" s="95" t="s">
        <v>72</v>
      </c>
      <c r="AD393" s="95" t="s">
        <v>72</v>
      </c>
      <c r="AE393" s="95" t="s">
        <v>72</v>
      </c>
      <c r="AF393" s="95" t="s">
        <v>72</v>
      </c>
      <c r="AG393" s="95" t="s">
        <v>72</v>
      </c>
      <c r="AH393" s="95" t="s">
        <v>72</v>
      </c>
      <c r="AI393" s="95" t="s">
        <v>72</v>
      </c>
      <c r="AK393" s="95" t="s">
        <v>71</v>
      </c>
    </row>
    <row r="394" spans="1:37" x14ac:dyDescent="0.2">
      <c r="A394" s="95" t="s">
        <v>341</v>
      </c>
      <c r="I394" s="95">
        <v>1.64</v>
      </c>
      <c r="K394" s="95">
        <v>0.63</v>
      </c>
      <c r="R394" s="95" t="s">
        <v>5398</v>
      </c>
      <c r="S394" s="95" t="s">
        <v>338</v>
      </c>
      <c r="U394" s="95" t="s">
        <v>72</v>
      </c>
      <c r="V394" s="95" t="s">
        <v>72</v>
      </c>
      <c r="W394" s="95" t="s">
        <v>72</v>
      </c>
      <c r="X394" s="95" t="s">
        <v>72</v>
      </c>
      <c r="Y394" s="95" t="s">
        <v>72</v>
      </c>
      <c r="Z394" s="95" t="s">
        <v>72</v>
      </c>
      <c r="AA394" s="95" t="s">
        <v>72</v>
      </c>
      <c r="AB394" s="95" t="s">
        <v>72</v>
      </c>
      <c r="AC394" s="95" t="s">
        <v>72</v>
      </c>
      <c r="AD394" s="95" t="s">
        <v>72</v>
      </c>
      <c r="AE394" s="95" t="s">
        <v>72</v>
      </c>
      <c r="AF394" s="95" t="s">
        <v>72</v>
      </c>
      <c r="AG394" s="95" t="s">
        <v>72</v>
      </c>
      <c r="AH394" s="95" t="s">
        <v>72</v>
      </c>
      <c r="AI394" s="95" t="s">
        <v>72</v>
      </c>
      <c r="AK394" s="95" t="s">
        <v>71</v>
      </c>
    </row>
    <row r="395" spans="1:37" x14ac:dyDescent="0.2">
      <c r="A395" s="95" t="s">
        <v>341</v>
      </c>
      <c r="I395" s="95">
        <v>1.64</v>
      </c>
      <c r="K395" s="95">
        <v>0.63</v>
      </c>
      <c r="R395" s="95" t="s">
        <v>5398</v>
      </c>
      <c r="S395" s="95" t="s">
        <v>338</v>
      </c>
      <c r="U395" s="95" t="s">
        <v>72</v>
      </c>
      <c r="V395" s="95" t="s">
        <v>72</v>
      </c>
      <c r="W395" s="95" t="s">
        <v>72</v>
      </c>
      <c r="X395" s="95" t="s">
        <v>72</v>
      </c>
      <c r="Y395" s="95" t="s">
        <v>72</v>
      </c>
      <c r="Z395" s="95" t="s">
        <v>72</v>
      </c>
      <c r="AA395" s="95" t="s">
        <v>72</v>
      </c>
      <c r="AB395" s="95" t="s">
        <v>72</v>
      </c>
      <c r="AC395" s="95" t="s">
        <v>72</v>
      </c>
      <c r="AD395" s="95" t="s">
        <v>72</v>
      </c>
      <c r="AE395" s="95" t="s">
        <v>72</v>
      </c>
      <c r="AF395" s="95" t="s">
        <v>72</v>
      </c>
      <c r="AG395" s="95" t="s">
        <v>72</v>
      </c>
      <c r="AH395" s="95" t="s">
        <v>72</v>
      </c>
      <c r="AI395" s="95" t="s">
        <v>72</v>
      </c>
      <c r="AK395" s="95" t="s">
        <v>71</v>
      </c>
    </row>
    <row r="396" spans="1:37" x14ac:dyDescent="0.2">
      <c r="A396" s="95" t="s">
        <v>341</v>
      </c>
      <c r="I396" s="95">
        <v>1.64</v>
      </c>
      <c r="K396" s="95">
        <v>0.64</v>
      </c>
      <c r="R396" s="95" t="s">
        <v>5398</v>
      </c>
      <c r="S396" s="95" t="s">
        <v>338</v>
      </c>
      <c r="U396" s="95" t="s">
        <v>72</v>
      </c>
      <c r="V396" s="95" t="s">
        <v>72</v>
      </c>
      <c r="W396" s="95" t="s">
        <v>72</v>
      </c>
      <c r="X396" s="95" t="s">
        <v>72</v>
      </c>
      <c r="Y396" s="95" t="s">
        <v>72</v>
      </c>
      <c r="Z396" s="95" t="s">
        <v>72</v>
      </c>
      <c r="AA396" s="95" t="s">
        <v>72</v>
      </c>
      <c r="AB396" s="95" t="s">
        <v>72</v>
      </c>
      <c r="AC396" s="95" t="s">
        <v>72</v>
      </c>
      <c r="AD396" s="95" t="s">
        <v>72</v>
      </c>
      <c r="AE396" s="95" t="s">
        <v>72</v>
      </c>
      <c r="AF396" s="95" t="s">
        <v>72</v>
      </c>
      <c r="AG396" s="95" t="s">
        <v>72</v>
      </c>
      <c r="AH396" s="95" t="s">
        <v>72</v>
      </c>
      <c r="AI396" s="95" t="s">
        <v>72</v>
      </c>
      <c r="AK396" s="95" t="s">
        <v>71</v>
      </c>
    </row>
    <row r="397" spans="1:37" x14ac:dyDescent="0.2">
      <c r="A397" s="95" t="s">
        <v>341</v>
      </c>
      <c r="I397" s="95">
        <v>1.62</v>
      </c>
      <c r="K397" s="95">
        <v>0.57999999999999996</v>
      </c>
      <c r="R397" s="95" t="s">
        <v>5398</v>
      </c>
      <c r="S397" s="95" t="s">
        <v>338</v>
      </c>
      <c r="U397" s="95" t="s">
        <v>72</v>
      </c>
      <c r="V397" s="95" t="s">
        <v>72</v>
      </c>
      <c r="W397" s="95" t="s">
        <v>72</v>
      </c>
      <c r="X397" s="95" t="s">
        <v>72</v>
      </c>
      <c r="Y397" s="95" t="s">
        <v>72</v>
      </c>
      <c r="Z397" s="95" t="s">
        <v>72</v>
      </c>
      <c r="AA397" s="95" t="s">
        <v>72</v>
      </c>
      <c r="AB397" s="95" t="s">
        <v>72</v>
      </c>
      <c r="AC397" s="95" t="s">
        <v>72</v>
      </c>
      <c r="AD397" s="95" t="s">
        <v>72</v>
      </c>
      <c r="AE397" s="95" t="s">
        <v>72</v>
      </c>
      <c r="AF397" s="95" t="s">
        <v>72</v>
      </c>
      <c r="AG397" s="95" t="s">
        <v>72</v>
      </c>
      <c r="AH397" s="95" t="s">
        <v>72</v>
      </c>
      <c r="AI397" s="95" t="s">
        <v>72</v>
      </c>
      <c r="AK397" s="95" t="s">
        <v>71</v>
      </c>
    </row>
    <row r="398" spans="1:37" x14ac:dyDescent="0.2">
      <c r="A398" s="95" t="s">
        <v>341</v>
      </c>
      <c r="I398" s="95">
        <v>1.69</v>
      </c>
      <c r="K398" s="95">
        <v>0.78</v>
      </c>
      <c r="R398" s="95" t="s">
        <v>5398</v>
      </c>
      <c r="S398" s="95" t="s">
        <v>338</v>
      </c>
      <c r="U398" s="95" t="s">
        <v>72</v>
      </c>
      <c r="V398" s="95" t="s">
        <v>72</v>
      </c>
      <c r="W398" s="95" t="s">
        <v>72</v>
      </c>
      <c r="X398" s="95" t="s">
        <v>72</v>
      </c>
      <c r="Y398" s="95" t="s">
        <v>72</v>
      </c>
      <c r="Z398" s="95" t="s">
        <v>72</v>
      </c>
      <c r="AA398" s="95" t="s">
        <v>72</v>
      </c>
      <c r="AB398" s="95" t="s">
        <v>72</v>
      </c>
      <c r="AC398" s="95" t="s">
        <v>72</v>
      </c>
      <c r="AD398" s="95" t="s">
        <v>72</v>
      </c>
      <c r="AE398" s="95" t="s">
        <v>72</v>
      </c>
      <c r="AF398" s="95" t="s">
        <v>72</v>
      </c>
      <c r="AG398" s="95" t="s">
        <v>72</v>
      </c>
      <c r="AH398" s="95" t="s">
        <v>72</v>
      </c>
      <c r="AI398" s="95" t="s">
        <v>72</v>
      </c>
      <c r="AK398" s="95" t="s">
        <v>71</v>
      </c>
    </row>
    <row r="399" spans="1:37" x14ac:dyDescent="0.2">
      <c r="A399" s="95" t="s">
        <v>341</v>
      </c>
      <c r="I399" s="95">
        <v>1.68</v>
      </c>
      <c r="K399" s="95">
        <v>0.75</v>
      </c>
      <c r="R399" s="95" t="s">
        <v>5398</v>
      </c>
      <c r="S399" s="95" t="s">
        <v>338</v>
      </c>
      <c r="U399" s="95" t="s">
        <v>72</v>
      </c>
      <c r="V399" s="95" t="s">
        <v>72</v>
      </c>
      <c r="W399" s="95" t="s">
        <v>72</v>
      </c>
      <c r="X399" s="95" t="s">
        <v>72</v>
      </c>
      <c r="Y399" s="95" t="s">
        <v>72</v>
      </c>
      <c r="Z399" s="95" t="s">
        <v>72</v>
      </c>
      <c r="AA399" s="95" t="s">
        <v>72</v>
      </c>
      <c r="AB399" s="95" t="s">
        <v>72</v>
      </c>
      <c r="AC399" s="95" t="s">
        <v>72</v>
      </c>
      <c r="AD399" s="95" t="s">
        <v>72</v>
      </c>
      <c r="AE399" s="95" t="s">
        <v>72</v>
      </c>
      <c r="AF399" s="95" t="s">
        <v>72</v>
      </c>
      <c r="AG399" s="95" t="s">
        <v>72</v>
      </c>
      <c r="AH399" s="95" t="s">
        <v>72</v>
      </c>
      <c r="AI399" s="95" t="s">
        <v>72</v>
      </c>
      <c r="AK399" s="95" t="s">
        <v>71</v>
      </c>
    </row>
    <row r="400" spans="1:37" x14ac:dyDescent="0.2">
      <c r="A400" s="95" t="s">
        <v>341</v>
      </c>
      <c r="I400" s="95">
        <v>4.1500000000000004</v>
      </c>
      <c r="K400" s="95">
        <v>2.4300000000000002</v>
      </c>
      <c r="R400" s="95" t="s">
        <v>5397</v>
      </c>
      <c r="S400" s="95" t="s">
        <v>338</v>
      </c>
      <c r="U400" s="95" t="s">
        <v>72</v>
      </c>
      <c r="V400" s="95" t="s">
        <v>72</v>
      </c>
      <c r="W400" s="95" t="s">
        <v>72</v>
      </c>
      <c r="X400" s="95" t="s">
        <v>72</v>
      </c>
      <c r="Y400" s="95" t="s">
        <v>72</v>
      </c>
      <c r="Z400" s="95" t="s">
        <v>72</v>
      </c>
      <c r="AA400" s="95" t="s">
        <v>72</v>
      </c>
      <c r="AB400" s="95" t="s">
        <v>72</v>
      </c>
      <c r="AC400" s="95" t="s">
        <v>72</v>
      </c>
      <c r="AD400" s="95" t="s">
        <v>72</v>
      </c>
      <c r="AE400" s="95" t="s">
        <v>72</v>
      </c>
      <c r="AF400" s="95" t="s">
        <v>72</v>
      </c>
      <c r="AG400" s="95" t="s">
        <v>72</v>
      </c>
      <c r="AH400" s="95" t="s">
        <v>72</v>
      </c>
      <c r="AI400" s="95" t="s">
        <v>72</v>
      </c>
      <c r="AK400" s="95" t="s">
        <v>71</v>
      </c>
    </row>
    <row r="401" spans="1:37" x14ac:dyDescent="0.2">
      <c r="A401" s="95" t="s">
        <v>341</v>
      </c>
      <c r="I401" s="95">
        <v>3.87</v>
      </c>
      <c r="K401" s="95">
        <v>1.64</v>
      </c>
      <c r="R401" s="95" t="s">
        <v>5397</v>
      </c>
      <c r="S401" s="95" t="s">
        <v>338</v>
      </c>
      <c r="U401" s="95" t="s">
        <v>72</v>
      </c>
      <c r="V401" s="95" t="s">
        <v>72</v>
      </c>
      <c r="W401" s="95" t="s">
        <v>72</v>
      </c>
      <c r="X401" s="95" t="s">
        <v>72</v>
      </c>
      <c r="Y401" s="95" t="s">
        <v>72</v>
      </c>
      <c r="Z401" s="95" t="s">
        <v>72</v>
      </c>
      <c r="AA401" s="95" t="s">
        <v>72</v>
      </c>
      <c r="AB401" s="95" t="s">
        <v>72</v>
      </c>
      <c r="AC401" s="95" t="s">
        <v>72</v>
      </c>
      <c r="AD401" s="95" t="s">
        <v>72</v>
      </c>
      <c r="AE401" s="95" t="s">
        <v>72</v>
      </c>
      <c r="AF401" s="95" t="s">
        <v>72</v>
      </c>
      <c r="AG401" s="95" t="s">
        <v>72</v>
      </c>
      <c r="AH401" s="95" t="s">
        <v>72</v>
      </c>
      <c r="AI401" s="95" t="s">
        <v>72</v>
      </c>
      <c r="AK401" s="95" t="s">
        <v>71</v>
      </c>
    </row>
    <row r="402" spans="1:37" x14ac:dyDescent="0.2">
      <c r="A402" s="95" t="s">
        <v>341</v>
      </c>
      <c r="I402" s="95">
        <v>3.99</v>
      </c>
      <c r="K402" s="95">
        <v>1.97</v>
      </c>
      <c r="R402" s="95" t="s">
        <v>5397</v>
      </c>
      <c r="S402" s="95" t="s">
        <v>338</v>
      </c>
      <c r="U402" s="95" t="s">
        <v>72</v>
      </c>
      <c r="V402" s="95" t="s">
        <v>72</v>
      </c>
      <c r="W402" s="95" t="s">
        <v>72</v>
      </c>
      <c r="X402" s="95" t="s">
        <v>72</v>
      </c>
      <c r="Y402" s="95" t="s">
        <v>72</v>
      </c>
      <c r="Z402" s="95" t="s">
        <v>72</v>
      </c>
      <c r="AA402" s="95" t="s">
        <v>72</v>
      </c>
      <c r="AB402" s="95" t="s">
        <v>72</v>
      </c>
      <c r="AC402" s="95" t="s">
        <v>72</v>
      </c>
      <c r="AD402" s="95" t="s">
        <v>72</v>
      </c>
      <c r="AE402" s="95" t="s">
        <v>72</v>
      </c>
      <c r="AF402" s="95" t="s">
        <v>72</v>
      </c>
      <c r="AG402" s="95" t="s">
        <v>72</v>
      </c>
      <c r="AH402" s="95" t="s">
        <v>72</v>
      </c>
      <c r="AI402" s="95" t="s">
        <v>72</v>
      </c>
      <c r="AK402" s="95" t="s">
        <v>71</v>
      </c>
    </row>
    <row r="403" spans="1:37" x14ac:dyDescent="0.2">
      <c r="A403" s="95" t="s">
        <v>341</v>
      </c>
      <c r="I403" s="95">
        <v>3.9</v>
      </c>
      <c r="K403" s="95">
        <v>1.72</v>
      </c>
      <c r="R403" s="95" t="s">
        <v>5397</v>
      </c>
      <c r="S403" s="95" t="s">
        <v>338</v>
      </c>
      <c r="U403" s="95" t="s">
        <v>72</v>
      </c>
      <c r="V403" s="95" t="s">
        <v>72</v>
      </c>
      <c r="W403" s="95" t="s">
        <v>72</v>
      </c>
      <c r="X403" s="95" t="s">
        <v>72</v>
      </c>
      <c r="Y403" s="95" t="s">
        <v>72</v>
      </c>
      <c r="Z403" s="95" t="s">
        <v>72</v>
      </c>
      <c r="AA403" s="95" t="s">
        <v>72</v>
      </c>
      <c r="AB403" s="95" t="s">
        <v>72</v>
      </c>
      <c r="AC403" s="95" t="s">
        <v>72</v>
      </c>
      <c r="AD403" s="95" t="s">
        <v>72</v>
      </c>
      <c r="AE403" s="95" t="s">
        <v>72</v>
      </c>
      <c r="AF403" s="95" t="s">
        <v>72</v>
      </c>
      <c r="AG403" s="95" t="s">
        <v>72</v>
      </c>
      <c r="AH403" s="95" t="s">
        <v>72</v>
      </c>
      <c r="AI403" s="95" t="s">
        <v>72</v>
      </c>
      <c r="AK403" s="95" t="s">
        <v>71</v>
      </c>
    </row>
    <row r="404" spans="1:37" x14ac:dyDescent="0.2">
      <c r="A404" s="95" t="s">
        <v>341</v>
      </c>
      <c r="I404" s="95">
        <v>3.83</v>
      </c>
      <c r="K404" s="95">
        <v>1.52</v>
      </c>
      <c r="R404" s="95" t="s">
        <v>5397</v>
      </c>
      <c r="S404" s="95" t="s">
        <v>338</v>
      </c>
      <c r="U404" s="95" t="s">
        <v>72</v>
      </c>
      <c r="V404" s="95" t="s">
        <v>72</v>
      </c>
      <c r="W404" s="95" t="s">
        <v>72</v>
      </c>
      <c r="X404" s="95" t="s">
        <v>72</v>
      </c>
      <c r="Y404" s="95" t="s">
        <v>72</v>
      </c>
      <c r="Z404" s="95" t="s">
        <v>72</v>
      </c>
      <c r="AA404" s="95" t="s">
        <v>72</v>
      </c>
      <c r="AB404" s="95" t="s">
        <v>72</v>
      </c>
      <c r="AC404" s="95" t="s">
        <v>72</v>
      </c>
      <c r="AD404" s="95" t="s">
        <v>72</v>
      </c>
      <c r="AE404" s="95" t="s">
        <v>72</v>
      </c>
      <c r="AF404" s="95" t="s">
        <v>72</v>
      </c>
      <c r="AG404" s="95" t="s">
        <v>72</v>
      </c>
      <c r="AH404" s="95" t="s">
        <v>72</v>
      </c>
      <c r="AI404" s="95" t="s">
        <v>72</v>
      </c>
      <c r="AK404" s="95" t="s">
        <v>71</v>
      </c>
    </row>
    <row r="405" spans="1:37" x14ac:dyDescent="0.2">
      <c r="A405" s="95" t="s">
        <v>341</v>
      </c>
      <c r="I405" s="95">
        <v>3.83</v>
      </c>
      <c r="K405" s="95">
        <v>1.51</v>
      </c>
      <c r="R405" s="95" t="s">
        <v>5397</v>
      </c>
      <c r="S405" s="95" t="s">
        <v>338</v>
      </c>
      <c r="U405" s="95" t="s">
        <v>72</v>
      </c>
      <c r="V405" s="95" t="s">
        <v>72</v>
      </c>
      <c r="W405" s="95" t="s">
        <v>72</v>
      </c>
      <c r="X405" s="95" t="s">
        <v>72</v>
      </c>
      <c r="Y405" s="95" t="s">
        <v>72</v>
      </c>
      <c r="Z405" s="95" t="s">
        <v>72</v>
      </c>
      <c r="AA405" s="95" t="s">
        <v>72</v>
      </c>
      <c r="AB405" s="95" t="s">
        <v>72</v>
      </c>
      <c r="AC405" s="95" t="s">
        <v>72</v>
      </c>
      <c r="AD405" s="95" t="s">
        <v>72</v>
      </c>
      <c r="AE405" s="95" t="s">
        <v>72</v>
      </c>
      <c r="AF405" s="95" t="s">
        <v>72</v>
      </c>
      <c r="AG405" s="95" t="s">
        <v>72</v>
      </c>
      <c r="AH405" s="95" t="s">
        <v>72</v>
      </c>
      <c r="AI405" s="95" t="s">
        <v>72</v>
      </c>
      <c r="AK405" s="95" t="s">
        <v>71</v>
      </c>
    </row>
    <row r="406" spans="1:37" x14ac:dyDescent="0.2">
      <c r="A406" s="95" t="s">
        <v>341</v>
      </c>
      <c r="I406" s="95">
        <v>3.84</v>
      </c>
      <c r="K406" s="95">
        <v>1.54</v>
      </c>
      <c r="R406" s="95" t="s">
        <v>5397</v>
      </c>
      <c r="S406" s="95" t="s">
        <v>338</v>
      </c>
      <c r="U406" s="95" t="s">
        <v>72</v>
      </c>
      <c r="V406" s="95" t="s">
        <v>72</v>
      </c>
      <c r="W406" s="95" t="s">
        <v>72</v>
      </c>
      <c r="X406" s="95" t="s">
        <v>72</v>
      </c>
      <c r="Y406" s="95" t="s">
        <v>72</v>
      </c>
      <c r="Z406" s="95" t="s">
        <v>72</v>
      </c>
      <c r="AA406" s="95" t="s">
        <v>72</v>
      </c>
      <c r="AB406" s="95" t="s">
        <v>72</v>
      </c>
      <c r="AC406" s="95" t="s">
        <v>72</v>
      </c>
      <c r="AD406" s="95" t="s">
        <v>72</v>
      </c>
      <c r="AE406" s="95" t="s">
        <v>72</v>
      </c>
      <c r="AF406" s="95" t="s">
        <v>72</v>
      </c>
      <c r="AG406" s="95" t="s">
        <v>72</v>
      </c>
      <c r="AH406" s="95" t="s">
        <v>72</v>
      </c>
      <c r="AI406" s="95" t="s">
        <v>72</v>
      </c>
      <c r="AK406" s="95" t="s">
        <v>71</v>
      </c>
    </row>
    <row r="407" spans="1:37" x14ac:dyDescent="0.2">
      <c r="A407" s="95" t="s">
        <v>341</v>
      </c>
      <c r="I407" s="95">
        <v>3.79</v>
      </c>
      <c r="K407" s="95">
        <v>1.41</v>
      </c>
      <c r="R407" s="95" t="s">
        <v>5397</v>
      </c>
      <c r="S407" s="95" t="s">
        <v>338</v>
      </c>
      <c r="U407" s="95" t="s">
        <v>72</v>
      </c>
      <c r="V407" s="95" t="s">
        <v>72</v>
      </c>
      <c r="W407" s="95" t="s">
        <v>72</v>
      </c>
      <c r="X407" s="95" t="s">
        <v>72</v>
      </c>
      <c r="Y407" s="95" t="s">
        <v>72</v>
      </c>
      <c r="Z407" s="95" t="s">
        <v>72</v>
      </c>
      <c r="AA407" s="95" t="s">
        <v>72</v>
      </c>
      <c r="AB407" s="95" t="s">
        <v>72</v>
      </c>
      <c r="AC407" s="95" t="s">
        <v>72</v>
      </c>
      <c r="AD407" s="95" t="s">
        <v>72</v>
      </c>
      <c r="AE407" s="95" t="s">
        <v>72</v>
      </c>
      <c r="AF407" s="95" t="s">
        <v>72</v>
      </c>
      <c r="AG407" s="95" t="s">
        <v>72</v>
      </c>
      <c r="AH407" s="95" t="s">
        <v>72</v>
      </c>
      <c r="AI407" s="95" t="s">
        <v>72</v>
      </c>
      <c r="AK407" s="95" t="s">
        <v>71</v>
      </c>
    </row>
    <row r="408" spans="1:37" x14ac:dyDescent="0.2">
      <c r="A408" s="95" t="s">
        <v>341</v>
      </c>
      <c r="I408" s="95">
        <v>3.96</v>
      </c>
      <c r="K408" s="95">
        <v>1.9</v>
      </c>
      <c r="R408" s="95" t="s">
        <v>5397</v>
      </c>
      <c r="S408" s="95" t="s">
        <v>338</v>
      </c>
      <c r="U408" s="95" t="s">
        <v>72</v>
      </c>
      <c r="V408" s="95" t="s">
        <v>72</v>
      </c>
      <c r="W408" s="95" t="s">
        <v>72</v>
      </c>
      <c r="X408" s="95" t="s">
        <v>72</v>
      </c>
      <c r="Y408" s="95" t="s">
        <v>72</v>
      </c>
      <c r="Z408" s="95" t="s">
        <v>72</v>
      </c>
      <c r="AA408" s="95" t="s">
        <v>72</v>
      </c>
      <c r="AB408" s="95" t="s">
        <v>72</v>
      </c>
      <c r="AC408" s="95" t="s">
        <v>72</v>
      </c>
      <c r="AD408" s="95" t="s">
        <v>72</v>
      </c>
      <c r="AE408" s="95" t="s">
        <v>72</v>
      </c>
      <c r="AF408" s="95" t="s">
        <v>72</v>
      </c>
      <c r="AG408" s="95" t="s">
        <v>72</v>
      </c>
      <c r="AH408" s="95" t="s">
        <v>72</v>
      </c>
      <c r="AI408" s="95" t="s">
        <v>72</v>
      </c>
      <c r="AK408" s="95" t="s">
        <v>71</v>
      </c>
    </row>
    <row r="409" spans="1:37" x14ac:dyDescent="0.2">
      <c r="A409" s="95" t="s">
        <v>341</v>
      </c>
      <c r="I409" s="95">
        <v>3.93</v>
      </c>
      <c r="K409" s="95">
        <v>1.81</v>
      </c>
      <c r="R409" s="95" t="s">
        <v>5397</v>
      </c>
      <c r="S409" s="95" t="s">
        <v>338</v>
      </c>
      <c r="U409" s="95" t="s">
        <v>72</v>
      </c>
      <c r="V409" s="95" t="s">
        <v>72</v>
      </c>
      <c r="W409" s="95" t="s">
        <v>72</v>
      </c>
      <c r="X409" s="95" t="s">
        <v>72</v>
      </c>
      <c r="Y409" s="95" t="s">
        <v>72</v>
      </c>
      <c r="Z409" s="95" t="s">
        <v>72</v>
      </c>
      <c r="AA409" s="95" t="s">
        <v>72</v>
      </c>
      <c r="AB409" s="95" t="s">
        <v>72</v>
      </c>
      <c r="AC409" s="95" t="s">
        <v>72</v>
      </c>
      <c r="AD409" s="95" t="s">
        <v>72</v>
      </c>
      <c r="AE409" s="95" t="s">
        <v>72</v>
      </c>
      <c r="AF409" s="95" t="s">
        <v>72</v>
      </c>
      <c r="AG409" s="95" t="s">
        <v>72</v>
      </c>
      <c r="AH409" s="95" t="s">
        <v>72</v>
      </c>
      <c r="AI409" s="95" t="s">
        <v>72</v>
      </c>
      <c r="AK409" s="95" t="s">
        <v>71</v>
      </c>
    </row>
    <row r="410" spans="1:37" x14ac:dyDescent="0.2">
      <c r="A410" s="95" t="s">
        <v>76</v>
      </c>
      <c r="B410" s="95" t="s">
        <v>66</v>
      </c>
      <c r="I410" s="95">
        <v>0.77</v>
      </c>
      <c r="K410" s="95">
        <v>1.06</v>
      </c>
      <c r="R410" s="95" t="s">
        <v>5398</v>
      </c>
      <c r="S410" s="95" t="s">
        <v>338</v>
      </c>
      <c r="U410" s="95" t="s">
        <v>71</v>
      </c>
      <c r="V410" s="95" t="s">
        <v>71</v>
      </c>
      <c r="W410" s="95" t="s">
        <v>71</v>
      </c>
      <c r="X410" s="95" t="s">
        <v>72</v>
      </c>
      <c r="Y410" s="95" t="s">
        <v>72</v>
      </c>
      <c r="Z410" s="95" t="s">
        <v>71</v>
      </c>
      <c r="AA410" s="95" t="s">
        <v>71</v>
      </c>
      <c r="AB410" s="95" t="s">
        <v>72</v>
      </c>
      <c r="AC410" s="95" t="s">
        <v>71</v>
      </c>
      <c r="AD410" s="95" t="s">
        <v>71</v>
      </c>
      <c r="AE410" s="95" t="s">
        <v>72</v>
      </c>
      <c r="AF410" s="95" t="s">
        <v>72</v>
      </c>
      <c r="AG410" s="95" t="s">
        <v>72</v>
      </c>
      <c r="AH410" s="95" t="s">
        <v>72</v>
      </c>
      <c r="AI410" s="95" t="s">
        <v>72</v>
      </c>
      <c r="AK410" s="95" t="s">
        <v>71</v>
      </c>
    </row>
    <row r="411" spans="1:37" x14ac:dyDescent="0.2">
      <c r="A411" s="95" t="s">
        <v>76</v>
      </c>
      <c r="B411" s="95" t="s">
        <v>66</v>
      </c>
      <c r="I411" s="95">
        <v>0.72</v>
      </c>
      <c r="K411" s="95">
        <v>0.72</v>
      </c>
      <c r="R411" s="95" t="s">
        <v>5398</v>
      </c>
      <c r="S411" s="95" t="s">
        <v>338</v>
      </c>
      <c r="U411" s="95" t="s">
        <v>71</v>
      </c>
      <c r="V411" s="95" t="s">
        <v>71</v>
      </c>
      <c r="W411" s="95" t="s">
        <v>71</v>
      </c>
      <c r="X411" s="95" t="s">
        <v>72</v>
      </c>
      <c r="Y411" s="95" t="s">
        <v>72</v>
      </c>
      <c r="Z411" s="95" t="s">
        <v>71</v>
      </c>
      <c r="AA411" s="95" t="s">
        <v>71</v>
      </c>
      <c r="AB411" s="95" t="s">
        <v>72</v>
      </c>
      <c r="AC411" s="95" t="s">
        <v>71</v>
      </c>
      <c r="AD411" s="95" t="s">
        <v>71</v>
      </c>
      <c r="AE411" s="95" t="s">
        <v>72</v>
      </c>
      <c r="AF411" s="95" t="s">
        <v>72</v>
      </c>
      <c r="AG411" s="95" t="s">
        <v>72</v>
      </c>
      <c r="AH411" s="95" t="s">
        <v>72</v>
      </c>
      <c r="AI411" s="95" t="s">
        <v>72</v>
      </c>
      <c r="AK411" s="95" t="s">
        <v>71</v>
      </c>
    </row>
    <row r="412" spans="1:37" x14ac:dyDescent="0.2">
      <c r="A412" s="95" t="s">
        <v>76</v>
      </c>
      <c r="B412" s="95" t="s">
        <v>66</v>
      </c>
      <c r="I412" s="95">
        <v>0.74</v>
      </c>
      <c r="K412" s="95">
        <v>0.86</v>
      </c>
      <c r="R412" s="95" t="s">
        <v>5398</v>
      </c>
      <c r="S412" s="95" t="s">
        <v>338</v>
      </c>
      <c r="U412" s="95" t="s">
        <v>71</v>
      </c>
      <c r="V412" s="95" t="s">
        <v>71</v>
      </c>
      <c r="W412" s="95" t="s">
        <v>71</v>
      </c>
      <c r="X412" s="95" t="s">
        <v>72</v>
      </c>
      <c r="Y412" s="95" t="s">
        <v>72</v>
      </c>
      <c r="Z412" s="95" t="s">
        <v>71</v>
      </c>
      <c r="AA412" s="95" t="s">
        <v>71</v>
      </c>
      <c r="AB412" s="95" t="s">
        <v>72</v>
      </c>
      <c r="AC412" s="95" t="s">
        <v>71</v>
      </c>
      <c r="AD412" s="95" t="s">
        <v>71</v>
      </c>
      <c r="AE412" s="95" t="s">
        <v>72</v>
      </c>
      <c r="AF412" s="95" t="s">
        <v>72</v>
      </c>
      <c r="AG412" s="95" t="s">
        <v>72</v>
      </c>
      <c r="AH412" s="95" t="s">
        <v>72</v>
      </c>
      <c r="AI412" s="95" t="s">
        <v>72</v>
      </c>
      <c r="AK412" s="95" t="s">
        <v>71</v>
      </c>
    </row>
    <row r="413" spans="1:37" x14ac:dyDescent="0.2">
      <c r="A413" s="95" t="s">
        <v>76</v>
      </c>
      <c r="B413" s="95" t="s">
        <v>66</v>
      </c>
      <c r="I413" s="95">
        <v>0.72</v>
      </c>
      <c r="K413" s="95">
        <v>0.75</v>
      </c>
      <c r="R413" s="95" t="s">
        <v>5398</v>
      </c>
      <c r="S413" s="95" t="s">
        <v>338</v>
      </c>
      <c r="U413" s="95" t="s">
        <v>71</v>
      </c>
      <c r="V413" s="95" t="s">
        <v>71</v>
      </c>
      <c r="W413" s="95" t="s">
        <v>71</v>
      </c>
      <c r="X413" s="95" t="s">
        <v>72</v>
      </c>
      <c r="Y413" s="95" t="s">
        <v>72</v>
      </c>
      <c r="Z413" s="95" t="s">
        <v>71</v>
      </c>
      <c r="AA413" s="95" t="s">
        <v>71</v>
      </c>
      <c r="AB413" s="95" t="s">
        <v>72</v>
      </c>
      <c r="AC413" s="95" t="s">
        <v>71</v>
      </c>
      <c r="AD413" s="95" t="s">
        <v>71</v>
      </c>
      <c r="AE413" s="95" t="s">
        <v>72</v>
      </c>
      <c r="AF413" s="95" t="s">
        <v>72</v>
      </c>
      <c r="AG413" s="95" t="s">
        <v>72</v>
      </c>
      <c r="AH413" s="95" t="s">
        <v>72</v>
      </c>
      <c r="AI413" s="95" t="s">
        <v>72</v>
      </c>
      <c r="AK413" s="95" t="s">
        <v>71</v>
      </c>
    </row>
    <row r="414" spans="1:37" x14ac:dyDescent="0.2">
      <c r="A414" s="95" t="s">
        <v>76</v>
      </c>
      <c r="B414" s="95" t="s">
        <v>66</v>
      </c>
      <c r="I414" s="95">
        <v>0.71</v>
      </c>
      <c r="K414" s="95">
        <v>0.66</v>
      </c>
      <c r="R414" s="95" t="s">
        <v>5398</v>
      </c>
      <c r="S414" s="95" t="s">
        <v>338</v>
      </c>
      <c r="U414" s="95" t="s">
        <v>71</v>
      </c>
      <c r="V414" s="95" t="s">
        <v>71</v>
      </c>
      <c r="W414" s="95" t="s">
        <v>71</v>
      </c>
      <c r="X414" s="95" t="s">
        <v>72</v>
      </c>
      <c r="Y414" s="95" t="s">
        <v>72</v>
      </c>
      <c r="Z414" s="95" t="s">
        <v>71</v>
      </c>
      <c r="AA414" s="95" t="s">
        <v>71</v>
      </c>
      <c r="AB414" s="95" t="s">
        <v>72</v>
      </c>
      <c r="AC414" s="95" t="s">
        <v>71</v>
      </c>
      <c r="AD414" s="95" t="s">
        <v>71</v>
      </c>
      <c r="AE414" s="95" t="s">
        <v>72</v>
      </c>
      <c r="AF414" s="95" t="s">
        <v>72</v>
      </c>
      <c r="AG414" s="95" t="s">
        <v>72</v>
      </c>
      <c r="AH414" s="95" t="s">
        <v>72</v>
      </c>
      <c r="AI414" s="95" t="s">
        <v>72</v>
      </c>
      <c r="AK414" s="95" t="s">
        <v>71</v>
      </c>
    </row>
    <row r="415" spans="1:37" x14ac:dyDescent="0.2">
      <c r="A415" s="95" t="s">
        <v>76</v>
      </c>
      <c r="B415" s="95" t="s">
        <v>66</v>
      </c>
      <c r="I415" s="95">
        <v>0.71</v>
      </c>
      <c r="K415" s="95">
        <v>0.66</v>
      </c>
      <c r="R415" s="95" t="s">
        <v>5398</v>
      </c>
      <c r="S415" s="95" t="s">
        <v>338</v>
      </c>
      <c r="U415" s="95" t="s">
        <v>71</v>
      </c>
      <c r="V415" s="95" t="s">
        <v>71</v>
      </c>
      <c r="W415" s="95" t="s">
        <v>71</v>
      </c>
      <c r="X415" s="95" t="s">
        <v>72</v>
      </c>
      <c r="Y415" s="95" t="s">
        <v>72</v>
      </c>
      <c r="Z415" s="95" t="s">
        <v>71</v>
      </c>
      <c r="AA415" s="95" t="s">
        <v>71</v>
      </c>
      <c r="AB415" s="95" t="s">
        <v>72</v>
      </c>
      <c r="AC415" s="95" t="s">
        <v>71</v>
      </c>
      <c r="AD415" s="95" t="s">
        <v>71</v>
      </c>
      <c r="AE415" s="95" t="s">
        <v>72</v>
      </c>
      <c r="AF415" s="95" t="s">
        <v>72</v>
      </c>
      <c r="AG415" s="95" t="s">
        <v>72</v>
      </c>
      <c r="AH415" s="95" t="s">
        <v>72</v>
      </c>
      <c r="AI415" s="95" t="s">
        <v>72</v>
      </c>
      <c r="AK415" s="95" t="s">
        <v>71</v>
      </c>
    </row>
    <row r="416" spans="1:37" x14ac:dyDescent="0.2">
      <c r="A416" s="95" t="s">
        <v>76</v>
      </c>
      <c r="B416" s="95" t="s">
        <v>66</v>
      </c>
      <c r="I416" s="95">
        <v>0.71</v>
      </c>
      <c r="K416" s="95">
        <v>0.67</v>
      </c>
      <c r="R416" s="95" t="s">
        <v>5398</v>
      </c>
      <c r="S416" s="95" t="s">
        <v>338</v>
      </c>
      <c r="U416" s="95" t="s">
        <v>71</v>
      </c>
      <c r="V416" s="95" t="s">
        <v>71</v>
      </c>
      <c r="W416" s="95" t="s">
        <v>71</v>
      </c>
      <c r="X416" s="95" t="s">
        <v>72</v>
      </c>
      <c r="Y416" s="95" t="s">
        <v>72</v>
      </c>
      <c r="Z416" s="95" t="s">
        <v>71</v>
      </c>
      <c r="AA416" s="95" t="s">
        <v>71</v>
      </c>
      <c r="AB416" s="95" t="s">
        <v>72</v>
      </c>
      <c r="AC416" s="95" t="s">
        <v>71</v>
      </c>
      <c r="AD416" s="95" t="s">
        <v>71</v>
      </c>
      <c r="AE416" s="95" t="s">
        <v>72</v>
      </c>
      <c r="AF416" s="95" t="s">
        <v>72</v>
      </c>
      <c r="AG416" s="95" t="s">
        <v>72</v>
      </c>
      <c r="AH416" s="95" t="s">
        <v>72</v>
      </c>
      <c r="AI416" s="95" t="s">
        <v>72</v>
      </c>
      <c r="AK416" s="95" t="s">
        <v>71</v>
      </c>
    </row>
    <row r="417" spans="1:37" x14ac:dyDescent="0.2">
      <c r="A417" s="95" t="s">
        <v>76</v>
      </c>
      <c r="B417" s="95" t="s">
        <v>66</v>
      </c>
      <c r="I417" s="95">
        <v>0.7</v>
      </c>
      <c r="K417" s="95">
        <v>0.62</v>
      </c>
      <c r="R417" s="95" t="s">
        <v>5398</v>
      </c>
      <c r="S417" s="95" t="s">
        <v>338</v>
      </c>
      <c r="U417" s="95" t="s">
        <v>71</v>
      </c>
      <c r="V417" s="95" t="s">
        <v>71</v>
      </c>
      <c r="W417" s="95" t="s">
        <v>71</v>
      </c>
      <c r="X417" s="95" t="s">
        <v>72</v>
      </c>
      <c r="Y417" s="95" t="s">
        <v>72</v>
      </c>
      <c r="Z417" s="95" t="s">
        <v>71</v>
      </c>
      <c r="AA417" s="95" t="s">
        <v>71</v>
      </c>
      <c r="AB417" s="95" t="s">
        <v>72</v>
      </c>
      <c r="AC417" s="95" t="s">
        <v>71</v>
      </c>
      <c r="AD417" s="95" t="s">
        <v>71</v>
      </c>
      <c r="AE417" s="95" t="s">
        <v>72</v>
      </c>
      <c r="AF417" s="95" t="s">
        <v>72</v>
      </c>
      <c r="AG417" s="95" t="s">
        <v>72</v>
      </c>
      <c r="AH417" s="95" t="s">
        <v>72</v>
      </c>
      <c r="AI417" s="95" t="s">
        <v>72</v>
      </c>
      <c r="AK417" s="95" t="s">
        <v>71</v>
      </c>
    </row>
    <row r="418" spans="1:37" x14ac:dyDescent="0.2">
      <c r="A418" s="95" t="s">
        <v>76</v>
      </c>
      <c r="B418" s="95" t="s">
        <v>66</v>
      </c>
      <c r="I418" s="95">
        <v>0.74</v>
      </c>
      <c r="K418" s="95">
        <v>0.83</v>
      </c>
      <c r="R418" s="95" t="s">
        <v>5398</v>
      </c>
      <c r="S418" s="95" t="s">
        <v>338</v>
      </c>
      <c r="U418" s="95" t="s">
        <v>71</v>
      </c>
      <c r="V418" s="95" t="s">
        <v>71</v>
      </c>
      <c r="W418" s="95" t="s">
        <v>71</v>
      </c>
      <c r="X418" s="95" t="s">
        <v>72</v>
      </c>
      <c r="Y418" s="95" t="s">
        <v>72</v>
      </c>
      <c r="Z418" s="95" t="s">
        <v>71</v>
      </c>
      <c r="AA418" s="95" t="s">
        <v>71</v>
      </c>
      <c r="AB418" s="95" t="s">
        <v>72</v>
      </c>
      <c r="AC418" s="95" t="s">
        <v>71</v>
      </c>
      <c r="AD418" s="95" t="s">
        <v>71</v>
      </c>
      <c r="AE418" s="95" t="s">
        <v>72</v>
      </c>
      <c r="AF418" s="95" t="s">
        <v>72</v>
      </c>
      <c r="AG418" s="95" t="s">
        <v>72</v>
      </c>
      <c r="AH418" s="95" t="s">
        <v>72</v>
      </c>
      <c r="AI418" s="95" t="s">
        <v>72</v>
      </c>
      <c r="AK418" s="95" t="s">
        <v>71</v>
      </c>
    </row>
    <row r="419" spans="1:37" x14ac:dyDescent="0.2">
      <c r="A419" s="95" t="s">
        <v>76</v>
      </c>
      <c r="B419" s="95" t="s">
        <v>66</v>
      </c>
      <c r="I419" s="95">
        <v>0.73</v>
      </c>
      <c r="K419" s="95">
        <v>0.79</v>
      </c>
      <c r="R419" s="95" t="s">
        <v>5398</v>
      </c>
      <c r="S419" s="95" t="s">
        <v>338</v>
      </c>
      <c r="U419" s="95" t="s">
        <v>71</v>
      </c>
      <c r="V419" s="95" t="s">
        <v>71</v>
      </c>
      <c r="W419" s="95" t="s">
        <v>71</v>
      </c>
      <c r="X419" s="95" t="s">
        <v>72</v>
      </c>
      <c r="Y419" s="95" t="s">
        <v>72</v>
      </c>
      <c r="Z419" s="95" t="s">
        <v>71</v>
      </c>
      <c r="AA419" s="95" t="s">
        <v>71</v>
      </c>
      <c r="AB419" s="95" t="s">
        <v>72</v>
      </c>
      <c r="AC419" s="95" t="s">
        <v>71</v>
      </c>
      <c r="AD419" s="95" t="s">
        <v>71</v>
      </c>
      <c r="AE419" s="95" t="s">
        <v>72</v>
      </c>
      <c r="AF419" s="95" t="s">
        <v>72</v>
      </c>
      <c r="AG419" s="95" t="s">
        <v>72</v>
      </c>
      <c r="AH419" s="95" t="s">
        <v>72</v>
      </c>
      <c r="AI419" s="95" t="s">
        <v>72</v>
      </c>
      <c r="AK419" s="95" t="s">
        <v>71</v>
      </c>
    </row>
    <row r="420" spans="1:37" x14ac:dyDescent="0.2">
      <c r="A420" s="95" t="s">
        <v>76</v>
      </c>
      <c r="B420" s="95" t="s">
        <v>66</v>
      </c>
      <c r="I420" s="95">
        <v>1.8</v>
      </c>
      <c r="K420" s="95">
        <v>1.28</v>
      </c>
      <c r="R420" s="95" t="s">
        <v>5397</v>
      </c>
      <c r="S420" s="95" t="s">
        <v>338</v>
      </c>
      <c r="U420" s="95" t="s">
        <v>71</v>
      </c>
      <c r="V420" s="95" t="s">
        <v>71</v>
      </c>
      <c r="W420" s="95" t="s">
        <v>71</v>
      </c>
      <c r="X420" s="95" t="s">
        <v>72</v>
      </c>
      <c r="Y420" s="95" t="s">
        <v>72</v>
      </c>
      <c r="Z420" s="95" t="s">
        <v>71</v>
      </c>
      <c r="AA420" s="95" t="s">
        <v>71</v>
      </c>
      <c r="AB420" s="95" t="s">
        <v>72</v>
      </c>
      <c r="AC420" s="95" t="s">
        <v>71</v>
      </c>
      <c r="AD420" s="95" t="s">
        <v>71</v>
      </c>
      <c r="AE420" s="95" t="s">
        <v>72</v>
      </c>
      <c r="AF420" s="95" t="s">
        <v>72</v>
      </c>
      <c r="AG420" s="95" t="s">
        <v>72</v>
      </c>
      <c r="AH420" s="95" t="s">
        <v>72</v>
      </c>
      <c r="AI420" s="95" t="s">
        <v>72</v>
      </c>
      <c r="AK420" s="95" t="s">
        <v>71</v>
      </c>
    </row>
    <row r="421" spans="1:37" x14ac:dyDescent="0.2">
      <c r="A421" s="95" t="s">
        <v>76</v>
      </c>
      <c r="B421" s="95" t="s">
        <v>66</v>
      </c>
      <c r="I421" s="95">
        <v>1.68</v>
      </c>
      <c r="K421" s="95">
        <v>0.87</v>
      </c>
      <c r="R421" s="95" t="s">
        <v>5397</v>
      </c>
      <c r="S421" s="95" t="s">
        <v>338</v>
      </c>
      <c r="U421" s="95" t="s">
        <v>71</v>
      </c>
      <c r="V421" s="95" t="s">
        <v>71</v>
      </c>
      <c r="W421" s="95" t="s">
        <v>71</v>
      </c>
      <c r="X421" s="95" t="s">
        <v>72</v>
      </c>
      <c r="Y421" s="95" t="s">
        <v>72</v>
      </c>
      <c r="Z421" s="95" t="s">
        <v>71</v>
      </c>
      <c r="AA421" s="95" t="s">
        <v>71</v>
      </c>
      <c r="AB421" s="95" t="s">
        <v>72</v>
      </c>
      <c r="AC421" s="95" t="s">
        <v>71</v>
      </c>
      <c r="AD421" s="95" t="s">
        <v>71</v>
      </c>
      <c r="AE421" s="95" t="s">
        <v>72</v>
      </c>
      <c r="AF421" s="95" t="s">
        <v>72</v>
      </c>
      <c r="AG421" s="95" t="s">
        <v>72</v>
      </c>
      <c r="AH421" s="95" t="s">
        <v>72</v>
      </c>
      <c r="AI421" s="95" t="s">
        <v>72</v>
      </c>
      <c r="AK421" s="95" t="s">
        <v>71</v>
      </c>
    </row>
    <row r="422" spans="1:37" x14ac:dyDescent="0.2">
      <c r="A422" s="95" t="s">
        <v>76</v>
      </c>
      <c r="B422" s="95" t="s">
        <v>66</v>
      </c>
      <c r="I422" s="95">
        <v>1.73</v>
      </c>
      <c r="K422" s="95">
        <v>1.04</v>
      </c>
      <c r="R422" s="95" t="s">
        <v>5397</v>
      </c>
      <c r="S422" s="95" t="s">
        <v>338</v>
      </c>
      <c r="U422" s="95" t="s">
        <v>71</v>
      </c>
      <c r="V422" s="95" t="s">
        <v>71</v>
      </c>
      <c r="W422" s="95" t="s">
        <v>71</v>
      </c>
      <c r="X422" s="95" t="s">
        <v>72</v>
      </c>
      <c r="Y422" s="95" t="s">
        <v>72</v>
      </c>
      <c r="Z422" s="95" t="s">
        <v>71</v>
      </c>
      <c r="AA422" s="95" t="s">
        <v>71</v>
      </c>
      <c r="AB422" s="95" t="s">
        <v>72</v>
      </c>
      <c r="AC422" s="95" t="s">
        <v>71</v>
      </c>
      <c r="AD422" s="95" t="s">
        <v>71</v>
      </c>
      <c r="AE422" s="95" t="s">
        <v>72</v>
      </c>
      <c r="AF422" s="95" t="s">
        <v>72</v>
      </c>
      <c r="AG422" s="95" t="s">
        <v>72</v>
      </c>
      <c r="AH422" s="95" t="s">
        <v>72</v>
      </c>
      <c r="AI422" s="95" t="s">
        <v>72</v>
      </c>
      <c r="AK422" s="95" t="s">
        <v>71</v>
      </c>
    </row>
    <row r="423" spans="1:37" x14ac:dyDescent="0.2">
      <c r="A423" s="95" t="s">
        <v>76</v>
      </c>
      <c r="B423" s="95" t="s">
        <v>66</v>
      </c>
      <c r="I423" s="95">
        <v>1.69</v>
      </c>
      <c r="K423" s="95">
        <v>0.91</v>
      </c>
      <c r="R423" s="95" t="s">
        <v>5397</v>
      </c>
      <c r="S423" s="95" t="s">
        <v>338</v>
      </c>
      <c r="U423" s="95" t="s">
        <v>71</v>
      </c>
      <c r="V423" s="95" t="s">
        <v>71</v>
      </c>
      <c r="W423" s="95" t="s">
        <v>71</v>
      </c>
      <c r="X423" s="95" t="s">
        <v>72</v>
      </c>
      <c r="Y423" s="95" t="s">
        <v>72</v>
      </c>
      <c r="Z423" s="95" t="s">
        <v>71</v>
      </c>
      <c r="AA423" s="95" t="s">
        <v>71</v>
      </c>
      <c r="AB423" s="95" t="s">
        <v>72</v>
      </c>
      <c r="AC423" s="95" t="s">
        <v>71</v>
      </c>
      <c r="AD423" s="95" t="s">
        <v>71</v>
      </c>
      <c r="AE423" s="95" t="s">
        <v>72</v>
      </c>
      <c r="AF423" s="95" t="s">
        <v>72</v>
      </c>
      <c r="AG423" s="95" t="s">
        <v>72</v>
      </c>
      <c r="AH423" s="95" t="s">
        <v>72</v>
      </c>
      <c r="AI423" s="95" t="s">
        <v>72</v>
      </c>
      <c r="AK423" s="95" t="s">
        <v>71</v>
      </c>
    </row>
    <row r="424" spans="1:37" x14ac:dyDescent="0.2">
      <c r="A424" s="95" t="s">
        <v>76</v>
      </c>
      <c r="B424" s="95" t="s">
        <v>66</v>
      </c>
      <c r="I424" s="95">
        <v>1.66</v>
      </c>
      <c r="K424" s="95">
        <v>0.8</v>
      </c>
      <c r="R424" s="95" t="s">
        <v>5397</v>
      </c>
      <c r="S424" s="95" t="s">
        <v>338</v>
      </c>
      <c r="U424" s="95" t="s">
        <v>71</v>
      </c>
      <c r="V424" s="95" t="s">
        <v>71</v>
      </c>
      <c r="W424" s="95" t="s">
        <v>71</v>
      </c>
      <c r="X424" s="95" t="s">
        <v>72</v>
      </c>
      <c r="Y424" s="95" t="s">
        <v>72</v>
      </c>
      <c r="Z424" s="95" t="s">
        <v>71</v>
      </c>
      <c r="AA424" s="95" t="s">
        <v>71</v>
      </c>
      <c r="AB424" s="95" t="s">
        <v>72</v>
      </c>
      <c r="AC424" s="95" t="s">
        <v>71</v>
      </c>
      <c r="AD424" s="95" t="s">
        <v>71</v>
      </c>
      <c r="AE424" s="95" t="s">
        <v>72</v>
      </c>
      <c r="AF424" s="95" t="s">
        <v>72</v>
      </c>
      <c r="AG424" s="95" t="s">
        <v>72</v>
      </c>
      <c r="AH424" s="95" t="s">
        <v>72</v>
      </c>
      <c r="AI424" s="95" t="s">
        <v>72</v>
      </c>
      <c r="AK424" s="95" t="s">
        <v>71</v>
      </c>
    </row>
    <row r="425" spans="1:37" x14ac:dyDescent="0.2">
      <c r="A425" s="95" t="s">
        <v>76</v>
      </c>
      <c r="B425" s="95" t="s">
        <v>66</v>
      </c>
      <c r="I425" s="95">
        <v>1.66</v>
      </c>
      <c r="K425" s="95">
        <v>0.8</v>
      </c>
      <c r="R425" s="95" t="s">
        <v>5397</v>
      </c>
      <c r="S425" s="95" t="s">
        <v>338</v>
      </c>
      <c r="U425" s="95" t="s">
        <v>71</v>
      </c>
      <c r="V425" s="95" t="s">
        <v>71</v>
      </c>
      <c r="W425" s="95" t="s">
        <v>71</v>
      </c>
      <c r="X425" s="95" t="s">
        <v>72</v>
      </c>
      <c r="Y425" s="95" t="s">
        <v>72</v>
      </c>
      <c r="Z425" s="95" t="s">
        <v>71</v>
      </c>
      <c r="AA425" s="95" t="s">
        <v>71</v>
      </c>
      <c r="AB425" s="95" t="s">
        <v>72</v>
      </c>
      <c r="AC425" s="95" t="s">
        <v>71</v>
      </c>
      <c r="AD425" s="95" t="s">
        <v>71</v>
      </c>
      <c r="AE425" s="95" t="s">
        <v>72</v>
      </c>
      <c r="AF425" s="95" t="s">
        <v>72</v>
      </c>
      <c r="AG425" s="95" t="s">
        <v>72</v>
      </c>
      <c r="AH425" s="95" t="s">
        <v>72</v>
      </c>
      <c r="AI425" s="95" t="s">
        <v>72</v>
      </c>
      <c r="AK425" s="95" t="s">
        <v>71</v>
      </c>
    </row>
    <row r="426" spans="1:37" x14ac:dyDescent="0.2">
      <c r="A426" s="95" t="s">
        <v>76</v>
      </c>
      <c r="B426" s="95" t="s">
        <v>66</v>
      </c>
      <c r="I426" s="95">
        <v>1.67</v>
      </c>
      <c r="K426" s="95">
        <v>0.81</v>
      </c>
      <c r="R426" s="95" t="s">
        <v>5397</v>
      </c>
      <c r="S426" s="95" t="s">
        <v>338</v>
      </c>
      <c r="U426" s="95" t="s">
        <v>71</v>
      </c>
      <c r="V426" s="95" t="s">
        <v>71</v>
      </c>
      <c r="W426" s="95" t="s">
        <v>71</v>
      </c>
      <c r="X426" s="95" t="s">
        <v>72</v>
      </c>
      <c r="Y426" s="95" t="s">
        <v>72</v>
      </c>
      <c r="Z426" s="95" t="s">
        <v>71</v>
      </c>
      <c r="AA426" s="95" t="s">
        <v>71</v>
      </c>
      <c r="AB426" s="95" t="s">
        <v>72</v>
      </c>
      <c r="AC426" s="95" t="s">
        <v>71</v>
      </c>
      <c r="AD426" s="95" t="s">
        <v>71</v>
      </c>
      <c r="AE426" s="95" t="s">
        <v>72</v>
      </c>
      <c r="AF426" s="95" t="s">
        <v>72</v>
      </c>
      <c r="AG426" s="95" t="s">
        <v>72</v>
      </c>
      <c r="AH426" s="95" t="s">
        <v>72</v>
      </c>
      <c r="AI426" s="95" t="s">
        <v>72</v>
      </c>
      <c r="AK426" s="95" t="s">
        <v>71</v>
      </c>
    </row>
    <row r="427" spans="1:37" x14ac:dyDescent="0.2">
      <c r="A427" s="95" t="s">
        <v>76</v>
      </c>
      <c r="B427" s="95" t="s">
        <v>66</v>
      </c>
      <c r="I427" s="95">
        <v>1.65</v>
      </c>
      <c r="K427" s="95">
        <v>0.75</v>
      </c>
      <c r="R427" s="95" t="s">
        <v>5397</v>
      </c>
      <c r="S427" s="95" t="s">
        <v>338</v>
      </c>
      <c r="U427" s="95" t="s">
        <v>71</v>
      </c>
      <c r="V427" s="95" t="s">
        <v>71</v>
      </c>
      <c r="W427" s="95" t="s">
        <v>71</v>
      </c>
      <c r="X427" s="95" t="s">
        <v>72</v>
      </c>
      <c r="Y427" s="95" t="s">
        <v>72</v>
      </c>
      <c r="Z427" s="95" t="s">
        <v>71</v>
      </c>
      <c r="AA427" s="95" t="s">
        <v>71</v>
      </c>
      <c r="AB427" s="95" t="s">
        <v>72</v>
      </c>
      <c r="AC427" s="95" t="s">
        <v>71</v>
      </c>
      <c r="AD427" s="95" t="s">
        <v>71</v>
      </c>
      <c r="AE427" s="95" t="s">
        <v>72</v>
      </c>
      <c r="AF427" s="95" t="s">
        <v>72</v>
      </c>
      <c r="AG427" s="95" t="s">
        <v>72</v>
      </c>
      <c r="AH427" s="95" t="s">
        <v>72</v>
      </c>
      <c r="AI427" s="95" t="s">
        <v>72</v>
      </c>
      <c r="AK427" s="95" t="s">
        <v>71</v>
      </c>
    </row>
    <row r="428" spans="1:37" x14ac:dyDescent="0.2">
      <c r="A428" s="95" t="s">
        <v>76</v>
      </c>
      <c r="B428" s="95" t="s">
        <v>66</v>
      </c>
      <c r="I428" s="95">
        <v>1.72</v>
      </c>
      <c r="K428" s="95">
        <v>1</v>
      </c>
      <c r="R428" s="95" t="s">
        <v>5397</v>
      </c>
      <c r="S428" s="95" t="s">
        <v>338</v>
      </c>
      <c r="U428" s="95" t="s">
        <v>71</v>
      </c>
      <c r="V428" s="95" t="s">
        <v>71</v>
      </c>
      <c r="W428" s="95" t="s">
        <v>71</v>
      </c>
      <c r="X428" s="95" t="s">
        <v>72</v>
      </c>
      <c r="Y428" s="95" t="s">
        <v>72</v>
      </c>
      <c r="Z428" s="95" t="s">
        <v>71</v>
      </c>
      <c r="AA428" s="95" t="s">
        <v>71</v>
      </c>
      <c r="AB428" s="95" t="s">
        <v>72</v>
      </c>
      <c r="AC428" s="95" t="s">
        <v>71</v>
      </c>
      <c r="AD428" s="95" t="s">
        <v>71</v>
      </c>
      <c r="AE428" s="95" t="s">
        <v>72</v>
      </c>
      <c r="AF428" s="95" t="s">
        <v>72</v>
      </c>
      <c r="AG428" s="95" t="s">
        <v>72</v>
      </c>
      <c r="AH428" s="95" t="s">
        <v>72</v>
      </c>
      <c r="AI428" s="95" t="s">
        <v>72</v>
      </c>
      <c r="AK428" s="95" t="s">
        <v>71</v>
      </c>
    </row>
    <row r="429" spans="1:37" x14ac:dyDescent="0.2">
      <c r="A429" s="95" t="s">
        <v>76</v>
      </c>
      <c r="B429" s="95" t="s">
        <v>66</v>
      </c>
      <c r="I429" s="95">
        <v>1.71</v>
      </c>
      <c r="K429" s="95">
        <v>0.95</v>
      </c>
      <c r="R429" s="95" t="s">
        <v>5397</v>
      </c>
      <c r="S429" s="95" t="s">
        <v>338</v>
      </c>
      <c r="U429" s="95" t="s">
        <v>71</v>
      </c>
      <c r="V429" s="95" t="s">
        <v>71</v>
      </c>
      <c r="W429" s="95" t="s">
        <v>71</v>
      </c>
      <c r="X429" s="95" t="s">
        <v>72</v>
      </c>
      <c r="Y429" s="95" t="s">
        <v>72</v>
      </c>
      <c r="Z429" s="95" t="s">
        <v>71</v>
      </c>
      <c r="AA429" s="95" t="s">
        <v>71</v>
      </c>
      <c r="AB429" s="95" t="s">
        <v>72</v>
      </c>
      <c r="AC429" s="95" t="s">
        <v>71</v>
      </c>
      <c r="AD429" s="95" t="s">
        <v>71</v>
      </c>
      <c r="AE429" s="95" t="s">
        <v>72</v>
      </c>
      <c r="AF429" s="95" t="s">
        <v>72</v>
      </c>
      <c r="AG429" s="95" t="s">
        <v>72</v>
      </c>
      <c r="AH429" s="95" t="s">
        <v>72</v>
      </c>
      <c r="AI429" s="95" t="s">
        <v>72</v>
      </c>
      <c r="AK429" s="95" t="s">
        <v>71</v>
      </c>
    </row>
    <row r="430" spans="1:37" x14ac:dyDescent="0.2">
      <c r="A430" s="95" t="s">
        <v>65</v>
      </c>
      <c r="I430" s="95">
        <v>1.3</v>
      </c>
      <c r="K430" s="95">
        <v>1.1000000000000001</v>
      </c>
      <c r="R430" s="95" t="s">
        <v>5398</v>
      </c>
      <c r="S430" s="95" t="s">
        <v>338</v>
      </c>
      <c r="U430" s="95" t="s">
        <v>71</v>
      </c>
      <c r="V430" s="95" t="s">
        <v>71</v>
      </c>
      <c r="W430" s="95" t="s">
        <v>72</v>
      </c>
      <c r="X430" s="95" t="s">
        <v>71</v>
      </c>
      <c r="Y430" s="95" t="s">
        <v>72</v>
      </c>
      <c r="Z430" s="95" t="s">
        <v>71</v>
      </c>
      <c r="AA430" s="95" t="s">
        <v>72</v>
      </c>
      <c r="AB430" s="95" t="s">
        <v>72</v>
      </c>
      <c r="AC430" s="95" t="s">
        <v>72</v>
      </c>
      <c r="AD430" s="95" t="s">
        <v>72</v>
      </c>
      <c r="AE430" s="95" t="s">
        <v>71</v>
      </c>
      <c r="AF430" s="95" t="s">
        <v>72</v>
      </c>
      <c r="AG430" s="95" t="s">
        <v>71</v>
      </c>
      <c r="AH430" s="95" t="s">
        <v>71</v>
      </c>
      <c r="AI430" s="95" t="s">
        <v>71</v>
      </c>
      <c r="AK430" s="95" t="s">
        <v>71</v>
      </c>
    </row>
    <row r="431" spans="1:37" x14ac:dyDescent="0.2">
      <c r="A431" s="95" t="s">
        <v>65</v>
      </c>
      <c r="I431" s="95">
        <v>1.22</v>
      </c>
      <c r="K431" s="95">
        <v>0.75</v>
      </c>
      <c r="R431" s="95" t="s">
        <v>5398</v>
      </c>
      <c r="S431" s="95" t="s">
        <v>338</v>
      </c>
      <c r="U431" s="95" t="s">
        <v>71</v>
      </c>
      <c r="V431" s="95" t="s">
        <v>71</v>
      </c>
      <c r="W431" s="95" t="s">
        <v>72</v>
      </c>
      <c r="X431" s="95" t="s">
        <v>71</v>
      </c>
      <c r="Y431" s="95" t="s">
        <v>72</v>
      </c>
      <c r="Z431" s="95" t="s">
        <v>71</v>
      </c>
      <c r="AA431" s="95" t="s">
        <v>72</v>
      </c>
      <c r="AB431" s="95" t="s">
        <v>72</v>
      </c>
      <c r="AC431" s="95" t="s">
        <v>72</v>
      </c>
      <c r="AD431" s="95" t="s">
        <v>72</v>
      </c>
      <c r="AE431" s="95" t="s">
        <v>71</v>
      </c>
      <c r="AF431" s="95" t="s">
        <v>72</v>
      </c>
      <c r="AG431" s="95" t="s">
        <v>71</v>
      </c>
      <c r="AH431" s="95" t="s">
        <v>71</v>
      </c>
      <c r="AI431" s="95" t="s">
        <v>71</v>
      </c>
      <c r="AK431" s="95" t="s">
        <v>71</v>
      </c>
    </row>
    <row r="432" spans="1:37" x14ac:dyDescent="0.2">
      <c r="A432" s="95" t="s">
        <v>65</v>
      </c>
      <c r="I432" s="95">
        <v>1.25</v>
      </c>
      <c r="K432" s="95">
        <v>0.9</v>
      </c>
      <c r="R432" s="95" t="s">
        <v>5398</v>
      </c>
      <c r="S432" s="95" t="s">
        <v>338</v>
      </c>
      <c r="U432" s="95" t="s">
        <v>71</v>
      </c>
      <c r="V432" s="95" t="s">
        <v>71</v>
      </c>
      <c r="W432" s="95" t="s">
        <v>72</v>
      </c>
      <c r="X432" s="95" t="s">
        <v>71</v>
      </c>
      <c r="Y432" s="95" t="s">
        <v>72</v>
      </c>
      <c r="Z432" s="95" t="s">
        <v>71</v>
      </c>
      <c r="AA432" s="95" t="s">
        <v>72</v>
      </c>
      <c r="AB432" s="95" t="s">
        <v>72</v>
      </c>
      <c r="AC432" s="95" t="s">
        <v>72</v>
      </c>
      <c r="AD432" s="95" t="s">
        <v>72</v>
      </c>
      <c r="AE432" s="95" t="s">
        <v>71</v>
      </c>
      <c r="AF432" s="95" t="s">
        <v>72</v>
      </c>
      <c r="AG432" s="95" t="s">
        <v>71</v>
      </c>
      <c r="AH432" s="95" t="s">
        <v>71</v>
      </c>
      <c r="AI432" s="95" t="s">
        <v>71</v>
      </c>
      <c r="AK432" s="95" t="s">
        <v>71</v>
      </c>
    </row>
    <row r="433" spans="1:37" x14ac:dyDescent="0.2">
      <c r="A433" s="95" t="s">
        <v>65</v>
      </c>
      <c r="I433" s="95">
        <v>1.23</v>
      </c>
      <c r="K433" s="95">
        <v>0.78</v>
      </c>
      <c r="R433" s="95" t="s">
        <v>5398</v>
      </c>
      <c r="S433" s="95" t="s">
        <v>338</v>
      </c>
      <c r="U433" s="95" t="s">
        <v>71</v>
      </c>
      <c r="V433" s="95" t="s">
        <v>71</v>
      </c>
      <c r="W433" s="95" t="s">
        <v>72</v>
      </c>
      <c r="X433" s="95" t="s">
        <v>71</v>
      </c>
      <c r="Y433" s="95" t="s">
        <v>72</v>
      </c>
      <c r="Z433" s="95" t="s">
        <v>71</v>
      </c>
      <c r="AA433" s="95" t="s">
        <v>72</v>
      </c>
      <c r="AB433" s="95" t="s">
        <v>72</v>
      </c>
      <c r="AC433" s="95" t="s">
        <v>72</v>
      </c>
      <c r="AD433" s="95" t="s">
        <v>72</v>
      </c>
      <c r="AE433" s="95" t="s">
        <v>71</v>
      </c>
      <c r="AF433" s="95" t="s">
        <v>72</v>
      </c>
      <c r="AG433" s="95" t="s">
        <v>71</v>
      </c>
      <c r="AH433" s="95" t="s">
        <v>71</v>
      </c>
      <c r="AI433" s="95" t="s">
        <v>71</v>
      </c>
      <c r="AK433" s="95" t="s">
        <v>71</v>
      </c>
    </row>
    <row r="434" spans="1:37" x14ac:dyDescent="0.2">
      <c r="A434" s="95" t="s">
        <v>65</v>
      </c>
      <c r="I434" s="95">
        <v>1.2</v>
      </c>
      <c r="K434" s="95">
        <v>0.69</v>
      </c>
      <c r="R434" s="95" t="s">
        <v>5398</v>
      </c>
      <c r="S434" s="95" t="s">
        <v>338</v>
      </c>
      <c r="U434" s="95" t="s">
        <v>71</v>
      </c>
      <c r="V434" s="95" t="s">
        <v>71</v>
      </c>
      <c r="W434" s="95" t="s">
        <v>72</v>
      </c>
      <c r="X434" s="95" t="s">
        <v>71</v>
      </c>
      <c r="Y434" s="95" t="s">
        <v>72</v>
      </c>
      <c r="Z434" s="95" t="s">
        <v>71</v>
      </c>
      <c r="AA434" s="95" t="s">
        <v>72</v>
      </c>
      <c r="AB434" s="95" t="s">
        <v>72</v>
      </c>
      <c r="AC434" s="95" t="s">
        <v>72</v>
      </c>
      <c r="AD434" s="95" t="s">
        <v>72</v>
      </c>
      <c r="AE434" s="95" t="s">
        <v>71</v>
      </c>
      <c r="AF434" s="95" t="s">
        <v>72</v>
      </c>
      <c r="AG434" s="95" t="s">
        <v>71</v>
      </c>
      <c r="AH434" s="95" t="s">
        <v>71</v>
      </c>
      <c r="AI434" s="95" t="s">
        <v>71</v>
      </c>
      <c r="AK434" s="95" t="s">
        <v>71</v>
      </c>
    </row>
    <row r="435" spans="1:37" x14ac:dyDescent="0.2">
      <c r="A435" s="95" t="s">
        <v>65</v>
      </c>
      <c r="I435" s="95">
        <v>1.2</v>
      </c>
      <c r="K435" s="95">
        <v>0.69</v>
      </c>
      <c r="R435" s="95" t="s">
        <v>5398</v>
      </c>
      <c r="S435" s="95" t="s">
        <v>338</v>
      </c>
      <c r="U435" s="95" t="s">
        <v>71</v>
      </c>
      <c r="V435" s="95" t="s">
        <v>71</v>
      </c>
      <c r="W435" s="95" t="s">
        <v>72</v>
      </c>
      <c r="X435" s="95" t="s">
        <v>71</v>
      </c>
      <c r="Y435" s="95" t="s">
        <v>72</v>
      </c>
      <c r="Z435" s="95" t="s">
        <v>71</v>
      </c>
      <c r="AA435" s="95" t="s">
        <v>72</v>
      </c>
      <c r="AB435" s="95" t="s">
        <v>72</v>
      </c>
      <c r="AC435" s="95" t="s">
        <v>72</v>
      </c>
      <c r="AD435" s="95" t="s">
        <v>72</v>
      </c>
      <c r="AE435" s="95" t="s">
        <v>71</v>
      </c>
      <c r="AF435" s="95" t="s">
        <v>72</v>
      </c>
      <c r="AG435" s="95" t="s">
        <v>71</v>
      </c>
      <c r="AH435" s="95" t="s">
        <v>71</v>
      </c>
      <c r="AI435" s="95" t="s">
        <v>71</v>
      </c>
      <c r="AK435" s="95" t="s">
        <v>71</v>
      </c>
    </row>
    <row r="436" spans="1:37" x14ac:dyDescent="0.2">
      <c r="A436" s="95" t="s">
        <v>65</v>
      </c>
      <c r="I436" s="95">
        <v>1.21</v>
      </c>
      <c r="K436" s="95">
        <v>0.7</v>
      </c>
      <c r="R436" s="95" t="s">
        <v>5398</v>
      </c>
      <c r="S436" s="95" t="s">
        <v>338</v>
      </c>
      <c r="U436" s="95" t="s">
        <v>71</v>
      </c>
      <c r="V436" s="95" t="s">
        <v>71</v>
      </c>
      <c r="W436" s="95" t="s">
        <v>72</v>
      </c>
      <c r="X436" s="95" t="s">
        <v>71</v>
      </c>
      <c r="Y436" s="95" t="s">
        <v>72</v>
      </c>
      <c r="Z436" s="95" t="s">
        <v>71</v>
      </c>
      <c r="AA436" s="95" t="s">
        <v>72</v>
      </c>
      <c r="AB436" s="95" t="s">
        <v>72</v>
      </c>
      <c r="AC436" s="95" t="s">
        <v>72</v>
      </c>
      <c r="AD436" s="95" t="s">
        <v>72</v>
      </c>
      <c r="AE436" s="95" t="s">
        <v>71</v>
      </c>
      <c r="AF436" s="95" t="s">
        <v>72</v>
      </c>
      <c r="AG436" s="95" t="s">
        <v>71</v>
      </c>
      <c r="AH436" s="95" t="s">
        <v>71</v>
      </c>
      <c r="AI436" s="95" t="s">
        <v>71</v>
      </c>
      <c r="AK436" s="95" t="s">
        <v>71</v>
      </c>
    </row>
    <row r="437" spans="1:37" x14ac:dyDescent="0.2">
      <c r="A437" s="95" t="s">
        <v>65</v>
      </c>
      <c r="I437" s="95">
        <v>1.19</v>
      </c>
      <c r="K437" s="95">
        <v>0.46</v>
      </c>
      <c r="R437" s="95" t="s">
        <v>5398</v>
      </c>
      <c r="S437" s="95" t="s">
        <v>338</v>
      </c>
      <c r="U437" s="95" t="s">
        <v>71</v>
      </c>
      <c r="V437" s="95" t="s">
        <v>71</v>
      </c>
      <c r="W437" s="95" t="s">
        <v>72</v>
      </c>
      <c r="X437" s="95" t="s">
        <v>71</v>
      </c>
      <c r="Y437" s="95" t="s">
        <v>72</v>
      </c>
      <c r="Z437" s="95" t="s">
        <v>71</v>
      </c>
      <c r="AA437" s="95" t="s">
        <v>72</v>
      </c>
      <c r="AB437" s="95" t="s">
        <v>72</v>
      </c>
      <c r="AC437" s="95" t="s">
        <v>72</v>
      </c>
      <c r="AD437" s="95" t="s">
        <v>72</v>
      </c>
      <c r="AE437" s="95" t="s">
        <v>71</v>
      </c>
      <c r="AF437" s="95" t="s">
        <v>72</v>
      </c>
      <c r="AG437" s="95" t="s">
        <v>71</v>
      </c>
      <c r="AH437" s="95" t="s">
        <v>71</v>
      </c>
      <c r="AI437" s="95" t="s">
        <v>71</v>
      </c>
      <c r="AK437" s="95" t="s">
        <v>71</v>
      </c>
    </row>
    <row r="438" spans="1:37" x14ac:dyDescent="0.2">
      <c r="A438" s="95" t="s">
        <v>65</v>
      </c>
      <c r="I438" s="95">
        <v>1.25</v>
      </c>
      <c r="K438" s="95">
        <v>0.86</v>
      </c>
      <c r="R438" s="95" t="s">
        <v>5398</v>
      </c>
      <c r="S438" s="95" t="s">
        <v>338</v>
      </c>
      <c r="U438" s="95" t="s">
        <v>71</v>
      </c>
      <c r="V438" s="95" t="s">
        <v>71</v>
      </c>
      <c r="W438" s="95" t="s">
        <v>72</v>
      </c>
      <c r="X438" s="95" t="s">
        <v>71</v>
      </c>
      <c r="Y438" s="95" t="s">
        <v>72</v>
      </c>
      <c r="Z438" s="95" t="s">
        <v>71</v>
      </c>
      <c r="AA438" s="95" t="s">
        <v>72</v>
      </c>
      <c r="AB438" s="95" t="s">
        <v>72</v>
      </c>
      <c r="AC438" s="95" t="s">
        <v>72</v>
      </c>
      <c r="AD438" s="95" t="s">
        <v>72</v>
      </c>
      <c r="AE438" s="95" t="s">
        <v>71</v>
      </c>
      <c r="AF438" s="95" t="s">
        <v>72</v>
      </c>
      <c r="AG438" s="95" t="s">
        <v>71</v>
      </c>
      <c r="AH438" s="95" t="s">
        <v>71</v>
      </c>
      <c r="AI438" s="95" t="s">
        <v>71</v>
      </c>
      <c r="AK438" s="95" t="s">
        <v>71</v>
      </c>
    </row>
    <row r="439" spans="1:37" x14ac:dyDescent="0.2">
      <c r="A439" s="95" t="s">
        <v>65</v>
      </c>
      <c r="I439" s="95">
        <v>1.24</v>
      </c>
      <c r="K439" s="95">
        <v>0.82</v>
      </c>
      <c r="R439" s="95" t="s">
        <v>5398</v>
      </c>
      <c r="S439" s="95" t="s">
        <v>338</v>
      </c>
      <c r="U439" s="95" t="s">
        <v>71</v>
      </c>
      <c r="V439" s="95" t="s">
        <v>71</v>
      </c>
      <c r="W439" s="95" t="s">
        <v>72</v>
      </c>
      <c r="X439" s="95" t="s">
        <v>71</v>
      </c>
      <c r="Y439" s="95" t="s">
        <v>72</v>
      </c>
      <c r="Z439" s="95" t="s">
        <v>71</v>
      </c>
      <c r="AA439" s="95" t="s">
        <v>72</v>
      </c>
      <c r="AB439" s="95" t="s">
        <v>72</v>
      </c>
      <c r="AC439" s="95" t="s">
        <v>72</v>
      </c>
      <c r="AD439" s="95" t="s">
        <v>72</v>
      </c>
      <c r="AE439" s="95" t="s">
        <v>71</v>
      </c>
      <c r="AF439" s="95" t="s">
        <v>72</v>
      </c>
      <c r="AG439" s="95" t="s">
        <v>71</v>
      </c>
      <c r="AH439" s="95" t="s">
        <v>71</v>
      </c>
      <c r="AI439" s="95" t="s">
        <v>71</v>
      </c>
      <c r="AK439" s="95" t="s">
        <v>71</v>
      </c>
    </row>
    <row r="440" spans="1:37" x14ac:dyDescent="0.2">
      <c r="A440" s="95" t="s">
        <v>65</v>
      </c>
      <c r="I440" s="95">
        <v>1.8</v>
      </c>
      <c r="K440" s="95">
        <v>2.66</v>
      </c>
      <c r="R440" s="95" t="s">
        <v>5397</v>
      </c>
      <c r="S440" s="95" t="s">
        <v>338</v>
      </c>
      <c r="U440" s="95" t="s">
        <v>71</v>
      </c>
      <c r="V440" s="95" t="s">
        <v>71</v>
      </c>
      <c r="W440" s="95" t="s">
        <v>72</v>
      </c>
      <c r="X440" s="95" t="s">
        <v>71</v>
      </c>
      <c r="Y440" s="95" t="s">
        <v>72</v>
      </c>
      <c r="Z440" s="95" t="s">
        <v>71</v>
      </c>
      <c r="AA440" s="95" t="s">
        <v>72</v>
      </c>
      <c r="AB440" s="95" t="s">
        <v>72</v>
      </c>
      <c r="AC440" s="95" t="s">
        <v>72</v>
      </c>
      <c r="AD440" s="95" t="s">
        <v>72</v>
      </c>
      <c r="AE440" s="95" t="s">
        <v>71</v>
      </c>
      <c r="AF440" s="95" t="s">
        <v>72</v>
      </c>
      <c r="AG440" s="95" t="s">
        <v>71</v>
      </c>
      <c r="AH440" s="95" t="s">
        <v>71</v>
      </c>
      <c r="AI440" s="95" t="s">
        <v>71</v>
      </c>
      <c r="AK440" s="95" t="s">
        <v>71</v>
      </c>
    </row>
    <row r="441" spans="1:37" x14ac:dyDescent="0.2">
      <c r="A441" s="95" t="s">
        <v>65</v>
      </c>
      <c r="I441" s="95">
        <v>1.68</v>
      </c>
      <c r="K441" s="95">
        <v>1.8</v>
      </c>
      <c r="R441" s="95" t="s">
        <v>5397</v>
      </c>
      <c r="S441" s="95" t="s">
        <v>338</v>
      </c>
      <c r="U441" s="95" t="s">
        <v>71</v>
      </c>
      <c r="V441" s="95" t="s">
        <v>71</v>
      </c>
      <c r="W441" s="95" t="s">
        <v>72</v>
      </c>
      <c r="X441" s="95" t="s">
        <v>71</v>
      </c>
      <c r="Y441" s="95" t="s">
        <v>72</v>
      </c>
      <c r="Z441" s="95" t="s">
        <v>71</v>
      </c>
      <c r="AA441" s="95" t="s">
        <v>72</v>
      </c>
      <c r="AB441" s="95" t="s">
        <v>72</v>
      </c>
      <c r="AC441" s="95" t="s">
        <v>72</v>
      </c>
      <c r="AD441" s="95" t="s">
        <v>72</v>
      </c>
      <c r="AE441" s="95" t="s">
        <v>71</v>
      </c>
      <c r="AF441" s="95" t="s">
        <v>72</v>
      </c>
      <c r="AG441" s="95" t="s">
        <v>71</v>
      </c>
      <c r="AH441" s="95" t="s">
        <v>71</v>
      </c>
      <c r="AI441" s="95" t="s">
        <v>71</v>
      </c>
      <c r="AK441" s="95" t="s">
        <v>71</v>
      </c>
    </row>
    <row r="442" spans="1:37" x14ac:dyDescent="0.2">
      <c r="A442" s="95" t="s">
        <v>65</v>
      </c>
      <c r="I442" s="95">
        <v>1.73</v>
      </c>
      <c r="K442" s="95">
        <v>2.17</v>
      </c>
      <c r="R442" s="95" t="s">
        <v>5397</v>
      </c>
      <c r="S442" s="95" t="s">
        <v>338</v>
      </c>
      <c r="U442" s="95" t="s">
        <v>71</v>
      </c>
      <c r="V442" s="95" t="s">
        <v>71</v>
      </c>
      <c r="W442" s="95" t="s">
        <v>72</v>
      </c>
      <c r="X442" s="95" t="s">
        <v>71</v>
      </c>
      <c r="Y442" s="95" t="s">
        <v>72</v>
      </c>
      <c r="Z442" s="95" t="s">
        <v>71</v>
      </c>
      <c r="AA442" s="95" t="s">
        <v>72</v>
      </c>
      <c r="AB442" s="95" t="s">
        <v>72</v>
      </c>
      <c r="AC442" s="95" t="s">
        <v>72</v>
      </c>
      <c r="AD442" s="95" t="s">
        <v>72</v>
      </c>
      <c r="AE442" s="95" t="s">
        <v>71</v>
      </c>
      <c r="AF442" s="95" t="s">
        <v>72</v>
      </c>
      <c r="AG442" s="95" t="s">
        <v>71</v>
      </c>
      <c r="AH442" s="95" t="s">
        <v>71</v>
      </c>
      <c r="AI442" s="95" t="s">
        <v>71</v>
      </c>
      <c r="AK442" s="95" t="s">
        <v>71</v>
      </c>
    </row>
    <row r="443" spans="1:37" x14ac:dyDescent="0.2">
      <c r="A443" s="95" t="s">
        <v>65</v>
      </c>
      <c r="I443" s="95">
        <v>1.69</v>
      </c>
      <c r="K443" s="95">
        <v>1.89</v>
      </c>
      <c r="R443" s="95" t="s">
        <v>5397</v>
      </c>
      <c r="S443" s="95" t="s">
        <v>338</v>
      </c>
      <c r="U443" s="95" t="s">
        <v>71</v>
      </c>
      <c r="V443" s="95" t="s">
        <v>71</v>
      </c>
      <c r="W443" s="95" t="s">
        <v>72</v>
      </c>
      <c r="X443" s="95" t="s">
        <v>71</v>
      </c>
      <c r="Y443" s="95" t="s">
        <v>72</v>
      </c>
      <c r="Z443" s="95" t="s">
        <v>71</v>
      </c>
      <c r="AA443" s="95" t="s">
        <v>72</v>
      </c>
      <c r="AB443" s="95" t="s">
        <v>72</v>
      </c>
      <c r="AC443" s="95" t="s">
        <v>72</v>
      </c>
      <c r="AD443" s="95" t="s">
        <v>72</v>
      </c>
      <c r="AE443" s="95" t="s">
        <v>71</v>
      </c>
      <c r="AF443" s="95" t="s">
        <v>72</v>
      </c>
      <c r="AG443" s="95" t="s">
        <v>71</v>
      </c>
      <c r="AH443" s="95" t="s">
        <v>71</v>
      </c>
      <c r="AI443" s="95" t="s">
        <v>71</v>
      </c>
      <c r="AK443" s="95" t="s">
        <v>71</v>
      </c>
    </row>
    <row r="444" spans="1:37" x14ac:dyDescent="0.2">
      <c r="A444" s="95" t="s">
        <v>65</v>
      </c>
      <c r="I444" s="95">
        <v>1.66</v>
      </c>
      <c r="K444" s="95">
        <v>1.66</v>
      </c>
      <c r="R444" s="95" t="s">
        <v>5397</v>
      </c>
      <c r="S444" s="95" t="s">
        <v>338</v>
      </c>
      <c r="U444" s="95" t="s">
        <v>71</v>
      </c>
      <c r="V444" s="95" t="s">
        <v>71</v>
      </c>
      <c r="W444" s="95" t="s">
        <v>72</v>
      </c>
      <c r="X444" s="95" t="s">
        <v>71</v>
      </c>
      <c r="Y444" s="95" t="s">
        <v>72</v>
      </c>
      <c r="Z444" s="95" t="s">
        <v>71</v>
      </c>
      <c r="AA444" s="95" t="s">
        <v>72</v>
      </c>
      <c r="AB444" s="95" t="s">
        <v>72</v>
      </c>
      <c r="AC444" s="95" t="s">
        <v>72</v>
      </c>
      <c r="AD444" s="95" t="s">
        <v>72</v>
      </c>
      <c r="AE444" s="95" t="s">
        <v>71</v>
      </c>
      <c r="AF444" s="95" t="s">
        <v>72</v>
      </c>
      <c r="AG444" s="95" t="s">
        <v>71</v>
      </c>
      <c r="AH444" s="95" t="s">
        <v>71</v>
      </c>
      <c r="AI444" s="95" t="s">
        <v>71</v>
      </c>
      <c r="AK444" s="95" t="s">
        <v>71</v>
      </c>
    </row>
    <row r="445" spans="1:37" x14ac:dyDescent="0.2">
      <c r="A445" s="95" t="s">
        <v>65</v>
      </c>
      <c r="I445" s="95">
        <v>1.66</v>
      </c>
      <c r="K445" s="95">
        <v>1.66</v>
      </c>
      <c r="R445" s="95" t="s">
        <v>5397</v>
      </c>
      <c r="S445" s="95" t="s">
        <v>338</v>
      </c>
      <c r="U445" s="95" t="s">
        <v>71</v>
      </c>
      <c r="V445" s="95" t="s">
        <v>71</v>
      </c>
      <c r="W445" s="95" t="s">
        <v>72</v>
      </c>
      <c r="X445" s="95" t="s">
        <v>71</v>
      </c>
      <c r="Y445" s="95" t="s">
        <v>72</v>
      </c>
      <c r="Z445" s="95" t="s">
        <v>71</v>
      </c>
      <c r="AA445" s="95" t="s">
        <v>72</v>
      </c>
      <c r="AB445" s="95" t="s">
        <v>72</v>
      </c>
      <c r="AC445" s="95" t="s">
        <v>72</v>
      </c>
      <c r="AD445" s="95" t="s">
        <v>72</v>
      </c>
      <c r="AE445" s="95" t="s">
        <v>71</v>
      </c>
      <c r="AF445" s="95" t="s">
        <v>72</v>
      </c>
      <c r="AG445" s="95" t="s">
        <v>71</v>
      </c>
      <c r="AH445" s="95" t="s">
        <v>71</v>
      </c>
      <c r="AI445" s="95" t="s">
        <v>71</v>
      </c>
      <c r="AK445" s="95" t="s">
        <v>71</v>
      </c>
    </row>
    <row r="446" spans="1:37" x14ac:dyDescent="0.2">
      <c r="A446" s="95" t="s">
        <v>65</v>
      </c>
      <c r="I446" s="95">
        <v>1.67</v>
      </c>
      <c r="K446" s="95">
        <v>1.69</v>
      </c>
      <c r="R446" s="95" t="s">
        <v>5397</v>
      </c>
      <c r="S446" s="95" t="s">
        <v>338</v>
      </c>
      <c r="U446" s="95" t="s">
        <v>71</v>
      </c>
      <c r="V446" s="95" t="s">
        <v>71</v>
      </c>
      <c r="W446" s="95" t="s">
        <v>72</v>
      </c>
      <c r="X446" s="95" t="s">
        <v>71</v>
      </c>
      <c r="Y446" s="95" t="s">
        <v>72</v>
      </c>
      <c r="Z446" s="95" t="s">
        <v>71</v>
      </c>
      <c r="AA446" s="95" t="s">
        <v>72</v>
      </c>
      <c r="AB446" s="95" t="s">
        <v>72</v>
      </c>
      <c r="AC446" s="95" t="s">
        <v>72</v>
      </c>
      <c r="AD446" s="95" t="s">
        <v>72</v>
      </c>
      <c r="AE446" s="95" t="s">
        <v>71</v>
      </c>
      <c r="AF446" s="95" t="s">
        <v>72</v>
      </c>
      <c r="AG446" s="95" t="s">
        <v>71</v>
      </c>
      <c r="AH446" s="95" t="s">
        <v>71</v>
      </c>
      <c r="AI446" s="95" t="s">
        <v>71</v>
      </c>
      <c r="AK446" s="95" t="s">
        <v>71</v>
      </c>
    </row>
    <row r="447" spans="1:37" x14ac:dyDescent="0.2">
      <c r="A447" s="95" t="s">
        <v>65</v>
      </c>
      <c r="I447" s="95">
        <v>1.65</v>
      </c>
      <c r="K447" s="95">
        <v>1.55</v>
      </c>
      <c r="R447" s="95" t="s">
        <v>5397</v>
      </c>
      <c r="S447" s="95" t="s">
        <v>338</v>
      </c>
      <c r="U447" s="95" t="s">
        <v>71</v>
      </c>
      <c r="V447" s="95" t="s">
        <v>71</v>
      </c>
      <c r="W447" s="95" t="s">
        <v>72</v>
      </c>
      <c r="X447" s="95" t="s">
        <v>71</v>
      </c>
      <c r="Y447" s="95" t="s">
        <v>72</v>
      </c>
      <c r="Z447" s="95" t="s">
        <v>71</v>
      </c>
      <c r="AA447" s="95" t="s">
        <v>72</v>
      </c>
      <c r="AB447" s="95" t="s">
        <v>72</v>
      </c>
      <c r="AC447" s="95" t="s">
        <v>72</v>
      </c>
      <c r="AD447" s="95" t="s">
        <v>72</v>
      </c>
      <c r="AE447" s="95" t="s">
        <v>71</v>
      </c>
      <c r="AF447" s="95" t="s">
        <v>72</v>
      </c>
      <c r="AG447" s="95" t="s">
        <v>71</v>
      </c>
      <c r="AH447" s="95" t="s">
        <v>71</v>
      </c>
      <c r="AI447" s="95" t="s">
        <v>71</v>
      </c>
      <c r="AK447" s="95" t="s">
        <v>71</v>
      </c>
    </row>
    <row r="448" spans="1:37" x14ac:dyDescent="0.2">
      <c r="A448" s="95" t="s">
        <v>65</v>
      </c>
      <c r="I448" s="95">
        <v>1.72</v>
      </c>
      <c r="K448" s="95">
        <v>2.08</v>
      </c>
      <c r="R448" s="95" t="s">
        <v>5397</v>
      </c>
      <c r="S448" s="95" t="s">
        <v>338</v>
      </c>
      <c r="U448" s="95" t="s">
        <v>71</v>
      </c>
      <c r="V448" s="95" t="s">
        <v>71</v>
      </c>
      <c r="W448" s="95" t="s">
        <v>72</v>
      </c>
      <c r="X448" s="95" t="s">
        <v>71</v>
      </c>
      <c r="Y448" s="95" t="s">
        <v>72</v>
      </c>
      <c r="Z448" s="95" t="s">
        <v>71</v>
      </c>
      <c r="AA448" s="95" t="s">
        <v>72</v>
      </c>
      <c r="AB448" s="95" t="s">
        <v>72</v>
      </c>
      <c r="AC448" s="95" t="s">
        <v>72</v>
      </c>
      <c r="AD448" s="95" t="s">
        <v>72</v>
      </c>
      <c r="AE448" s="95" t="s">
        <v>71</v>
      </c>
      <c r="AF448" s="95" t="s">
        <v>72</v>
      </c>
      <c r="AG448" s="95" t="s">
        <v>71</v>
      </c>
      <c r="AH448" s="95" t="s">
        <v>71</v>
      </c>
      <c r="AI448" s="95" t="s">
        <v>71</v>
      </c>
      <c r="AK448" s="95" t="s">
        <v>71</v>
      </c>
    </row>
    <row r="449" spans="1:37" x14ac:dyDescent="0.2">
      <c r="A449" s="95" t="s">
        <v>65</v>
      </c>
      <c r="I449" s="95">
        <v>1.71</v>
      </c>
      <c r="K449" s="95">
        <v>1.98</v>
      </c>
      <c r="R449" s="95" t="s">
        <v>5397</v>
      </c>
      <c r="S449" s="95" t="s">
        <v>338</v>
      </c>
      <c r="U449" s="95" t="s">
        <v>71</v>
      </c>
      <c r="V449" s="95" t="s">
        <v>71</v>
      </c>
      <c r="W449" s="95" t="s">
        <v>72</v>
      </c>
      <c r="X449" s="95" t="s">
        <v>71</v>
      </c>
      <c r="Y449" s="95" t="s">
        <v>72</v>
      </c>
      <c r="Z449" s="95" t="s">
        <v>71</v>
      </c>
      <c r="AA449" s="95" t="s">
        <v>72</v>
      </c>
      <c r="AB449" s="95" t="s">
        <v>72</v>
      </c>
      <c r="AC449" s="95" t="s">
        <v>72</v>
      </c>
      <c r="AD449" s="95" t="s">
        <v>72</v>
      </c>
      <c r="AE449" s="95" t="s">
        <v>71</v>
      </c>
      <c r="AF449" s="95" t="s">
        <v>72</v>
      </c>
      <c r="AG449" s="95" t="s">
        <v>71</v>
      </c>
      <c r="AH449" s="95" t="s">
        <v>71</v>
      </c>
      <c r="AI449" s="95" t="s">
        <v>71</v>
      </c>
      <c r="AK449" s="95" t="s">
        <v>71</v>
      </c>
    </row>
    <row r="450" spans="1:37" x14ac:dyDescent="0.2">
      <c r="A450" s="95" t="s">
        <v>73</v>
      </c>
      <c r="B450" s="95" t="s">
        <v>66</v>
      </c>
      <c r="M450" s="95">
        <v>6.0000000000000001E-3</v>
      </c>
      <c r="N450" s="95">
        <v>0.17</v>
      </c>
      <c r="S450" s="95" t="s">
        <v>70</v>
      </c>
      <c r="U450" s="95" t="s">
        <v>71</v>
      </c>
      <c r="V450" s="95" t="s">
        <v>71</v>
      </c>
      <c r="W450" s="95" t="s">
        <v>72</v>
      </c>
      <c r="X450" s="95" t="s">
        <v>71</v>
      </c>
      <c r="Y450" s="95" t="s">
        <v>71</v>
      </c>
      <c r="Z450" s="95" t="s">
        <v>71</v>
      </c>
      <c r="AA450" s="95" t="s">
        <v>71</v>
      </c>
      <c r="AB450" s="95" t="s">
        <v>71</v>
      </c>
      <c r="AC450" s="95" t="s">
        <v>71</v>
      </c>
      <c r="AD450" s="95" t="s">
        <v>72</v>
      </c>
      <c r="AE450" s="95" t="s">
        <v>71</v>
      </c>
      <c r="AF450" s="95" t="s">
        <v>71</v>
      </c>
      <c r="AG450" s="95" t="s">
        <v>72</v>
      </c>
      <c r="AH450" s="95" t="s">
        <v>71</v>
      </c>
      <c r="AI450" s="95" t="s">
        <v>71</v>
      </c>
      <c r="AK450" s="95" t="s">
        <v>72</v>
      </c>
    </row>
    <row r="451" spans="1:37" x14ac:dyDescent="0.2">
      <c r="A451" s="95" t="s">
        <v>97</v>
      </c>
      <c r="M451" s="95">
        <v>1.6E-2</v>
      </c>
      <c r="N451" s="95">
        <v>0.48</v>
      </c>
      <c r="S451" s="95" t="s">
        <v>70</v>
      </c>
      <c r="U451" s="95" t="s">
        <v>71</v>
      </c>
      <c r="V451" s="95" t="s">
        <v>71</v>
      </c>
      <c r="W451" s="95" t="s">
        <v>71</v>
      </c>
      <c r="X451" s="95" t="s">
        <v>72</v>
      </c>
      <c r="Y451" s="95" t="s">
        <v>71</v>
      </c>
      <c r="Z451" s="95" t="s">
        <v>71</v>
      </c>
      <c r="AA451" s="95" t="s">
        <v>71</v>
      </c>
      <c r="AB451" s="95" t="s">
        <v>71</v>
      </c>
      <c r="AC451" s="95" t="s">
        <v>71</v>
      </c>
      <c r="AD451" s="95" t="s">
        <v>71</v>
      </c>
      <c r="AE451" s="95" t="s">
        <v>71</v>
      </c>
      <c r="AF451" s="95" t="s">
        <v>71</v>
      </c>
      <c r="AG451" s="95" t="s">
        <v>72</v>
      </c>
      <c r="AH451" s="95" t="s">
        <v>72</v>
      </c>
      <c r="AI451" s="95" t="s">
        <v>72</v>
      </c>
      <c r="AK451" s="95" t="s">
        <v>71</v>
      </c>
    </row>
    <row r="452" spans="1:37" x14ac:dyDescent="0.2">
      <c r="A452" s="95" t="s">
        <v>76</v>
      </c>
      <c r="B452" s="95" t="s">
        <v>66</v>
      </c>
      <c r="M452" s="95">
        <v>3.0000000000000001E-3</v>
      </c>
      <c r="N452" s="95">
        <v>0.08</v>
      </c>
      <c r="S452" s="95" t="s">
        <v>70</v>
      </c>
      <c r="U452" s="95" t="s">
        <v>71</v>
      </c>
      <c r="V452" s="95" t="s">
        <v>71</v>
      </c>
      <c r="W452" s="95" t="s">
        <v>71</v>
      </c>
      <c r="X452" s="95" t="s">
        <v>72</v>
      </c>
      <c r="Y452" s="95" t="s">
        <v>72</v>
      </c>
      <c r="Z452" s="95" t="s">
        <v>71</v>
      </c>
      <c r="AA452" s="95" t="s">
        <v>71</v>
      </c>
      <c r="AB452" s="95" t="s">
        <v>72</v>
      </c>
      <c r="AC452" s="95" t="s">
        <v>71</v>
      </c>
      <c r="AD452" s="95" t="s">
        <v>71</v>
      </c>
      <c r="AE452" s="95" t="s">
        <v>72</v>
      </c>
      <c r="AF452" s="95" t="s">
        <v>72</v>
      </c>
      <c r="AG452" s="95" t="s">
        <v>72</v>
      </c>
      <c r="AH452" s="95" t="s">
        <v>72</v>
      </c>
      <c r="AI452" s="95" t="s">
        <v>72</v>
      </c>
      <c r="AK452" s="95" t="s">
        <v>71</v>
      </c>
    </row>
    <row r="453" spans="1:37" x14ac:dyDescent="0.2">
      <c r="A453" s="95" t="s">
        <v>65</v>
      </c>
      <c r="M453" s="95">
        <v>2E-3</v>
      </c>
      <c r="N453" s="95">
        <v>7.0000000000000007E-2</v>
      </c>
      <c r="S453" s="95" t="s">
        <v>70</v>
      </c>
      <c r="U453" s="95" t="s">
        <v>71</v>
      </c>
      <c r="V453" s="95" t="s">
        <v>71</v>
      </c>
      <c r="W453" s="95" t="s">
        <v>72</v>
      </c>
      <c r="X453" s="95" t="s">
        <v>71</v>
      </c>
      <c r="Y453" s="95" t="s">
        <v>72</v>
      </c>
      <c r="Z453" s="95" t="s">
        <v>71</v>
      </c>
      <c r="AA453" s="95" t="s">
        <v>72</v>
      </c>
      <c r="AB453" s="95" t="s">
        <v>72</v>
      </c>
      <c r="AC453" s="95" t="s">
        <v>72</v>
      </c>
      <c r="AD453" s="95" t="s">
        <v>72</v>
      </c>
      <c r="AE453" s="95" t="s">
        <v>71</v>
      </c>
      <c r="AF453" s="95" t="s">
        <v>72</v>
      </c>
      <c r="AG453" s="95" t="s">
        <v>71</v>
      </c>
      <c r="AH453" s="95" t="s">
        <v>71</v>
      </c>
      <c r="AI453" s="95" t="s">
        <v>71</v>
      </c>
      <c r="AK453" s="95" t="s">
        <v>71</v>
      </c>
    </row>
    <row r="454" spans="1:37" x14ac:dyDescent="0.2">
      <c r="A454" s="95" t="s">
        <v>65</v>
      </c>
      <c r="B454" s="95" t="s">
        <v>66</v>
      </c>
      <c r="C454" s="95" t="s">
        <v>86</v>
      </c>
      <c r="F454" s="95">
        <v>2</v>
      </c>
      <c r="G454" s="95">
        <v>10</v>
      </c>
      <c r="I454" s="95">
        <v>1.63</v>
      </c>
      <c r="S454" s="95" t="s">
        <v>3435</v>
      </c>
      <c r="T454" s="4" t="s">
        <v>3436</v>
      </c>
      <c r="U454" s="95" t="s">
        <v>71</v>
      </c>
      <c r="V454" s="95" t="s">
        <v>71</v>
      </c>
      <c r="W454" s="95" t="s">
        <v>72</v>
      </c>
      <c r="X454" s="95" t="s">
        <v>71</v>
      </c>
      <c r="Y454" s="95" t="s">
        <v>72</v>
      </c>
      <c r="Z454" s="95" t="s">
        <v>71</v>
      </c>
      <c r="AA454" s="95" t="s">
        <v>72</v>
      </c>
      <c r="AB454" s="95" t="s">
        <v>72</v>
      </c>
      <c r="AC454" s="95" t="s">
        <v>72</v>
      </c>
      <c r="AD454" s="95" t="s">
        <v>72</v>
      </c>
      <c r="AE454" s="95" t="s">
        <v>71</v>
      </c>
      <c r="AF454" s="95" t="s">
        <v>72</v>
      </c>
      <c r="AG454" s="95" t="s">
        <v>71</v>
      </c>
      <c r="AH454" s="95" t="s">
        <v>71</v>
      </c>
      <c r="AI454" s="95" t="s">
        <v>71</v>
      </c>
      <c r="AK454" s="95" t="s">
        <v>71</v>
      </c>
    </row>
    <row r="455" spans="1:37" x14ac:dyDescent="0.2">
      <c r="A455" s="95" t="s">
        <v>65</v>
      </c>
      <c r="B455" s="95" t="s">
        <v>66</v>
      </c>
      <c r="C455" s="95" t="s">
        <v>86</v>
      </c>
      <c r="F455" s="95">
        <v>2</v>
      </c>
      <c r="G455" s="95">
        <v>10</v>
      </c>
      <c r="I455" s="95">
        <v>1.56</v>
      </c>
      <c r="S455" s="95" t="s">
        <v>3435</v>
      </c>
      <c r="T455" s="4" t="s">
        <v>3437</v>
      </c>
      <c r="U455" s="95" t="s">
        <v>71</v>
      </c>
      <c r="V455" s="95" t="s">
        <v>71</v>
      </c>
      <c r="W455" s="95" t="s">
        <v>72</v>
      </c>
      <c r="X455" s="95" t="s">
        <v>71</v>
      </c>
      <c r="Y455" s="95" t="s">
        <v>72</v>
      </c>
      <c r="Z455" s="95" t="s">
        <v>71</v>
      </c>
      <c r="AA455" s="95" t="s">
        <v>72</v>
      </c>
      <c r="AB455" s="95" t="s">
        <v>72</v>
      </c>
      <c r="AC455" s="95" t="s">
        <v>72</v>
      </c>
      <c r="AD455" s="95" t="s">
        <v>72</v>
      </c>
      <c r="AE455" s="95" t="s">
        <v>71</v>
      </c>
      <c r="AF455" s="95" t="s">
        <v>72</v>
      </c>
      <c r="AG455" s="95" t="s">
        <v>71</v>
      </c>
      <c r="AH455" s="95" t="s">
        <v>71</v>
      </c>
      <c r="AI455" s="95" t="s">
        <v>71</v>
      </c>
      <c r="AK455" s="95" t="s">
        <v>71</v>
      </c>
    </row>
    <row r="456" spans="1:37" x14ac:dyDescent="0.2">
      <c r="A456" s="95" t="s">
        <v>65</v>
      </c>
      <c r="B456" s="95" t="s">
        <v>66</v>
      </c>
      <c r="C456" s="95" t="s">
        <v>86</v>
      </c>
      <c r="F456" s="95">
        <v>3</v>
      </c>
      <c r="G456" s="95">
        <v>15</v>
      </c>
      <c r="I456" s="95">
        <v>1.95</v>
      </c>
      <c r="S456" s="95" t="s">
        <v>3435</v>
      </c>
      <c r="T456" s="4" t="s">
        <v>3438</v>
      </c>
      <c r="U456" s="95" t="s">
        <v>71</v>
      </c>
      <c r="V456" s="95" t="s">
        <v>71</v>
      </c>
      <c r="W456" s="95" t="s">
        <v>72</v>
      </c>
      <c r="X456" s="95" t="s">
        <v>71</v>
      </c>
      <c r="Y456" s="95" t="s">
        <v>72</v>
      </c>
      <c r="Z456" s="95" t="s">
        <v>71</v>
      </c>
      <c r="AA456" s="95" t="s">
        <v>72</v>
      </c>
      <c r="AB456" s="95" t="s">
        <v>72</v>
      </c>
      <c r="AC456" s="95" t="s">
        <v>72</v>
      </c>
      <c r="AD456" s="95" t="s">
        <v>72</v>
      </c>
      <c r="AE456" s="95" t="s">
        <v>71</v>
      </c>
      <c r="AF456" s="95" t="s">
        <v>72</v>
      </c>
      <c r="AG456" s="95" t="s">
        <v>71</v>
      </c>
      <c r="AH456" s="95" t="s">
        <v>71</v>
      </c>
      <c r="AI456" s="95" t="s">
        <v>71</v>
      </c>
      <c r="AK456" s="95" t="s">
        <v>71</v>
      </c>
    </row>
    <row r="457" spans="1:37" x14ac:dyDescent="0.2">
      <c r="A457" s="95" t="s">
        <v>65</v>
      </c>
      <c r="B457" s="95" t="s">
        <v>66</v>
      </c>
      <c r="C457" s="95" t="s">
        <v>86</v>
      </c>
      <c r="F457" s="95">
        <v>4</v>
      </c>
      <c r="G457" s="95">
        <v>20</v>
      </c>
      <c r="I457" s="95">
        <v>2.54</v>
      </c>
      <c r="S457" s="95" t="s">
        <v>3435</v>
      </c>
      <c r="T457" s="4" t="s">
        <v>3439</v>
      </c>
      <c r="U457" s="95" t="s">
        <v>71</v>
      </c>
      <c r="V457" s="95" t="s">
        <v>71</v>
      </c>
      <c r="W457" s="95" t="s">
        <v>72</v>
      </c>
      <c r="X457" s="95" t="s">
        <v>71</v>
      </c>
      <c r="Y457" s="95" t="s">
        <v>72</v>
      </c>
      <c r="Z457" s="95" t="s">
        <v>71</v>
      </c>
      <c r="AA457" s="95" t="s">
        <v>72</v>
      </c>
      <c r="AB457" s="95" t="s">
        <v>72</v>
      </c>
      <c r="AC457" s="95" t="s">
        <v>72</v>
      </c>
      <c r="AD457" s="95" t="s">
        <v>72</v>
      </c>
      <c r="AE457" s="95" t="s">
        <v>71</v>
      </c>
      <c r="AF457" s="95" t="s">
        <v>72</v>
      </c>
      <c r="AG457" s="95" t="s">
        <v>71</v>
      </c>
      <c r="AH457" s="95" t="s">
        <v>71</v>
      </c>
      <c r="AI457" s="95" t="s">
        <v>71</v>
      </c>
      <c r="AK457" s="95" t="s">
        <v>71</v>
      </c>
    </row>
    <row r="458" spans="1:37" x14ac:dyDescent="0.2">
      <c r="A458" s="95" t="s">
        <v>65</v>
      </c>
      <c r="B458" s="95" t="s">
        <v>66</v>
      </c>
      <c r="C458" s="95" t="s">
        <v>86</v>
      </c>
      <c r="F458" s="95">
        <v>2</v>
      </c>
      <c r="G458" s="95">
        <v>10</v>
      </c>
      <c r="I458" s="95">
        <v>2.14</v>
      </c>
      <c r="S458" s="95" t="s">
        <v>3435</v>
      </c>
      <c r="T458" s="4" t="s">
        <v>3437</v>
      </c>
      <c r="U458" s="95" t="s">
        <v>71</v>
      </c>
      <c r="V458" s="95" t="s">
        <v>71</v>
      </c>
      <c r="W458" s="95" t="s">
        <v>72</v>
      </c>
      <c r="X458" s="95" t="s">
        <v>71</v>
      </c>
      <c r="Y458" s="95" t="s">
        <v>72</v>
      </c>
      <c r="Z458" s="95" t="s">
        <v>71</v>
      </c>
      <c r="AA458" s="95" t="s">
        <v>72</v>
      </c>
      <c r="AB458" s="95" t="s">
        <v>72</v>
      </c>
      <c r="AC458" s="95" t="s">
        <v>72</v>
      </c>
      <c r="AD458" s="95" t="s">
        <v>72</v>
      </c>
      <c r="AE458" s="95" t="s">
        <v>71</v>
      </c>
      <c r="AF458" s="95" t="s">
        <v>72</v>
      </c>
      <c r="AG458" s="95" t="s">
        <v>71</v>
      </c>
      <c r="AH458" s="95" t="s">
        <v>71</v>
      </c>
      <c r="AI458" s="95" t="s">
        <v>71</v>
      </c>
      <c r="AK458" s="95" t="s">
        <v>71</v>
      </c>
    </row>
    <row r="459" spans="1:37" x14ac:dyDescent="0.2">
      <c r="A459" s="95" t="s">
        <v>65</v>
      </c>
      <c r="B459" s="95" t="s">
        <v>66</v>
      </c>
      <c r="C459" s="95" t="s">
        <v>86</v>
      </c>
      <c r="E459" s="95" t="s">
        <v>3440</v>
      </c>
      <c r="F459" s="95">
        <v>0.75</v>
      </c>
      <c r="G459" s="95">
        <v>4</v>
      </c>
      <c r="I459" s="95">
        <v>0.66</v>
      </c>
      <c r="S459" s="95" t="s">
        <v>3435</v>
      </c>
      <c r="T459" s="4" t="s">
        <v>3441</v>
      </c>
      <c r="U459" s="95" t="s">
        <v>71</v>
      </c>
      <c r="V459" s="95" t="s">
        <v>71</v>
      </c>
      <c r="W459" s="95" t="s">
        <v>72</v>
      </c>
      <c r="X459" s="95" t="s">
        <v>71</v>
      </c>
      <c r="Y459" s="95" t="s">
        <v>72</v>
      </c>
      <c r="Z459" s="95" t="s">
        <v>71</v>
      </c>
      <c r="AA459" s="95" t="s">
        <v>72</v>
      </c>
      <c r="AB459" s="95" t="s">
        <v>72</v>
      </c>
      <c r="AC459" s="95" t="s">
        <v>72</v>
      </c>
      <c r="AD459" s="95" t="s">
        <v>72</v>
      </c>
      <c r="AE459" s="95" t="s">
        <v>71</v>
      </c>
      <c r="AF459" s="95" t="s">
        <v>72</v>
      </c>
      <c r="AG459" s="95" t="s">
        <v>71</v>
      </c>
      <c r="AH459" s="95" t="s">
        <v>71</v>
      </c>
      <c r="AI459" s="95" t="s">
        <v>71</v>
      </c>
      <c r="AK459" s="95" t="s">
        <v>71</v>
      </c>
    </row>
    <row r="460" spans="1:37" x14ac:dyDescent="0.2">
      <c r="A460" s="95" t="s">
        <v>65</v>
      </c>
      <c r="B460" s="95" t="s">
        <v>66</v>
      </c>
      <c r="C460" s="95" t="s">
        <v>86</v>
      </c>
      <c r="F460" s="95">
        <v>4</v>
      </c>
      <c r="G460" s="95">
        <v>20</v>
      </c>
      <c r="I460" s="95">
        <v>3.14</v>
      </c>
      <c r="S460" s="95" t="s">
        <v>3435</v>
      </c>
      <c r="T460" s="51" t="s">
        <v>3520</v>
      </c>
      <c r="U460" s="95" t="s">
        <v>71</v>
      </c>
      <c r="V460" s="95" t="s">
        <v>71</v>
      </c>
      <c r="W460" s="95" t="s">
        <v>72</v>
      </c>
      <c r="X460" s="95" t="s">
        <v>71</v>
      </c>
      <c r="Y460" s="95" t="s">
        <v>72</v>
      </c>
      <c r="Z460" s="95" t="s">
        <v>71</v>
      </c>
      <c r="AA460" s="95" t="s">
        <v>72</v>
      </c>
      <c r="AB460" s="95" t="s">
        <v>72</v>
      </c>
      <c r="AC460" s="95" t="s">
        <v>72</v>
      </c>
      <c r="AD460" s="95" t="s">
        <v>72</v>
      </c>
      <c r="AE460" s="95" t="s">
        <v>71</v>
      </c>
      <c r="AF460" s="95" t="s">
        <v>72</v>
      </c>
      <c r="AG460" s="95" t="s">
        <v>71</v>
      </c>
      <c r="AH460" s="95" t="s">
        <v>71</v>
      </c>
      <c r="AI460" s="95" t="s">
        <v>71</v>
      </c>
      <c r="AK460" s="95" t="s">
        <v>71</v>
      </c>
    </row>
    <row r="461" spans="1:37" x14ac:dyDescent="0.2">
      <c r="A461" s="95" t="s">
        <v>65</v>
      </c>
      <c r="B461" s="95" t="s">
        <v>66</v>
      </c>
      <c r="C461" s="95" t="s">
        <v>86</v>
      </c>
      <c r="F461" s="249">
        <v>1.5</v>
      </c>
      <c r="G461" s="95">
        <v>7.5</v>
      </c>
      <c r="I461" s="95">
        <v>0.92</v>
      </c>
      <c r="S461" s="95" t="s">
        <v>3435</v>
      </c>
      <c r="T461" s="51" t="s">
        <v>3519</v>
      </c>
      <c r="U461" s="95" t="s">
        <v>71</v>
      </c>
      <c r="V461" s="95" t="s">
        <v>71</v>
      </c>
      <c r="W461" s="95" t="s">
        <v>72</v>
      </c>
      <c r="X461" s="95" t="s">
        <v>71</v>
      </c>
      <c r="Y461" s="95" t="s">
        <v>72</v>
      </c>
      <c r="Z461" s="95" t="s">
        <v>71</v>
      </c>
      <c r="AA461" s="95" t="s">
        <v>72</v>
      </c>
      <c r="AB461" s="95" t="s">
        <v>72</v>
      </c>
      <c r="AC461" s="95" t="s">
        <v>72</v>
      </c>
      <c r="AD461" s="95" t="s">
        <v>72</v>
      </c>
      <c r="AE461" s="95" t="s">
        <v>71</v>
      </c>
      <c r="AF461" s="95" t="s">
        <v>72</v>
      </c>
      <c r="AG461" s="95" t="s">
        <v>71</v>
      </c>
      <c r="AH461" s="95" t="s">
        <v>71</v>
      </c>
      <c r="AI461" s="95" t="s">
        <v>71</v>
      </c>
      <c r="AK461" s="95" t="s">
        <v>71</v>
      </c>
    </row>
    <row r="462" spans="1:37" x14ac:dyDescent="0.2">
      <c r="A462" s="95" t="s">
        <v>65</v>
      </c>
      <c r="B462" s="95" t="s">
        <v>66</v>
      </c>
      <c r="C462" s="95" t="s">
        <v>86</v>
      </c>
      <c r="F462" s="95">
        <v>2</v>
      </c>
      <c r="G462" s="95">
        <v>10</v>
      </c>
      <c r="I462" s="95">
        <v>1.5</v>
      </c>
      <c r="S462" s="95" t="s">
        <v>3435</v>
      </c>
      <c r="T462" s="51" t="s">
        <v>3518</v>
      </c>
      <c r="U462" s="95" t="s">
        <v>71</v>
      </c>
      <c r="V462" s="95" t="s">
        <v>71</v>
      </c>
      <c r="W462" s="95" t="s">
        <v>72</v>
      </c>
      <c r="X462" s="95" t="s">
        <v>71</v>
      </c>
      <c r="Y462" s="95" t="s">
        <v>72</v>
      </c>
      <c r="Z462" s="95" t="s">
        <v>71</v>
      </c>
      <c r="AA462" s="95" t="s">
        <v>72</v>
      </c>
      <c r="AB462" s="95" t="s">
        <v>72</v>
      </c>
      <c r="AC462" s="95" t="s">
        <v>72</v>
      </c>
      <c r="AD462" s="95" t="s">
        <v>72</v>
      </c>
      <c r="AE462" s="95" t="s">
        <v>71</v>
      </c>
      <c r="AF462" s="95" t="s">
        <v>72</v>
      </c>
      <c r="AG462" s="95" t="s">
        <v>71</v>
      </c>
      <c r="AH462" s="95" t="s">
        <v>71</v>
      </c>
      <c r="AI462" s="95" t="s">
        <v>71</v>
      </c>
      <c r="AK462" s="95" t="s">
        <v>71</v>
      </c>
    </row>
    <row r="463" spans="1:37" x14ac:dyDescent="0.2">
      <c r="A463" s="95" t="s">
        <v>65</v>
      </c>
      <c r="B463" s="95" t="s">
        <v>66</v>
      </c>
      <c r="C463" s="95" t="s">
        <v>86</v>
      </c>
      <c r="F463" s="249">
        <v>2.5</v>
      </c>
      <c r="G463" s="95">
        <v>12.5</v>
      </c>
      <c r="I463" s="95">
        <v>3.16</v>
      </c>
      <c r="S463" s="95" t="s">
        <v>3435</v>
      </c>
      <c r="T463" s="51" t="s">
        <v>3517</v>
      </c>
      <c r="U463" s="95" t="s">
        <v>71</v>
      </c>
      <c r="V463" s="95" t="s">
        <v>71</v>
      </c>
      <c r="W463" s="95" t="s">
        <v>72</v>
      </c>
      <c r="X463" s="95" t="s">
        <v>71</v>
      </c>
      <c r="Y463" s="95" t="s">
        <v>72</v>
      </c>
      <c r="Z463" s="95" t="s">
        <v>71</v>
      </c>
      <c r="AA463" s="95" t="s">
        <v>72</v>
      </c>
      <c r="AB463" s="95" t="s">
        <v>72</v>
      </c>
      <c r="AC463" s="95" t="s">
        <v>72</v>
      </c>
      <c r="AD463" s="95" t="s">
        <v>72</v>
      </c>
      <c r="AE463" s="95" t="s">
        <v>71</v>
      </c>
      <c r="AF463" s="95" t="s">
        <v>72</v>
      </c>
      <c r="AG463" s="95" t="s">
        <v>71</v>
      </c>
      <c r="AH463" s="95" t="s">
        <v>71</v>
      </c>
      <c r="AI463" s="95" t="s">
        <v>71</v>
      </c>
      <c r="AK463" s="95" t="s">
        <v>71</v>
      </c>
    </row>
    <row r="464" spans="1:37" x14ac:dyDescent="0.2">
      <c r="A464" s="95" t="s">
        <v>65</v>
      </c>
      <c r="B464" s="95" t="s">
        <v>66</v>
      </c>
      <c r="C464" s="95" t="s">
        <v>86</v>
      </c>
      <c r="F464" s="95">
        <v>2</v>
      </c>
      <c r="G464" s="95">
        <v>10</v>
      </c>
      <c r="I464" s="95">
        <v>1.63</v>
      </c>
      <c r="S464" s="95" t="s">
        <v>3435</v>
      </c>
      <c r="T464" s="51" t="s">
        <v>3516</v>
      </c>
      <c r="U464" s="95" t="s">
        <v>71</v>
      </c>
      <c r="V464" s="95" t="s">
        <v>71</v>
      </c>
      <c r="W464" s="95" t="s">
        <v>72</v>
      </c>
      <c r="X464" s="95" t="s">
        <v>71</v>
      </c>
      <c r="Y464" s="95" t="s">
        <v>72</v>
      </c>
      <c r="Z464" s="95" t="s">
        <v>71</v>
      </c>
      <c r="AA464" s="95" t="s">
        <v>72</v>
      </c>
      <c r="AB464" s="95" t="s">
        <v>72</v>
      </c>
      <c r="AC464" s="95" t="s">
        <v>72</v>
      </c>
      <c r="AD464" s="95" t="s">
        <v>72</v>
      </c>
      <c r="AE464" s="95" t="s">
        <v>71</v>
      </c>
      <c r="AF464" s="95" t="s">
        <v>72</v>
      </c>
      <c r="AG464" s="95" t="s">
        <v>71</v>
      </c>
      <c r="AH464" s="95" t="s">
        <v>71</v>
      </c>
      <c r="AI464" s="95" t="s">
        <v>71</v>
      </c>
      <c r="AK464" s="95" t="s">
        <v>71</v>
      </c>
    </row>
    <row r="465" spans="1:37" x14ac:dyDescent="0.2">
      <c r="A465" s="95" t="s">
        <v>65</v>
      </c>
      <c r="B465" s="95" t="s">
        <v>66</v>
      </c>
      <c r="C465" s="95" t="s">
        <v>86</v>
      </c>
      <c r="F465" s="253">
        <v>0.5</v>
      </c>
      <c r="G465" s="95">
        <v>3</v>
      </c>
      <c r="I465" s="95">
        <v>0.38</v>
      </c>
      <c r="S465" s="95" t="s">
        <v>3435</v>
      </c>
      <c r="T465" s="95" t="s">
        <v>3515</v>
      </c>
      <c r="U465" s="95" t="s">
        <v>71</v>
      </c>
      <c r="V465" s="95" t="s">
        <v>71</v>
      </c>
      <c r="W465" s="95" t="s">
        <v>72</v>
      </c>
      <c r="X465" s="95" t="s">
        <v>71</v>
      </c>
      <c r="Y465" s="95" t="s">
        <v>72</v>
      </c>
      <c r="Z465" s="95" t="s">
        <v>71</v>
      </c>
      <c r="AA465" s="95" t="s">
        <v>72</v>
      </c>
      <c r="AB465" s="95" t="s">
        <v>72</v>
      </c>
      <c r="AC465" s="95" t="s">
        <v>72</v>
      </c>
      <c r="AD465" s="95" t="s">
        <v>72</v>
      </c>
      <c r="AE465" s="95" t="s">
        <v>71</v>
      </c>
      <c r="AF465" s="95" t="s">
        <v>72</v>
      </c>
      <c r="AG465" s="95" t="s">
        <v>71</v>
      </c>
      <c r="AH465" s="95" t="s">
        <v>71</v>
      </c>
      <c r="AI465" s="95" t="s">
        <v>71</v>
      </c>
      <c r="AK465" s="95" t="s">
        <v>71</v>
      </c>
    </row>
    <row r="466" spans="1:37" x14ac:dyDescent="0.2">
      <c r="A466" s="95" t="s">
        <v>65</v>
      </c>
      <c r="B466" s="95" t="s">
        <v>66</v>
      </c>
      <c r="C466" s="95" t="s">
        <v>86</v>
      </c>
      <c r="F466" s="249">
        <v>1.5</v>
      </c>
      <c r="G466" s="95">
        <v>7.5</v>
      </c>
      <c r="I466" s="95">
        <v>0.99</v>
      </c>
      <c r="S466" s="95" t="s">
        <v>3435</v>
      </c>
      <c r="T466" s="4" t="s">
        <v>3514</v>
      </c>
      <c r="U466" s="95" t="s">
        <v>71</v>
      </c>
      <c r="V466" s="95" t="s">
        <v>71</v>
      </c>
      <c r="W466" s="95" t="s">
        <v>72</v>
      </c>
      <c r="X466" s="95" t="s">
        <v>71</v>
      </c>
      <c r="Y466" s="95" t="s">
        <v>72</v>
      </c>
      <c r="Z466" s="95" t="s">
        <v>71</v>
      </c>
      <c r="AA466" s="95" t="s">
        <v>72</v>
      </c>
      <c r="AB466" s="95" t="s">
        <v>72</v>
      </c>
      <c r="AC466" s="95" t="s">
        <v>72</v>
      </c>
      <c r="AD466" s="95" t="s">
        <v>72</v>
      </c>
      <c r="AE466" s="95" t="s">
        <v>71</v>
      </c>
      <c r="AF466" s="95" t="s">
        <v>72</v>
      </c>
      <c r="AG466" s="95" t="s">
        <v>71</v>
      </c>
      <c r="AH466" s="95" t="s">
        <v>71</v>
      </c>
      <c r="AI466" s="95" t="s">
        <v>71</v>
      </c>
      <c r="AK466" s="95" t="s">
        <v>71</v>
      </c>
    </row>
    <row r="467" spans="1:37" x14ac:dyDescent="0.2">
      <c r="A467" s="95" t="s">
        <v>65</v>
      </c>
      <c r="B467" s="95" t="s">
        <v>66</v>
      </c>
      <c r="C467" s="95" t="s">
        <v>86</v>
      </c>
      <c r="F467" s="95">
        <v>3</v>
      </c>
      <c r="G467" s="95">
        <v>15</v>
      </c>
      <c r="I467" s="95">
        <v>3.05</v>
      </c>
      <c r="S467" s="95" t="s">
        <v>3435</v>
      </c>
      <c r="T467" s="4" t="s">
        <v>3438</v>
      </c>
      <c r="U467" s="95" t="s">
        <v>71</v>
      </c>
      <c r="V467" s="95" t="s">
        <v>71</v>
      </c>
      <c r="W467" s="95" t="s">
        <v>72</v>
      </c>
      <c r="X467" s="95" t="s">
        <v>71</v>
      </c>
      <c r="Y467" s="95" t="s">
        <v>72</v>
      </c>
      <c r="Z467" s="95" t="s">
        <v>71</v>
      </c>
      <c r="AA467" s="95" t="s">
        <v>72</v>
      </c>
      <c r="AB467" s="95" t="s">
        <v>72</v>
      </c>
      <c r="AC467" s="95" t="s">
        <v>72</v>
      </c>
      <c r="AD467" s="95" t="s">
        <v>72</v>
      </c>
      <c r="AE467" s="95" t="s">
        <v>71</v>
      </c>
      <c r="AF467" s="95" t="s">
        <v>72</v>
      </c>
      <c r="AG467" s="95" t="s">
        <v>71</v>
      </c>
      <c r="AH467" s="95" t="s">
        <v>71</v>
      </c>
      <c r="AI467" s="95" t="s">
        <v>71</v>
      </c>
      <c r="AK467" s="95" t="s">
        <v>71</v>
      </c>
    </row>
    <row r="468" spans="1:37" x14ac:dyDescent="0.2">
      <c r="A468" s="95" t="s">
        <v>65</v>
      </c>
      <c r="B468" s="95" t="s">
        <v>66</v>
      </c>
      <c r="C468" s="95" t="s">
        <v>86</v>
      </c>
      <c r="E468" s="95" t="s">
        <v>3524</v>
      </c>
      <c r="F468" s="95">
        <v>3</v>
      </c>
      <c r="G468" s="95">
        <v>15</v>
      </c>
      <c r="I468" s="95">
        <v>1.74</v>
      </c>
      <c r="S468" s="95" t="s">
        <v>3435</v>
      </c>
      <c r="T468" s="51" t="s">
        <v>3513</v>
      </c>
      <c r="U468" s="95" t="s">
        <v>71</v>
      </c>
      <c r="V468" s="95" t="s">
        <v>71</v>
      </c>
      <c r="W468" s="95" t="s">
        <v>72</v>
      </c>
      <c r="X468" s="95" t="s">
        <v>71</v>
      </c>
      <c r="Y468" s="95" t="s">
        <v>72</v>
      </c>
      <c r="Z468" s="95" t="s">
        <v>71</v>
      </c>
      <c r="AA468" s="95" t="s">
        <v>72</v>
      </c>
      <c r="AB468" s="95" t="s">
        <v>72</v>
      </c>
      <c r="AC468" s="95" t="s">
        <v>72</v>
      </c>
      <c r="AD468" s="95" t="s">
        <v>72</v>
      </c>
      <c r="AE468" s="95" t="s">
        <v>71</v>
      </c>
      <c r="AF468" s="95" t="s">
        <v>72</v>
      </c>
      <c r="AG468" s="95" t="s">
        <v>71</v>
      </c>
      <c r="AH468" s="95" t="s">
        <v>71</v>
      </c>
      <c r="AI468" s="95" t="s">
        <v>71</v>
      </c>
      <c r="AK468" s="95" t="s">
        <v>71</v>
      </c>
    </row>
    <row r="469" spans="1:37" x14ac:dyDescent="0.2">
      <c r="A469" s="95" t="s">
        <v>65</v>
      </c>
      <c r="B469" s="95" t="s">
        <v>66</v>
      </c>
      <c r="C469" s="95" t="s">
        <v>86</v>
      </c>
      <c r="E469" s="95" t="s">
        <v>3524</v>
      </c>
      <c r="F469" s="95">
        <v>2</v>
      </c>
      <c r="G469" s="95">
        <v>10</v>
      </c>
      <c r="I469" s="95">
        <v>1.73</v>
      </c>
      <c r="S469" s="95" t="s">
        <v>3435</v>
      </c>
      <c r="T469" s="51" t="s">
        <v>3512</v>
      </c>
      <c r="U469" s="95" t="s">
        <v>71</v>
      </c>
      <c r="V469" s="95" t="s">
        <v>71</v>
      </c>
      <c r="W469" s="95" t="s">
        <v>72</v>
      </c>
      <c r="X469" s="95" t="s">
        <v>71</v>
      </c>
      <c r="Y469" s="95" t="s">
        <v>72</v>
      </c>
      <c r="Z469" s="95" t="s">
        <v>71</v>
      </c>
      <c r="AA469" s="95" t="s">
        <v>72</v>
      </c>
      <c r="AB469" s="95" t="s">
        <v>72</v>
      </c>
      <c r="AC469" s="95" t="s">
        <v>72</v>
      </c>
      <c r="AD469" s="95" t="s">
        <v>72</v>
      </c>
      <c r="AE469" s="95" t="s">
        <v>71</v>
      </c>
      <c r="AF469" s="95" t="s">
        <v>72</v>
      </c>
      <c r="AG469" s="95" t="s">
        <v>71</v>
      </c>
      <c r="AH469" s="95" t="s">
        <v>71</v>
      </c>
      <c r="AI469" s="95" t="s">
        <v>71</v>
      </c>
      <c r="AK469" s="95" t="s">
        <v>71</v>
      </c>
    </row>
    <row r="470" spans="1:37" x14ac:dyDescent="0.2">
      <c r="A470" s="95" t="s">
        <v>65</v>
      </c>
      <c r="B470" s="95" t="s">
        <v>66</v>
      </c>
      <c r="C470" s="95" t="s">
        <v>86</v>
      </c>
      <c r="E470" s="95" t="s">
        <v>3524</v>
      </c>
      <c r="F470" s="95">
        <v>2</v>
      </c>
      <c r="G470" s="95">
        <v>10</v>
      </c>
      <c r="I470" s="95">
        <v>2.81</v>
      </c>
      <c r="S470" s="95" t="s">
        <v>3526</v>
      </c>
      <c r="T470" s="4" t="s">
        <v>3525</v>
      </c>
      <c r="U470" s="95" t="s">
        <v>71</v>
      </c>
      <c r="V470" s="95" t="s">
        <v>71</v>
      </c>
      <c r="W470" s="95" t="s">
        <v>72</v>
      </c>
      <c r="X470" s="95" t="s">
        <v>71</v>
      </c>
      <c r="Y470" s="95" t="s">
        <v>72</v>
      </c>
      <c r="Z470" s="95" t="s">
        <v>71</v>
      </c>
      <c r="AA470" s="95" t="s">
        <v>72</v>
      </c>
      <c r="AB470" s="95" t="s">
        <v>72</v>
      </c>
      <c r="AC470" s="95" t="s">
        <v>72</v>
      </c>
      <c r="AD470" s="95" t="s">
        <v>72</v>
      </c>
      <c r="AE470" s="95" t="s">
        <v>71</v>
      </c>
      <c r="AF470" s="95" t="s">
        <v>72</v>
      </c>
      <c r="AG470" s="95" t="s">
        <v>71</v>
      </c>
      <c r="AH470" s="95" t="s">
        <v>71</v>
      </c>
      <c r="AI470" s="95" t="s">
        <v>71</v>
      </c>
      <c r="AK470" s="95" t="s">
        <v>71</v>
      </c>
    </row>
    <row r="471" spans="1:37" x14ac:dyDescent="0.2">
      <c r="A471" s="95" t="s">
        <v>65</v>
      </c>
      <c r="B471" s="95" t="s">
        <v>66</v>
      </c>
      <c r="C471" s="95" t="s">
        <v>86</v>
      </c>
      <c r="E471" s="95" t="s">
        <v>3524</v>
      </c>
      <c r="F471" s="95">
        <v>2</v>
      </c>
      <c r="G471" s="95">
        <v>10</v>
      </c>
      <c r="I471" s="95">
        <v>1.69</v>
      </c>
      <c r="S471" s="95" t="s">
        <v>3526</v>
      </c>
      <c r="T471" s="4" t="s">
        <v>3527</v>
      </c>
      <c r="U471" s="95" t="s">
        <v>71</v>
      </c>
      <c r="V471" s="95" t="s">
        <v>71</v>
      </c>
      <c r="W471" s="95" t="s">
        <v>72</v>
      </c>
      <c r="X471" s="95" t="s">
        <v>71</v>
      </c>
      <c r="Y471" s="95" t="s">
        <v>72</v>
      </c>
      <c r="Z471" s="95" t="s">
        <v>71</v>
      </c>
      <c r="AA471" s="95" t="s">
        <v>72</v>
      </c>
      <c r="AB471" s="95" t="s">
        <v>72</v>
      </c>
      <c r="AC471" s="95" t="s">
        <v>72</v>
      </c>
      <c r="AD471" s="95" t="s">
        <v>72</v>
      </c>
      <c r="AE471" s="95" t="s">
        <v>71</v>
      </c>
      <c r="AF471" s="95" t="s">
        <v>72</v>
      </c>
      <c r="AG471" s="95" t="s">
        <v>71</v>
      </c>
      <c r="AH471" s="95" t="s">
        <v>71</v>
      </c>
      <c r="AI471" s="95" t="s">
        <v>71</v>
      </c>
      <c r="AK471" s="95" t="s">
        <v>71</v>
      </c>
    </row>
    <row r="472" spans="1:37" x14ac:dyDescent="0.2">
      <c r="A472" s="95" t="s">
        <v>65</v>
      </c>
      <c r="B472" s="95" t="s">
        <v>66</v>
      </c>
      <c r="C472" s="95" t="s">
        <v>86</v>
      </c>
      <c r="E472" s="95" t="s">
        <v>3524</v>
      </c>
      <c r="F472" s="95">
        <v>2</v>
      </c>
      <c r="G472" s="95">
        <v>10</v>
      </c>
      <c r="I472" s="95">
        <v>6.91</v>
      </c>
      <c r="S472" s="95" t="s">
        <v>3526</v>
      </c>
      <c r="T472" s="4" t="s">
        <v>3528</v>
      </c>
      <c r="U472" s="95" t="s">
        <v>71</v>
      </c>
      <c r="V472" s="95" t="s">
        <v>71</v>
      </c>
      <c r="W472" s="95" t="s">
        <v>72</v>
      </c>
      <c r="X472" s="95" t="s">
        <v>71</v>
      </c>
      <c r="Y472" s="95" t="s">
        <v>72</v>
      </c>
      <c r="Z472" s="95" t="s">
        <v>71</v>
      </c>
      <c r="AA472" s="95" t="s">
        <v>72</v>
      </c>
      <c r="AB472" s="95" t="s">
        <v>72</v>
      </c>
      <c r="AC472" s="95" t="s">
        <v>72</v>
      </c>
      <c r="AD472" s="95" t="s">
        <v>72</v>
      </c>
      <c r="AE472" s="95" t="s">
        <v>71</v>
      </c>
      <c r="AF472" s="95" t="s">
        <v>72</v>
      </c>
      <c r="AG472" s="95" t="s">
        <v>71</v>
      </c>
      <c r="AH472" s="95" t="s">
        <v>71</v>
      </c>
      <c r="AI472" s="95" t="s">
        <v>71</v>
      </c>
      <c r="AK472" s="95" t="s">
        <v>71</v>
      </c>
    </row>
    <row r="473" spans="1:37" x14ac:dyDescent="0.2">
      <c r="A473" s="95" t="s">
        <v>65</v>
      </c>
      <c r="B473" s="95" t="s">
        <v>66</v>
      </c>
      <c r="C473" s="95" t="s">
        <v>86</v>
      </c>
      <c r="E473" s="95" t="s">
        <v>3524</v>
      </c>
      <c r="F473" s="95">
        <v>4</v>
      </c>
      <c r="G473" s="95">
        <v>20</v>
      </c>
      <c r="I473" s="95">
        <v>3.37</v>
      </c>
      <c r="S473" s="95" t="s">
        <v>3526</v>
      </c>
      <c r="T473" s="4" t="s">
        <v>3529</v>
      </c>
      <c r="U473" s="95" t="s">
        <v>71</v>
      </c>
      <c r="V473" s="95" t="s">
        <v>71</v>
      </c>
      <c r="W473" s="95" t="s">
        <v>72</v>
      </c>
      <c r="X473" s="95" t="s">
        <v>71</v>
      </c>
      <c r="Y473" s="95" t="s">
        <v>72</v>
      </c>
      <c r="Z473" s="95" t="s">
        <v>71</v>
      </c>
      <c r="AA473" s="95" t="s">
        <v>72</v>
      </c>
      <c r="AB473" s="95" t="s">
        <v>72</v>
      </c>
      <c r="AC473" s="95" t="s">
        <v>72</v>
      </c>
      <c r="AD473" s="95" t="s">
        <v>72</v>
      </c>
      <c r="AE473" s="95" t="s">
        <v>71</v>
      </c>
      <c r="AF473" s="95" t="s">
        <v>72</v>
      </c>
      <c r="AG473" s="95" t="s">
        <v>71</v>
      </c>
      <c r="AH473" s="95" t="s">
        <v>71</v>
      </c>
      <c r="AI473" s="95" t="s">
        <v>71</v>
      </c>
      <c r="AK473" s="95" t="s">
        <v>71</v>
      </c>
    </row>
    <row r="474" spans="1:37" x14ac:dyDescent="0.2">
      <c r="A474" s="95" t="s">
        <v>65</v>
      </c>
      <c r="B474" s="95" t="s">
        <v>66</v>
      </c>
      <c r="C474" s="95" t="s">
        <v>86</v>
      </c>
      <c r="E474" s="95" t="s">
        <v>3524</v>
      </c>
      <c r="F474" s="95">
        <v>2</v>
      </c>
      <c r="G474" s="95">
        <v>10</v>
      </c>
      <c r="I474" s="95">
        <v>1.67</v>
      </c>
      <c r="S474" s="95" t="s">
        <v>3526</v>
      </c>
      <c r="T474" s="4" t="s">
        <v>3530</v>
      </c>
      <c r="U474" s="95" t="s">
        <v>71</v>
      </c>
      <c r="V474" s="95" t="s">
        <v>71</v>
      </c>
      <c r="W474" s="95" t="s">
        <v>72</v>
      </c>
      <c r="X474" s="95" t="s">
        <v>71</v>
      </c>
      <c r="Y474" s="95" t="s">
        <v>72</v>
      </c>
      <c r="Z474" s="95" t="s">
        <v>71</v>
      </c>
      <c r="AA474" s="95" t="s">
        <v>72</v>
      </c>
      <c r="AB474" s="95" t="s">
        <v>72</v>
      </c>
      <c r="AC474" s="95" t="s">
        <v>72</v>
      </c>
      <c r="AD474" s="95" t="s">
        <v>72</v>
      </c>
      <c r="AE474" s="95" t="s">
        <v>71</v>
      </c>
      <c r="AF474" s="95" t="s">
        <v>72</v>
      </c>
      <c r="AG474" s="95" t="s">
        <v>71</v>
      </c>
      <c r="AH474" s="95" t="s">
        <v>71</v>
      </c>
      <c r="AI474" s="95" t="s">
        <v>71</v>
      </c>
      <c r="AK474" s="95" t="s">
        <v>71</v>
      </c>
    </row>
    <row r="475" spans="1:37" x14ac:dyDescent="0.2">
      <c r="A475" s="95" t="s">
        <v>65</v>
      </c>
      <c r="B475" s="95" t="s">
        <v>66</v>
      </c>
      <c r="C475" s="95" t="s">
        <v>86</v>
      </c>
      <c r="E475" s="95" t="s">
        <v>3524</v>
      </c>
      <c r="F475" s="95">
        <v>3</v>
      </c>
      <c r="G475" s="95">
        <v>15</v>
      </c>
      <c r="I475" s="95">
        <v>2.5299999999999998</v>
      </c>
      <c r="S475" s="95" t="s">
        <v>3526</v>
      </c>
      <c r="T475" s="4" t="s">
        <v>3531</v>
      </c>
      <c r="U475" s="95" t="s">
        <v>71</v>
      </c>
      <c r="V475" s="95" t="s">
        <v>71</v>
      </c>
      <c r="W475" s="95" t="s">
        <v>72</v>
      </c>
      <c r="X475" s="95" t="s">
        <v>71</v>
      </c>
      <c r="Y475" s="95" t="s">
        <v>72</v>
      </c>
      <c r="Z475" s="95" t="s">
        <v>71</v>
      </c>
      <c r="AA475" s="95" t="s">
        <v>72</v>
      </c>
      <c r="AB475" s="95" t="s">
        <v>72</v>
      </c>
      <c r="AC475" s="95" t="s">
        <v>72</v>
      </c>
      <c r="AD475" s="95" t="s">
        <v>72</v>
      </c>
      <c r="AE475" s="95" t="s">
        <v>71</v>
      </c>
      <c r="AF475" s="95" t="s">
        <v>72</v>
      </c>
      <c r="AG475" s="95" t="s">
        <v>71</v>
      </c>
      <c r="AH475" s="95" t="s">
        <v>71</v>
      </c>
      <c r="AI475" s="95" t="s">
        <v>71</v>
      </c>
      <c r="AK475" s="95" t="s">
        <v>71</v>
      </c>
    </row>
    <row r="476" spans="1:37" x14ac:dyDescent="0.2">
      <c r="A476" s="95" t="s">
        <v>65</v>
      </c>
      <c r="B476" s="95" t="s">
        <v>66</v>
      </c>
      <c r="C476" s="95" t="s">
        <v>86</v>
      </c>
      <c r="E476" s="95" t="s">
        <v>3524</v>
      </c>
      <c r="F476" s="95">
        <v>1</v>
      </c>
      <c r="G476" s="95">
        <v>5</v>
      </c>
      <c r="I476" s="95">
        <v>0.83</v>
      </c>
      <c r="S476" s="95" t="s">
        <v>3526</v>
      </c>
      <c r="T476" s="4" t="s">
        <v>3532</v>
      </c>
      <c r="U476" s="95" t="s">
        <v>71</v>
      </c>
      <c r="V476" s="95" t="s">
        <v>71</v>
      </c>
      <c r="W476" s="95" t="s">
        <v>72</v>
      </c>
      <c r="X476" s="95" t="s">
        <v>71</v>
      </c>
      <c r="Y476" s="95" t="s">
        <v>72</v>
      </c>
      <c r="Z476" s="95" t="s">
        <v>71</v>
      </c>
      <c r="AA476" s="95" t="s">
        <v>72</v>
      </c>
      <c r="AB476" s="95" t="s">
        <v>72</v>
      </c>
      <c r="AC476" s="95" t="s">
        <v>72</v>
      </c>
      <c r="AD476" s="95" t="s">
        <v>72</v>
      </c>
      <c r="AE476" s="95" t="s">
        <v>71</v>
      </c>
      <c r="AF476" s="95" t="s">
        <v>72</v>
      </c>
      <c r="AG476" s="95" t="s">
        <v>71</v>
      </c>
      <c r="AH476" s="95" t="s">
        <v>71</v>
      </c>
      <c r="AI476" s="95" t="s">
        <v>71</v>
      </c>
      <c r="AK476" s="95" t="s">
        <v>71</v>
      </c>
    </row>
    <row r="477" spans="1:37" x14ac:dyDescent="0.2">
      <c r="A477" s="95" t="s">
        <v>65</v>
      </c>
      <c r="B477" s="95" t="s">
        <v>66</v>
      </c>
      <c r="C477" s="95" t="s">
        <v>86</v>
      </c>
      <c r="E477" s="95" t="s">
        <v>3524</v>
      </c>
      <c r="F477" s="95">
        <v>1.5</v>
      </c>
      <c r="G477" s="95">
        <v>7.5</v>
      </c>
      <c r="I477" s="95">
        <v>1.24</v>
      </c>
      <c r="S477" s="95" t="s">
        <v>3526</v>
      </c>
      <c r="T477" s="4" t="s">
        <v>3533</v>
      </c>
      <c r="U477" s="95" t="s">
        <v>71</v>
      </c>
      <c r="V477" s="95" t="s">
        <v>71</v>
      </c>
      <c r="W477" s="95" t="s">
        <v>72</v>
      </c>
      <c r="X477" s="95" t="s">
        <v>71</v>
      </c>
      <c r="Y477" s="95" t="s">
        <v>72</v>
      </c>
      <c r="Z477" s="95" t="s">
        <v>71</v>
      </c>
      <c r="AA477" s="95" t="s">
        <v>72</v>
      </c>
      <c r="AB477" s="95" t="s">
        <v>72</v>
      </c>
      <c r="AC477" s="95" t="s">
        <v>72</v>
      </c>
      <c r="AD477" s="95" t="s">
        <v>72</v>
      </c>
      <c r="AE477" s="95" t="s">
        <v>71</v>
      </c>
      <c r="AF477" s="95" t="s">
        <v>72</v>
      </c>
      <c r="AG477" s="95" t="s">
        <v>71</v>
      </c>
      <c r="AH477" s="95" t="s">
        <v>71</v>
      </c>
      <c r="AI477" s="95" t="s">
        <v>71</v>
      </c>
      <c r="AK477" s="95" t="s">
        <v>71</v>
      </c>
    </row>
    <row r="478" spans="1:37" x14ac:dyDescent="0.2">
      <c r="A478" s="95" t="s">
        <v>65</v>
      </c>
      <c r="B478" s="95" t="s">
        <v>66</v>
      </c>
      <c r="C478" s="95" t="s">
        <v>86</v>
      </c>
      <c r="E478" s="95" t="s">
        <v>3524</v>
      </c>
      <c r="F478" s="95">
        <v>2</v>
      </c>
      <c r="G478" s="95">
        <v>10</v>
      </c>
      <c r="I478" s="95">
        <v>2.59</v>
      </c>
      <c r="S478" s="95" t="s">
        <v>3526</v>
      </c>
      <c r="T478" s="95" t="s">
        <v>3534</v>
      </c>
      <c r="U478" s="95" t="s">
        <v>71</v>
      </c>
      <c r="V478" s="95" t="s">
        <v>71</v>
      </c>
      <c r="W478" s="95" t="s">
        <v>72</v>
      </c>
      <c r="X478" s="95" t="s">
        <v>71</v>
      </c>
      <c r="Y478" s="95" t="s">
        <v>72</v>
      </c>
      <c r="Z478" s="95" t="s">
        <v>71</v>
      </c>
      <c r="AA478" s="95" t="s">
        <v>72</v>
      </c>
      <c r="AB478" s="95" t="s">
        <v>72</v>
      </c>
      <c r="AC478" s="95" t="s">
        <v>72</v>
      </c>
      <c r="AD478" s="95" t="s">
        <v>72</v>
      </c>
      <c r="AE478" s="95" t="s">
        <v>71</v>
      </c>
      <c r="AF478" s="95" t="s">
        <v>72</v>
      </c>
      <c r="AG478" s="95" t="s">
        <v>71</v>
      </c>
      <c r="AH478" s="95" t="s">
        <v>71</v>
      </c>
      <c r="AI478" s="95" t="s">
        <v>71</v>
      </c>
      <c r="AK478" s="95" t="s">
        <v>71</v>
      </c>
    </row>
    <row r="479" spans="1:37" x14ac:dyDescent="0.2">
      <c r="A479" s="95" t="s">
        <v>65</v>
      </c>
      <c r="B479" s="95" t="s">
        <v>66</v>
      </c>
      <c r="C479" s="95" t="s">
        <v>86</v>
      </c>
      <c r="E479" s="95" t="s">
        <v>3524</v>
      </c>
      <c r="F479" s="95">
        <v>3</v>
      </c>
      <c r="G479" s="95">
        <v>15</v>
      </c>
      <c r="I479" s="95">
        <v>3.89</v>
      </c>
      <c r="S479" s="95" t="s">
        <v>3526</v>
      </c>
      <c r="T479" s="4" t="s">
        <v>3535</v>
      </c>
      <c r="U479" s="95" t="s">
        <v>71</v>
      </c>
      <c r="V479" s="95" t="s">
        <v>71</v>
      </c>
      <c r="W479" s="95" t="s">
        <v>72</v>
      </c>
      <c r="X479" s="95" t="s">
        <v>71</v>
      </c>
      <c r="Y479" s="95" t="s">
        <v>72</v>
      </c>
      <c r="Z479" s="95" t="s">
        <v>71</v>
      </c>
      <c r="AA479" s="95" t="s">
        <v>72</v>
      </c>
      <c r="AB479" s="95" t="s">
        <v>72</v>
      </c>
      <c r="AC479" s="95" t="s">
        <v>72</v>
      </c>
      <c r="AD479" s="95" t="s">
        <v>72</v>
      </c>
      <c r="AE479" s="95" t="s">
        <v>71</v>
      </c>
      <c r="AF479" s="95" t="s">
        <v>72</v>
      </c>
      <c r="AG479" s="95" t="s">
        <v>71</v>
      </c>
      <c r="AH479" s="95" t="s">
        <v>71</v>
      </c>
      <c r="AI479" s="95" t="s">
        <v>71</v>
      </c>
      <c r="AK479" s="95" t="s">
        <v>71</v>
      </c>
    </row>
    <row r="480" spans="1:37" x14ac:dyDescent="0.2">
      <c r="A480" s="95" t="s">
        <v>65</v>
      </c>
      <c r="B480" s="95" t="s">
        <v>66</v>
      </c>
      <c r="C480" s="95" t="s">
        <v>86</v>
      </c>
      <c r="E480" s="95" t="s">
        <v>3524</v>
      </c>
      <c r="F480" s="95">
        <v>1</v>
      </c>
      <c r="G480" s="95">
        <v>5</v>
      </c>
      <c r="I480" s="95">
        <v>1.29</v>
      </c>
      <c r="S480" s="95" t="s">
        <v>3526</v>
      </c>
      <c r="T480" s="4" t="s">
        <v>3536</v>
      </c>
      <c r="U480" s="95" t="s">
        <v>71</v>
      </c>
      <c r="V480" s="95" t="s">
        <v>71</v>
      </c>
      <c r="W480" s="95" t="s">
        <v>72</v>
      </c>
      <c r="X480" s="95" t="s">
        <v>71</v>
      </c>
      <c r="Y480" s="95" t="s">
        <v>72</v>
      </c>
      <c r="Z480" s="95" t="s">
        <v>71</v>
      </c>
      <c r="AA480" s="95" t="s">
        <v>72</v>
      </c>
      <c r="AB480" s="95" t="s">
        <v>72</v>
      </c>
      <c r="AC480" s="95" t="s">
        <v>72</v>
      </c>
      <c r="AD480" s="95" t="s">
        <v>72</v>
      </c>
      <c r="AE480" s="95" t="s">
        <v>71</v>
      </c>
      <c r="AF480" s="95" t="s">
        <v>72</v>
      </c>
      <c r="AG480" s="95" t="s">
        <v>71</v>
      </c>
      <c r="AH480" s="95" t="s">
        <v>71</v>
      </c>
      <c r="AI480" s="95" t="s">
        <v>71</v>
      </c>
      <c r="AK480" s="95" t="s">
        <v>71</v>
      </c>
    </row>
    <row r="481" spans="1:37" x14ac:dyDescent="0.2">
      <c r="A481" s="95" t="s">
        <v>65</v>
      </c>
      <c r="B481" s="95" t="s">
        <v>66</v>
      </c>
      <c r="C481" s="95" t="s">
        <v>86</v>
      </c>
      <c r="E481" s="95" t="s">
        <v>3524</v>
      </c>
      <c r="F481" s="95">
        <v>3</v>
      </c>
      <c r="G481" s="95">
        <v>15</v>
      </c>
      <c r="I481" s="95">
        <v>10.37</v>
      </c>
      <c r="S481" s="95" t="s">
        <v>3526</v>
      </c>
      <c r="T481" s="4" t="s">
        <v>3537</v>
      </c>
      <c r="U481" s="95" t="s">
        <v>71</v>
      </c>
      <c r="V481" s="95" t="s">
        <v>71</v>
      </c>
      <c r="W481" s="95" t="s">
        <v>72</v>
      </c>
      <c r="X481" s="95" t="s">
        <v>71</v>
      </c>
      <c r="Y481" s="95" t="s">
        <v>72</v>
      </c>
      <c r="Z481" s="95" t="s">
        <v>71</v>
      </c>
      <c r="AA481" s="95" t="s">
        <v>72</v>
      </c>
      <c r="AB481" s="95" t="s">
        <v>72</v>
      </c>
      <c r="AC481" s="95" t="s">
        <v>72</v>
      </c>
      <c r="AD481" s="95" t="s">
        <v>72</v>
      </c>
      <c r="AE481" s="95" t="s">
        <v>71</v>
      </c>
      <c r="AF481" s="95" t="s">
        <v>72</v>
      </c>
      <c r="AG481" s="95" t="s">
        <v>71</v>
      </c>
      <c r="AH481" s="95" t="s">
        <v>71</v>
      </c>
      <c r="AI481" s="95" t="s">
        <v>71</v>
      </c>
      <c r="AK481" s="95" t="s">
        <v>71</v>
      </c>
    </row>
    <row r="482" spans="1:37" x14ac:dyDescent="0.2">
      <c r="A482" s="95" t="s">
        <v>65</v>
      </c>
      <c r="B482" s="95" t="s">
        <v>66</v>
      </c>
      <c r="C482" s="95" t="s">
        <v>86</v>
      </c>
      <c r="E482" s="95" t="s">
        <v>3524</v>
      </c>
      <c r="F482" s="95">
        <v>3</v>
      </c>
      <c r="G482" s="95">
        <v>15</v>
      </c>
      <c r="I482" s="101">
        <f>134.82/32</f>
        <v>4.2131249999999998</v>
      </c>
      <c r="S482" s="95" t="s">
        <v>3526</v>
      </c>
      <c r="T482" s="4" t="s">
        <v>3538</v>
      </c>
      <c r="U482" s="95" t="s">
        <v>71</v>
      </c>
      <c r="V482" s="95" t="s">
        <v>71</v>
      </c>
      <c r="W482" s="95" t="s">
        <v>72</v>
      </c>
      <c r="X482" s="95" t="s">
        <v>71</v>
      </c>
      <c r="Y482" s="95" t="s">
        <v>72</v>
      </c>
      <c r="Z482" s="95" t="s">
        <v>71</v>
      </c>
      <c r="AA482" s="95" t="s">
        <v>72</v>
      </c>
      <c r="AB482" s="95" t="s">
        <v>72</v>
      </c>
      <c r="AC482" s="95" t="s">
        <v>72</v>
      </c>
      <c r="AD482" s="95" t="s">
        <v>72</v>
      </c>
      <c r="AE482" s="95" t="s">
        <v>71</v>
      </c>
      <c r="AF482" s="95" t="s">
        <v>72</v>
      </c>
      <c r="AG482" s="95" t="s">
        <v>71</v>
      </c>
      <c r="AH482" s="95" t="s">
        <v>71</v>
      </c>
      <c r="AI482" s="95" t="s">
        <v>71</v>
      </c>
      <c r="AK482" s="95" t="s">
        <v>71</v>
      </c>
    </row>
    <row r="483" spans="1:37" x14ac:dyDescent="0.2">
      <c r="A483" s="95" t="s">
        <v>65</v>
      </c>
      <c r="B483" s="95" t="s">
        <v>66</v>
      </c>
      <c r="C483" s="95" t="s">
        <v>86</v>
      </c>
      <c r="E483" s="95" t="s">
        <v>3524</v>
      </c>
      <c r="F483" s="95">
        <v>2</v>
      </c>
      <c r="G483" s="95">
        <v>10</v>
      </c>
      <c r="I483" s="101">
        <f>52.82/32</f>
        <v>1.650625</v>
      </c>
      <c r="S483" s="95" t="s">
        <v>3526</v>
      </c>
      <c r="T483" s="4" t="s">
        <v>3539</v>
      </c>
      <c r="U483" s="95" t="s">
        <v>71</v>
      </c>
      <c r="V483" s="95" t="s">
        <v>71</v>
      </c>
      <c r="W483" s="95" t="s">
        <v>72</v>
      </c>
      <c r="X483" s="95" t="s">
        <v>71</v>
      </c>
      <c r="Y483" s="95" t="s">
        <v>72</v>
      </c>
      <c r="Z483" s="95" t="s">
        <v>71</v>
      </c>
      <c r="AA483" s="95" t="s">
        <v>72</v>
      </c>
      <c r="AB483" s="95" t="s">
        <v>72</v>
      </c>
      <c r="AC483" s="95" t="s">
        <v>72</v>
      </c>
      <c r="AD483" s="95" t="s">
        <v>72</v>
      </c>
      <c r="AE483" s="95" t="s">
        <v>71</v>
      </c>
      <c r="AF483" s="95" t="s">
        <v>72</v>
      </c>
      <c r="AG483" s="95" t="s">
        <v>71</v>
      </c>
      <c r="AH483" s="95" t="s">
        <v>71</v>
      </c>
      <c r="AI483" s="95" t="s">
        <v>71</v>
      </c>
      <c r="AK483" s="95" t="s">
        <v>71</v>
      </c>
    </row>
    <row r="484" spans="1:37" x14ac:dyDescent="0.2">
      <c r="A484" s="95" t="s">
        <v>65</v>
      </c>
      <c r="B484" s="95" t="s">
        <v>66</v>
      </c>
      <c r="C484" s="95" t="s">
        <v>86</v>
      </c>
      <c r="E484" s="95" t="s">
        <v>3440</v>
      </c>
      <c r="F484" s="95">
        <v>1</v>
      </c>
      <c r="G484" s="95">
        <v>5</v>
      </c>
      <c r="I484" s="101">
        <f>26.43/32</f>
        <v>0.82593749999999999</v>
      </c>
      <c r="S484" s="95" t="s">
        <v>3526</v>
      </c>
      <c r="T484" s="4" t="s">
        <v>3540</v>
      </c>
      <c r="U484" s="95" t="s">
        <v>71</v>
      </c>
      <c r="V484" s="95" t="s">
        <v>71</v>
      </c>
      <c r="W484" s="95" t="s">
        <v>72</v>
      </c>
      <c r="X484" s="95" t="s">
        <v>71</v>
      </c>
      <c r="Y484" s="95" t="s">
        <v>72</v>
      </c>
      <c r="Z484" s="95" t="s">
        <v>71</v>
      </c>
      <c r="AA484" s="95" t="s">
        <v>72</v>
      </c>
      <c r="AB484" s="95" t="s">
        <v>72</v>
      </c>
      <c r="AC484" s="95" t="s">
        <v>72</v>
      </c>
      <c r="AD484" s="95" t="s">
        <v>72</v>
      </c>
      <c r="AE484" s="95" t="s">
        <v>71</v>
      </c>
      <c r="AF484" s="95" t="s">
        <v>72</v>
      </c>
      <c r="AG484" s="95" t="s">
        <v>71</v>
      </c>
      <c r="AH484" s="95" t="s">
        <v>71</v>
      </c>
      <c r="AI484" s="95" t="s">
        <v>71</v>
      </c>
      <c r="AK484" s="95" t="s">
        <v>71</v>
      </c>
    </row>
    <row r="485" spans="1:37" x14ac:dyDescent="0.2">
      <c r="A485" s="95" t="s">
        <v>65</v>
      </c>
      <c r="B485" s="95" t="s">
        <v>66</v>
      </c>
      <c r="C485" s="95" t="s">
        <v>86</v>
      </c>
      <c r="E485" s="95" t="s">
        <v>3440</v>
      </c>
      <c r="F485" s="95">
        <v>1</v>
      </c>
      <c r="G485" s="95">
        <v>5</v>
      </c>
      <c r="I485" s="101">
        <f>26.96/32</f>
        <v>0.84250000000000003</v>
      </c>
      <c r="S485" s="95" t="s">
        <v>3526</v>
      </c>
      <c r="T485" s="4" t="s">
        <v>3541</v>
      </c>
      <c r="U485" s="95" t="s">
        <v>71</v>
      </c>
      <c r="V485" s="95" t="s">
        <v>71</v>
      </c>
      <c r="W485" s="95" t="s">
        <v>72</v>
      </c>
      <c r="X485" s="95" t="s">
        <v>71</v>
      </c>
      <c r="Y485" s="95" t="s">
        <v>72</v>
      </c>
      <c r="Z485" s="95" t="s">
        <v>71</v>
      </c>
      <c r="AA485" s="95" t="s">
        <v>72</v>
      </c>
      <c r="AB485" s="95" t="s">
        <v>72</v>
      </c>
      <c r="AC485" s="95" t="s">
        <v>72</v>
      </c>
      <c r="AD485" s="95" t="s">
        <v>72</v>
      </c>
      <c r="AE485" s="95" t="s">
        <v>71</v>
      </c>
      <c r="AF485" s="95" t="s">
        <v>72</v>
      </c>
      <c r="AG485" s="95" t="s">
        <v>71</v>
      </c>
      <c r="AH485" s="95" t="s">
        <v>71</v>
      </c>
      <c r="AI485" s="95" t="s">
        <v>71</v>
      </c>
      <c r="AK485" s="95" t="s">
        <v>71</v>
      </c>
    </row>
    <row r="486" spans="1:37" x14ac:dyDescent="0.2">
      <c r="A486" s="95" t="s">
        <v>65</v>
      </c>
      <c r="B486" s="95" t="s">
        <v>66</v>
      </c>
      <c r="C486" s="95" t="s">
        <v>86</v>
      </c>
      <c r="E486" s="95" t="s">
        <v>3524</v>
      </c>
      <c r="F486" s="95">
        <v>3</v>
      </c>
      <c r="G486" s="95">
        <v>15</v>
      </c>
      <c r="I486" s="101">
        <f>91.4/32</f>
        <v>2.8562500000000002</v>
      </c>
      <c r="S486" s="95" t="s">
        <v>3526</v>
      </c>
      <c r="T486" s="4" t="s">
        <v>3542</v>
      </c>
      <c r="U486" s="95" t="s">
        <v>71</v>
      </c>
      <c r="V486" s="95" t="s">
        <v>71</v>
      </c>
      <c r="W486" s="95" t="s">
        <v>72</v>
      </c>
      <c r="X486" s="95" t="s">
        <v>71</v>
      </c>
      <c r="Y486" s="95" t="s">
        <v>72</v>
      </c>
      <c r="Z486" s="95" t="s">
        <v>71</v>
      </c>
      <c r="AA486" s="95" t="s">
        <v>72</v>
      </c>
      <c r="AB486" s="95" t="s">
        <v>72</v>
      </c>
      <c r="AC486" s="95" t="s">
        <v>72</v>
      </c>
      <c r="AD486" s="95" t="s">
        <v>72</v>
      </c>
      <c r="AE486" s="95" t="s">
        <v>71</v>
      </c>
      <c r="AF486" s="95" t="s">
        <v>72</v>
      </c>
      <c r="AG486" s="95" t="s">
        <v>71</v>
      </c>
      <c r="AH486" s="95" t="s">
        <v>71</v>
      </c>
      <c r="AI486" s="95" t="s">
        <v>71</v>
      </c>
      <c r="AK486" s="95" t="s">
        <v>71</v>
      </c>
    </row>
    <row r="487" spans="1:37" x14ac:dyDescent="0.2">
      <c r="A487" s="95" t="s">
        <v>65</v>
      </c>
      <c r="B487" s="95" t="s">
        <v>66</v>
      </c>
      <c r="C487" s="95" t="s">
        <v>86</v>
      </c>
      <c r="E487" s="95" t="s">
        <v>3524</v>
      </c>
      <c r="F487" s="95">
        <v>1</v>
      </c>
      <c r="G487" s="95">
        <v>5</v>
      </c>
      <c r="I487" s="101">
        <f>22.74/16</f>
        <v>1.4212499999999999</v>
      </c>
      <c r="S487" s="95" t="s">
        <v>3526</v>
      </c>
      <c r="T487" s="4" t="s">
        <v>3543</v>
      </c>
      <c r="U487" s="95" t="s">
        <v>71</v>
      </c>
      <c r="V487" s="95" t="s">
        <v>71</v>
      </c>
      <c r="W487" s="95" t="s">
        <v>72</v>
      </c>
      <c r="X487" s="95" t="s">
        <v>71</v>
      </c>
      <c r="Y487" s="95" t="s">
        <v>72</v>
      </c>
      <c r="Z487" s="95" t="s">
        <v>71</v>
      </c>
      <c r="AA487" s="95" t="s">
        <v>72</v>
      </c>
      <c r="AB487" s="95" t="s">
        <v>72</v>
      </c>
      <c r="AC487" s="95" t="s">
        <v>72</v>
      </c>
      <c r="AD487" s="95" t="s">
        <v>72</v>
      </c>
      <c r="AE487" s="95" t="s">
        <v>71</v>
      </c>
      <c r="AF487" s="95" t="s">
        <v>72</v>
      </c>
      <c r="AG487" s="95" t="s">
        <v>71</v>
      </c>
      <c r="AH487" s="95" t="s">
        <v>71</v>
      </c>
      <c r="AI487" s="95" t="s">
        <v>71</v>
      </c>
      <c r="AK487" s="95" t="s">
        <v>71</v>
      </c>
    </row>
    <row r="488" spans="1:37" x14ac:dyDescent="0.2">
      <c r="A488" s="95" t="s">
        <v>65</v>
      </c>
      <c r="B488" s="95" t="s">
        <v>66</v>
      </c>
      <c r="C488" s="95" t="s">
        <v>86</v>
      </c>
      <c r="E488" s="95" t="s">
        <v>3524</v>
      </c>
      <c r="F488" s="95">
        <v>2</v>
      </c>
      <c r="G488" s="95">
        <v>10</v>
      </c>
      <c r="I488" s="101">
        <f>53.93/32</f>
        <v>1.6853125</v>
      </c>
      <c r="S488" s="95" t="s">
        <v>3526</v>
      </c>
      <c r="T488" s="4" t="s">
        <v>3544</v>
      </c>
      <c r="U488" s="95" t="s">
        <v>71</v>
      </c>
      <c r="V488" s="95" t="s">
        <v>71</v>
      </c>
      <c r="W488" s="95" t="s">
        <v>72</v>
      </c>
      <c r="X488" s="95" t="s">
        <v>71</v>
      </c>
      <c r="Y488" s="95" t="s">
        <v>72</v>
      </c>
      <c r="Z488" s="95" t="s">
        <v>71</v>
      </c>
      <c r="AA488" s="95" t="s">
        <v>72</v>
      </c>
      <c r="AB488" s="95" t="s">
        <v>72</v>
      </c>
      <c r="AC488" s="95" t="s">
        <v>72</v>
      </c>
      <c r="AD488" s="95" t="s">
        <v>72</v>
      </c>
      <c r="AE488" s="95" t="s">
        <v>71</v>
      </c>
      <c r="AF488" s="95" t="s">
        <v>72</v>
      </c>
      <c r="AG488" s="95" t="s">
        <v>71</v>
      </c>
      <c r="AH488" s="95" t="s">
        <v>71</v>
      </c>
      <c r="AI488" s="95" t="s">
        <v>71</v>
      </c>
      <c r="AK488" s="95" t="s">
        <v>71</v>
      </c>
    </row>
    <row r="489" spans="1:37" x14ac:dyDescent="0.2">
      <c r="A489" s="95" t="s">
        <v>65</v>
      </c>
      <c r="B489" s="95" t="s">
        <v>66</v>
      </c>
      <c r="C489" s="95" t="s">
        <v>86</v>
      </c>
      <c r="E489" s="95" t="s">
        <v>3524</v>
      </c>
      <c r="F489" s="95">
        <v>1.5</v>
      </c>
      <c r="G489" s="95">
        <v>7.5</v>
      </c>
      <c r="I489" s="101">
        <f>33.71/16</f>
        <v>2.1068750000000001</v>
      </c>
      <c r="S489" s="95" t="s">
        <v>3526</v>
      </c>
      <c r="T489" s="4" t="s">
        <v>3545</v>
      </c>
      <c r="U489" s="95" t="s">
        <v>71</v>
      </c>
      <c r="V489" s="95" t="s">
        <v>71</v>
      </c>
      <c r="W489" s="95" t="s">
        <v>72</v>
      </c>
      <c r="X489" s="95" t="s">
        <v>71</v>
      </c>
      <c r="Y489" s="95" t="s">
        <v>72</v>
      </c>
      <c r="Z489" s="95" t="s">
        <v>71</v>
      </c>
      <c r="AA489" s="95" t="s">
        <v>72</v>
      </c>
      <c r="AB489" s="95" t="s">
        <v>72</v>
      </c>
      <c r="AC489" s="95" t="s">
        <v>72</v>
      </c>
      <c r="AD489" s="95" t="s">
        <v>72</v>
      </c>
      <c r="AE489" s="95" t="s">
        <v>71</v>
      </c>
      <c r="AF489" s="95" t="s">
        <v>72</v>
      </c>
      <c r="AG489" s="95" t="s">
        <v>71</v>
      </c>
      <c r="AH489" s="95" t="s">
        <v>71</v>
      </c>
      <c r="AI489" s="95" t="s">
        <v>71</v>
      </c>
      <c r="AK489" s="95" t="s">
        <v>71</v>
      </c>
    </row>
    <row r="490" spans="1:37" x14ac:dyDescent="0.2">
      <c r="A490" s="95" t="s">
        <v>65</v>
      </c>
      <c r="B490" s="95" t="s">
        <v>66</v>
      </c>
      <c r="C490" s="95" t="s">
        <v>86</v>
      </c>
      <c r="E490" s="95" t="s">
        <v>3524</v>
      </c>
      <c r="F490" s="95">
        <v>3</v>
      </c>
      <c r="G490" s="95">
        <v>15</v>
      </c>
      <c r="I490" s="101">
        <f>80.89/32</f>
        <v>2.5278125</v>
      </c>
      <c r="S490" s="95" t="s">
        <v>3526</v>
      </c>
      <c r="T490" s="4" t="s">
        <v>3546</v>
      </c>
      <c r="U490" s="95" t="s">
        <v>71</v>
      </c>
      <c r="V490" s="95" t="s">
        <v>71</v>
      </c>
      <c r="W490" s="95" t="s">
        <v>72</v>
      </c>
      <c r="X490" s="95" t="s">
        <v>71</v>
      </c>
      <c r="Y490" s="95" t="s">
        <v>72</v>
      </c>
      <c r="Z490" s="95" t="s">
        <v>71</v>
      </c>
      <c r="AA490" s="95" t="s">
        <v>72</v>
      </c>
      <c r="AB490" s="95" t="s">
        <v>72</v>
      </c>
      <c r="AC490" s="95" t="s">
        <v>72</v>
      </c>
      <c r="AD490" s="95" t="s">
        <v>72</v>
      </c>
      <c r="AE490" s="95" t="s">
        <v>71</v>
      </c>
      <c r="AF490" s="95" t="s">
        <v>72</v>
      </c>
      <c r="AG490" s="95" t="s">
        <v>71</v>
      </c>
      <c r="AH490" s="95" t="s">
        <v>71</v>
      </c>
      <c r="AI490" s="95" t="s">
        <v>71</v>
      </c>
      <c r="AK490" s="95" t="s">
        <v>71</v>
      </c>
    </row>
    <row r="491" spans="1:37" x14ac:dyDescent="0.2">
      <c r="A491" s="95" t="s">
        <v>65</v>
      </c>
      <c r="B491" s="95" t="s">
        <v>66</v>
      </c>
      <c r="C491" s="95" t="s">
        <v>86</v>
      </c>
      <c r="E491" s="95" t="s">
        <v>3524</v>
      </c>
      <c r="F491" s="95">
        <v>1.5</v>
      </c>
      <c r="G491" s="95">
        <v>7.5</v>
      </c>
      <c r="I491" s="101">
        <f>40.45/32</f>
        <v>1.2640625000000001</v>
      </c>
      <c r="S491" s="95" t="s">
        <v>3526</v>
      </c>
      <c r="T491" s="4" t="s">
        <v>3547</v>
      </c>
      <c r="U491" s="95" t="s">
        <v>71</v>
      </c>
      <c r="V491" s="95" t="s">
        <v>71</v>
      </c>
      <c r="W491" s="95" t="s">
        <v>72</v>
      </c>
      <c r="X491" s="95" t="s">
        <v>71</v>
      </c>
      <c r="Y491" s="95" t="s">
        <v>72</v>
      </c>
      <c r="Z491" s="95" t="s">
        <v>71</v>
      </c>
      <c r="AA491" s="95" t="s">
        <v>72</v>
      </c>
      <c r="AB491" s="95" t="s">
        <v>72</v>
      </c>
      <c r="AC491" s="95" t="s">
        <v>72</v>
      </c>
      <c r="AD491" s="95" t="s">
        <v>72</v>
      </c>
      <c r="AE491" s="95" t="s">
        <v>71</v>
      </c>
      <c r="AF491" s="95" t="s">
        <v>72</v>
      </c>
      <c r="AG491" s="95" t="s">
        <v>71</v>
      </c>
      <c r="AH491" s="95" t="s">
        <v>71</v>
      </c>
      <c r="AI491" s="95" t="s">
        <v>71</v>
      </c>
      <c r="AK491" s="95" t="s">
        <v>71</v>
      </c>
    </row>
    <row r="492" spans="1:37" x14ac:dyDescent="0.2">
      <c r="A492" s="95" t="s">
        <v>65</v>
      </c>
      <c r="B492" s="95" t="s">
        <v>66</v>
      </c>
      <c r="C492" s="95" t="s">
        <v>86</v>
      </c>
      <c r="E492" s="95" t="s">
        <v>3524</v>
      </c>
      <c r="F492" s="95">
        <v>1.5</v>
      </c>
      <c r="G492" s="95">
        <v>7.5</v>
      </c>
      <c r="I492" s="101">
        <f>82/16</f>
        <v>5.125</v>
      </c>
      <c r="S492" s="95" t="s">
        <v>3526</v>
      </c>
      <c r="T492" s="4" t="s">
        <v>3548</v>
      </c>
      <c r="U492" s="95" t="s">
        <v>71</v>
      </c>
      <c r="V492" s="95" t="s">
        <v>71</v>
      </c>
      <c r="W492" s="95" t="s">
        <v>72</v>
      </c>
      <c r="X492" s="95" t="s">
        <v>71</v>
      </c>
      <c r="Y492" s="95" t="s">
        <v>72</v>
      </c>
      <c r="Z492" s="95" t="s">
        <v>71</v>
      </c>
      <c r="AA492" s="95" t="s">
        <v>72</v>
      </c>
      <c r="AB492" s="95" t="s">
        <v>72</v>
      </c>
      <c r="AC492" s="95" t="s">
        <v>72</v>
      </c>
      <c r="AD492" s="95" t="s">
        <v>72</v>
      </c>
      <c r="AE492" s="95" t="s">
        <v>71</v>
      </c>
      <c r="AF492" s="95" t="s">
        <v>72</v>
      </c>
      <c r="AG492" s="95" t="s">
        <v>71</v>
      </c>
      <c r="AH492" s="95" t="s">
        <v>71</v>
      </c>
      <c r="AI492" s="95" t="s">
        <v>71</v>
      </c>
      <c r="AK492" s="95" t="s">
        <v>71</v>
      </c>
    </row>
    <row r="493" spans="1:37" x14ac:dyDescent="0.2">
      <c r="A493" s="95" t="s">
        <v>65</v>
      </c>
      <c r="B493" s="95" t="s">
        <v>66</v>
      </c>
      <c r="C493" s="95" t="s">
        <v>86</v>
      </c>
      <c r="E493" s="95" t="s">
        <v>3524</v>
      </c>
      <c r="F493" s="95">
        <v>0.25</v>
      </c>
      <c r="G493" s="95">
        <v>1</v>
      </c>
      <c r="I493" s="101">
        <f>58.32/200</f>
        <v>0.29160000000000003</v>
      </c>
      <c r="S493" s="95" t="s">
        <v>3526</v>
      </c>
      <c r="T493" s="4" t="s">
        <v>3549</v>
      </c>
      <c r="U493" s="95" t="s">
        <v>71</v>
      </c>
      <c r="V493" s="95" t="s">
        <v>71</v>
      </c>
      <c r="W493" s="95" t="s">
        <v>72</v>
      </c>
      <c r="X493" s="95" t="s">
        <v>71</v>
      </c>
      <c r="Y493" s="95" t="s">
        <v>72</v>
      </c>
      <c r="Z493" s="95" t="s">
        <v>71</v>
      </c>
      <c r="AA493" s="95" t="s">
        <v>72</v>
      </c>
      <c r="AB493" s="95" t="s">
        <v>72</v>
      </c>
      <c r="AC493" s="95" t="s">
        <v>72</v>
      </c>
      <c r="AD493" s="95" t="s">
        <v>72</v>
      </c>
      <c r="AE493" s="95" t="s">
        <v>71</v>
      </c>
      <c r="AF493" s="95" t="s">
        <v>72</v>
      </c>
      <c r="AG493" s="95" t="s">
        <v>71</v>
      </c>
      <c r="AH493" s="95" t="s">
        <v>71</v>
      </c>
      <c r="AI493" s="95" t="s">
        <v>71</v>
      </c>
      <c r="AK493" s="95" t="s">
        <v>71</v>
      </c>
    </row>
    <row r="494" spans="1:37" x14ac:dyDescent="0.2">
      <c r="A494" s="95" t="s">
        <v>65</v>
      </c>
      <c r="B494" s="95" t="s">
        <v>66</v>
      </c>
      <c r="C494" s="95" t="s">
        <v>86</v>
      </c>
      <c r="E494" s="95" t="s">
        <v>3524</v>
      </c>
      <c r="F494" s="95">
        <v>1</v>
      </c>
      <c r="G494" s="95">
        <v>5</v>
      </c>
      <c r="I494" s="101">
        <f>26.96/32</f>
        <v>0.84250000000000003</v>
      </c>
      <c r="S494" s="95" t="s">
        <v>3526</v>
      </c>
      <c r="T494" s="4" t="s">
        <v>3550</v>
      </c>
      <c r="U494" s="95" t="s">
        <v>71</v>
      </c>
      <c r="V494" s="95" t="s">
        <v>71</v>
      </c>
      <c r="W494" s="95" t="s">
        <v>72</v>
      </c>
      <c r="X494" s="95" t="s">
        <v>71</v>
      </c>
      <c r="Y494" s="95" t="s">
        <v>72</v>
      </c>
      <c r="Z494" s="95" t="s">
        <v>71</v>
      </c>
      <c r="AA494" s="95" t="s">
        <v>72</v>
      </c>
      <c r="AB494" s="95" t="s">
        <v>72</v>
      </c>
      <c r="AC494" s="95" t="s">
        <v>72</v>
      </c>
      <c r="AD494" s="95" t="s">
        <v>72</v>
      </c>
      <c r="AE494" s="95" t="s">
        <v>71</v>
      </c>
      <c r="AF494" s="95" t="s">
        <v>72</v>
      </c>
      <c r="AG494" s="95" t="s">
        <v>71</v>
      </c>
      <c r="AH494" s="95" t="s">
        <v>71</v>
      </c>
      <c r="AI494" s="95" t="s">
        <v>71</v>
      </c>
      <c r="AK494" s="95" t="s">
        <v>71</v>
      </c>
    </row>
    <row r="495" spans="1:37" x14ac:dyDescent="0.2">
      <c r="A495" s="95" t="s">
        <v>65</v>
      </c>
      <c r="B495" s="95" t="s">
        <v>66</v>
      </c>
      <c r="C495" s="95" t="s">
        <v>86</v>
      </c>
      <c r="E495" s="95" t="s">
        <v>3524</v>
      </c>
      <c r="F495" s="95">
        <v>2</v>
      </c>
      <c r="G495" s="95">
        <v>10</v>
      </c>
      <c r="I495" s="101">
        <f>76.18/32</f>
        <v>2.3806250000000002</v>
      </c>
      <c r="S495" s="95" t="s">
        <v>3526</v>
      </c>
      <c r="T495" s="4" t="s">
        <v>3551</v>
      </c>
      <c r="U495" s="95" t="s">
        <v>71</v>
      </c>
      <c r="V495" s="95" t="s">
        <v>71</v>
      </c>
      <c r="W495" s="95" t="s">
        <v>72</v>
      </c>
      <c r="X495" s="95" t="s">
        <v>71</v>
      </c>
      <c r="Y495" s="95" t="s">
        <v>72</v>
      </c>
      <c r="Z495" s="95" t="s">
        <v>71</v>
      </c>
      <c r="AA495" s="95" t="s">
        <v>72</v>
      </c>
      <c r="AB495" s="95" t="s">
        <v>72</v>
      </c>
      <c r="AC495" s="95" t="s">
        <v>72</v>
      </c>
      <c r="AD495" s="95" t="s">
        <v>72</v>
      </c>
      <c r="AE495" s="95" t="s">
        <v>71</v>
      </c>
      <c r="AF495" s="95" t="s">
        <v>72</v>
      </c>
      <c r="AG495" s="95" t="s">
        <v>71</v>
      </c>
      <c r="AH495" s="95" t="s">
        <v>71</v>
      </c>
      <c r="AI495" s="95" t="s">
        <v>71</v>
      </c>
      <c r="AK495" s="95" t="s">
        <v>71</v>
      </c>
    </row>
    <row r="496" spans="1:37" x14ac:dyDescent="0.2">
      <c r="A496" s="95" t="s">
        <v>65</v>
      </c>
      <c r="B496" s="95" t="s">
        <v>66</v>
      </c>
      <c r="C496" s="95" t="s">
        <v>86</v>
      </c>
      <c r="E496" s="95" t="s">
        <v>3524</v>
      </c>
      <c r="F496" s="95">
        <v>1</v>
      </c>
      <c r="G496" s="95">
        <v>5</v>
      </c>
      <c r="I496" s="101">
        <f>26.96/32</f>
        <v>0.84250000000000003</v>
      </c>
      <c r="S496" s="95" t="s">
        <v>3526</v>
      </c>
      <c r="T496" s="95" t="s">
        <v>3552</v>
      </c>
      <c r="U496" s="95" t="s">
        <v>71</v>
      </c>
      <c r="V496" s="95" t="s">
        <v>71</v>
      </c>
      <c r="W496" s="95" t="s">
        <v>72</v>
      </c>
      <c r="X496" s="95" t="s">
        <v>71</v>
      </c>
      <c r="Y496" s="95" t="s">
        <v>72</v>
      </c>
      <c r="Z496" s="95" t="s">
        <v>71</v>
      </c>
      <c r="AA496" s="95" t="s">
        <v>72</v>
      </c>
      <c r="AB496" s="95" t="s">
        <v>72</v>
      </c>
      <c r="AC496" s="95" t="s">
        <v>72</v>
      </c>
      <c r="AD496" s="95" t="s">
        <v>72</v>
      </c>
      <c r="AE496" s="95" t="s">
        <v>71</v>
      </c>
      <c r="AF496" s="95" t="s">
        <v>72</v>
      </c>
      <c r="AG496" s="95" t="s">
        <v>71</v>
      </c>
      <c r="AH496" s="95" t="s">
        <v>71</v>
      </c>
      <c r="AI496" s="95" t="s">
        <v>71</v>
      </c>
      <c r="AK496" s="95" t="s">
        <v>71</v>
      </c>
    </row>
    <row r="497" spans="1:37" x14ac:dyDescent="0.2">
      <c r="A497" s="95" t="s">
        <v>65</v>
      </c>
      <c r="B497" s="95" t="s">
        <v>66</v>
      </c>
      <c r="C497" s="95" t="s">
        <v>86</v>
      </c>
      <c r="E497" s="95" t="s">
        <v>3440</v>
      </c>
      <c r="F497" s="95">
        <v>0.75</v>
      </c>
      <c r="G497" s="95">
        <v>3.75</v>
      </c>
      <c r="I497" s="101">
        <f>24.27/32</f>
        <v>0.75843749999999999</v>
      </c>
      <c r="S497" s="95" t="s">
        <v>3526</v>
      </c>
      <c r="T497" s="4" t="s">
        <v>3553</v>
      </c>
      <c r="U497" s="95" t="s">
        <v>71</v>
      </c>
      <c r="V497" s="95" t="s">
        <v>71</v>
      </c>
      <c r="W497" s="95" t="s">
        <v>72</v>
      </c>
      <c r="X497" s="95" t="s">
        <v>71</v>
      </c>
      <c r="Y497" s="95" t="s">
        <v>72</v>
      </c>
      <c r="Z497" s="95" t="s">
        <v>71</v>
      </c>
      <c r="AA497" s="95" t="s">
        <v>72</v>
      </c>
      <c r="AB497" s="95" t="s">
        <v>72</v>
      </c>
      <c r="AC497" s="95" t="s">
        <v>72</v>
      </c>
      <c r="AD497" s="95" t="s">
        <v>72</v>
      </c>
      <c r="AE497" s="95" t="s">
        <v>71</v>
      </c>
      <c r="AF497" s="95" t="s">
        <v>72</v>
      </c>
      <c r="AG497" s="95" t="s">
        <v>71</v>
      </c>
      <c r="AH497" s="95" t="s">
        <v>71</v>
      </c>
      <c r="AI497" s="95" t="s">
        <v>71</v>
      </c>
      <c r="AK497" s="95" t="s">
        <v>71</v>
      </c>
    </row>
    <row r="498" spans="1:37" x14ac:dyDescent="0.2">
      <c r="A498" s="95" t="s">
        <v>65</v>
      </c>
      <c r="B498" s="95" t="s">
        <v>66</v>
      </c>
      <c r="C498" s="95" t="s">
        <v>86</v>
      </c>
      <c r="E498" s="95" t="s">
        <v>3524</v>
      </c>
      <c r="F498" s="95">
        <v>0.75</v>
      </c>
      <c r="G498" s="95">
        <v>3.75</v>
      </c>
      <c r="I498" s="101">
        <f>24.27/32</f>
        <v>0.75843749999999999</v>
      </c>
      <c r="S498" s="95" t="s">
        <v>3526</v>
      </c>
      <c r="T498" s="4" t="s">
        <v>3554</v>
      </c>
      <c r="U498" s="95" t="s">
        <v>71</v>
      </c>
      <c r="V498" s="95" t="s">
        <v>71</v>
      </c>
      <c r="W498" s="95" t="s">
        <v>72</v>
      </c>
      <c r="X498" s="95" t="s">
        <v>71</v>
      </c>
      <c r="Y498" s="95" t="s">
        <v>72</v>
      </c>
      <c r="Z498" s="95" t="s">
        <v>71</v>
      </c>
      <c r="AA498" s="95" t="s">
        <v>72</v>
      </c>
      <c r="AB498" s="95" t="s">
        <v>72</v>
      </c>
      <c r="AC498" s="95" t="s">
        <v>72</v>
      </c>
      <c r="AD498" s="95" t="s">
        <v>72</v>
      </c>
      <c r="AE498" s="95" t="s">
        <v>71</v>
      </c>
      <c r="AF498" s="95" t="s">
        <v>72</v>
      </c>
      <c r="AG498" s="95" t="s">
        <v>71</v>
      </c>
      <c r="AH498" s="95" t="s">
        <v>71</v>
      </c>
      <c r="AI498" s="95" t="s">
        <v>71</v>
      </c>
      <c r="AK498" s="95" t="s">
        <v>71</v>
      </c>
    </row>
    <row r="499" spans="1:37" x14ac:dyDescent="0.2">
      <c r="A499" s="95" t="s">
        <v>65</v>
      </c>
      <c r="B499" s="95" t="s">
        <v>66</v>
      </c>
      <c r="C499" s="95" t="s">
        <v>86</v>
      </c>
      <c r="E499" s="95" t="s">
        <v>3524</v>
      </c>
      <c r="F499" s="95">
        <v>3</v>
      </c>
      <c r="G499" s="95">
        <v>15</v>
      </c>
      <c r="I499" s="101">
        <f>62.53/16</f>
        <v>3.9081250000000001</v>
      </c>
      <c r="S499" s="95" t="s">
        <v>3526</v>
      </c>
      <c r="T499" s="4" t="s">
        <v>3555</v>
      </c>
      <c r="U499" s="95" t="s">
        <v>71</v>
      </c>
      <c r="V499" s="95" t="s">
        <v>71</v>
      </c>
      <c r="W499" s="95" t="s">
        <v>72</v>
      </c>
      <c r="X499" s="95" t="s">
        <v>71</v>
      </c>
      <c r="Y499" s="95" t="s">
        <v>72</v>
      </c>
      <c r="Z499" s="95" t="s">
        <v>71</v>
      </c>
      <c r="AA499" s="95" t="s">
        <v>72</v>
      </c>
      <c r="AB499" s="95" t="s">
        <v>72</v>
      </c>
      <c r="AC499" s="95" t="s">
        <v>72</v>
      </c>
      <c r="AD499" s="95" t="s">
        <v>72</v>
      </c>
      <c r="AE499" s="95" t="s">
        <v>71</v>
      </c>
      <c r="AF499" s="95" t="s">
        <v>72</v>
      </c>
      <c r="AG499" s="95" t="s">
        <v>71</v>
      </c>
      <c r="AH499" s="95" t="s">
        <v>71</v>
      </c>
      <c r="AI499" s="95" t="s">
        <v>71</v>
      </c>
      <c r="AK499" s="95" t="s">
        <v>71</v>
      </c>
    </row>
    <row r="500" spans="1:37" x14ac:dyDescent="0.2">
      <c r="A500" s="95" t="s">
        <v>65</v>
      </c>
      <c r="B500" s="95" t="s">
        <v>66</v>
      </c>
      <c r="C500" s="95" t="s">
        <v>86</v>
      </c>
      <c r="E500" s="95" t="s">
        <v>3524</v>
      </c>
      <c r="F500" s="95">
        <v>2.5</v>
      </c>
      <c r="G500" s="95">
        <v>12.5</v>
      </c>
      <c r="I500" s="101">
        <f>67.41/32</f>
        <v>2.1065624999999999</v>
      </c>
      <c r="S500" s="95" t="s">
        <v>3526</v>
      </c>
      <c r="T500" s="4" t="s">
        <v>3556</v>
      </c>
      <c r="U500" s="95" t="s">
        <v>71</v>
      </c>
      <c r="V500" s="95" t="s">
        <v>71</v>
      </c>
      <c r="W500" s="95" t="s">
        <v>72</v>
      </c>
      <c r="X500" s="95" t="s">
        <v>71</v>
      </c>
      <c r="Y500" s="95" t="s">
        <v>72</v>
      </c>
      <c r="Z500" s="95" t="s">
        <v>71</v>
      </c>
      <c r="AA500" s="95" t="s">
        <v>72</v>
      </c>
      <c r="AB500" s="95" t="s">
        <v>72</v>
      </c>
      <c r="AC500" s="95" t="s">
        <v>72</v>
      </c>
      <c r="AD500" s="95" t="s">
        <v>72</v>
      </c>
      <c r="AE500" s="95" t="s">
        <v>71</v>
      </c>
      <c r="AF500" s="95" t="s">
        <v>72</v>
      </c>
      <c r="AG500" s="95" t="s">
        <v>71</v>
      </c>
      <c r="AH500" s="95" t="s">
        <v>71</v>
      </c>
      <c r="AI500" s="95" t="s">
        <v>71</v>
      </c>
      <c r="AK500" s="95" t="s">
        <v>71</v>
      </c>
    </row>
    <row r="501" spans="1:37" x14ac:dyDescent="0.2">
      <c r="A501" s="95" t="s">
        <v>65</v>
      </c>
      <c r="B501" s="95" t="s">
        <v>3557</v>
      </c>
      <c r="C501" s="95" t="s">
        <v>86</v>
      </c>
      <c r="E501" s="95" t="s">
        <v>3524</v>
      </c>
      <c r="F501" s="95">
        <v>0.5</v>
      </c>
      <c r="G501" s="95">
        <v>3</v>
      </c>
      <c r="I501" s="101">
        <f>22.91/32</f>
        <v>0.7159375</v>
      </c>
      <c r="S501" s="95" t="s">
        <v>3526</v>
      </c>
      <c r="T501" s="4" t="s">
        <v>3558</v>
      </c>
      <c r="U501" s="95" t="s">
        <v>71</v>
      </c>
      <c r="V501" s="95" t="s">
        <v>71</v>
      </c>
      <c r="W501" s="95" t="s">
        <v>72</v>
      </c>
      <c r="X501" s="95" t="s">
        <v>71</v>
      </c>
      <c r="Y501" s="95" t="s">
        <v>72</v>
      </c>
      <c r="Z501" s="95" t="s">
        <v>71</v>
      </c>
      <c r="AA501" s="95" t="s">
        <v>72</v>
      </c>
      <c r="AB501" s="95" t="s">
        <v>72</v>
      </c>
      <c r="AC501" s="95" t="s">
        <v>72</v>
      </c>
      <c r="AD501" s="95" t="s">
        <v>72</v>
      </c>
      <c r="AE501" s="95" t="s">
        <v>71</v>
      </c>
      <c r="AF501" s="95" t="s">
        <v>72</v>
      </c>
      <c r="AG501" s="95" t="s">
        <v>71</v>
      </c>
      <c r="AH501" s="95" t="s">
        <v>71</v>
      </c>
      <c r="AI501" s="95" t="s">
        <v>71</v>
      </c>
      <c r="AK501" s="95" t="s">
        <v>71</v>
      </c>
    </row>
    <row r="502" spans="1:37" x14ac:dyDescent="0.2">
      <c r="A502" s="95" t="s">
        <v>65</v>
      </c>
      <c r="B502" s="95" t="s">
        <v>66</v>
      </c>
      <c r="C502" s="95" t="s">
        <v>86</v>
      </c>
      <c r="E502" s="95" t="s">
        <v>3524</v>
      </c>
      <c r="F502" s="95">
        <v>0.5</v>
      </c>
      <c r="G502" s="95">
        <v>3</v>
      </c>
      <c r="I502" s="101">
        <f>22.03/32</f>
        <v>0.68843750000000004</v>
      </c>
      <c r="S502" s="95" t="s">
        <v>3526</v>
      </c>
      <c r="T502" s="4" t="s">
        <v>3559</v>
      </c>
      <c r="U502" s="95" t="s">
        <v>71</v>
      </c>
      <c r="V502" s="95" t="s">
        <v>71</v>
      </c>
      <c r="W502" s="95" t="s">
        <v>72</v>
      </c>
      <c r="X502" s="95" t="s">
        <v>71</v>
      </c>
      <c r="Y502" s="95" t="s">
        <v>72</v>
      </c>
      <c r="Z502" s="95" t="s">
        <v>71</v>
      </c>
      <c r="AA502" s="95" t="s">
        <v>72</v>
      </c>
      <c r="AB502" s="95" t="s">
        <v>72</v>
      </c>
      <c r="AC502" s="95" t="s">
        <v>72</v>
      </c>
      <c r="AD502" s="95" t="s">
        <v>72</v>
      </c>
      <c r="AE502" s="95" t="s">
        <v>71</v>
      </c>
      <c r="AF502" s="95" t="s">
        <v>72</v>
      </c>
      <c r="AG502" s="95" t="s">
        <v>71</v>
      </c>
      <c r="AH502" s="95" t="s">
        <v>71</v>
      </c>
      <c r="AI502" s="95" t="s">
        <v>71</v>
      </c>
      <c r="AK502" s="95" t="s">
        <v>71</v>
      </c>
    </row>
    <row r="503" spans="1:37" x14ac:dyDescent="0.2">
      <c r="A503" s="95" t="s">
        <v>65</v>
      </c>
      <c r="B503" s="95" t="s">
        <v>66</v>
      </c>
      <c r="C503" s="95" t="s">
        <v>86</v>
      </c>
      <c r="E503" s="95" t="s">
        <v>3524</v>
      </c>
      <c r="F503" s="95">
        <v>1.5</v>
      </c>
      <c r="G503" s="95">
        <v>7.5</v>
      </c>
      <c r="I503" s="101">
        <f>40.45/32</f>
        <v>1.2640625000000001</v>
      </c>
      <c r="S503" s="95" t="s">
        <v>3526</v>
      </c>
      <c r="T503" s="4" t="s">
        <v>3560</v>
      </c>
      <c r="U503" s="95" t="s">
        <v>71</v>
      </c>
      <c r="V503" s="95" t="s">
        <v>71</v>
      </c>
      <c r="W503" s="95" t="s">
        <v>72</v>
      </c>
      <c r="X503" s="95" t="s">
        <v>71</v>
      </c>
      <c r="Y503" s="95" t="s">
        <v>72</v>
      </c>
      <c r="Z503" s="95" t="s">
        <v>71</v>
      </c>
      <c r="AA503" s="95" t="s">
        <v>72</v>
      </c>
      <c r="AB503" s="95" t="s">
        <v>72</v>
      </c>
      <c r="AC503" s="95" t="s">
        <v>72</v>
      </c>
      <c r="AD503" s="95" t="s">
        <v>72</v>
      </c>
      <c r="AE503" s="95" t="s">
        <v>71</v>
      </c>
      <c r="AF503" s="95" t="s">
        <v>72</v>
      </c>
      <c r="AG503" s="95" t="s">
        <v>71</v>
      </c>
      <c r="AH503" s="95" t="s">
        <v>71</v>
      </c>
      <c r="AI503" s="95" t="s">
        <v>71</v>
      </c>
      <c r="AK503" s="95" t="s">
        <v>71</v>
      </c>
    </row>
    <row r="504" spans="1:37" x14ac:dyDescent="0.2">
      <c r="A504" s="95" t="s">
        <v>65</v>
      </c>
      <c r="B504" s="95" t="s">
        <v>66</v>
      </c>
      <c r="C504" s="95" t="s">
        <v>86</v>
      </c>
      <c r="F504" s="95">
        <v>1</v>
      </c>
      <c r="G504" s="95">
        <v>5</v>
      </c>
      <c r="I504" s="101">
        <f>43.67/32</f>
        <v>1.3646875000000001</v>
      </c>
      <c r="S504" s="95" t="s">
        <v>3561</v>
      </c>
      <c r="T504" s="4" t="s">
        <v>3562</v>
      </c>
      <c r="U504" s="95" t="s">
        <v>71</v>
      </c>
      <c r="V504" s="95" t="s">
        <v>71</v>
      </c>
      <c r="W504" s="95" t="s">
        <v>72</v>
      </c>
      <c r="X504" s="95" t="s">
        <v>71</v>
      </c>
      <c r="Y504" s="95" t="s">
        <v>72</v>
      </c>
      <c r="Z504" s="95" t="s">
        <v>71</v>
      </c>
      <c r="AA504" s="95" t="s">
        <v>72</v>
      </c>
      <c r="AB504" s="95" t="s">
        <v>72</v>
      </c>
      <c r="AC504" s="95" t="s">
        <v>72</v>
      </c>
      <c r="AD504" s="95" t="s">
        <v>72</v>
      </c>
      <c r="AE504" s="95" t="s">
        <v>71</v>
      </c>
      <c r="AF504" s="95" t="s">
        <v>72</v>
      </c>
      <c r="AG504" s="95" t="s">
        <v>71</v>
      </c>
      <c r="AH504" s="95" t="s">
        <v>71</v>
      </c>
      <c r="AI504" s="95" t="s">
        <v>71</v>
      </c>
      <c r="AK504" s="95" t="s">
        <v>71</v>
      </c>
    </row>
    <row r="505" spans="1:37" x14ac:dyDescent="0.2">
      <c r="A505" s="95" t="s">
        <v>65</v>
      </c>
      <c r="B505" s="95" t="s">
        <v>66</v>
      </c>
      <c r="C505" s="95" t="s">
        <v>86</v>
      </c>
      <c r="F505" s="95">
        <v>1.5</v>
      </c>
      <c r="G505" s="95">
        <v>7.5</v>
      </c>
      <c r="I505" s="101">
        <f>65.51/32</f>
        <v>2.0471875000000002</v>
      </c>
      <c r="S505" s="95" t="s">
        <v>3526</v>
      </c>
      <c r="T505" s="4" t="s">
        <v>3562</v>
      </c>
      <c r="U505" s="95" t="s">
        <v>71</v>
      </c>
      <c r="V505" s="95" t="s">
        <v>71</v>
      </c>
      <c r="W505" s="95" t="s">
        <v>72</v>
      </c>
      <c r="X505" s="95" t="s">
        <v>71</v>
      </c>
      <c r="Y505" s="95" t="s">
        <v>72</v>
      </c>
      <c r="Z505" s="95" t="s">
        <v>71</v>
      </c>
      <c r="AA505" s="95" t="s">
        <v>72</v>
      </c>
      <c r="AB505" s="95" t="s">
        <v>72</v>
      </c>
      <c r="AC505" s="95" t="s">
        <v>72</v>
      </c>
      <c r="AD505" s="95" t="s">
        <v>72</v>
      </c>
      <c r="AE505" s="95" t="s">
        <v>71</v>
      </c>
      <c r="AF505" s="95" t="s">
        <v>72</v>
      </c>
      <c r="AG505" s="95" t="s">
        <v>71</v>
      </c>
      <c r="AH505" s="95" t="s">
        <v>71</v>
      </c>
      <c r="AI505" s="95" t="s">
        <v>71</v>
      </c>
      <c r="AK505" s="95" t="s">
        <v>71</v>
      </c>
    </row>
    <row r="506" spans="1:37" x14ac:dyDescent="0.2">
      <c r="A506" s="95" t="s">
        <v>65</v>
      </c>
      <c r="B506" s="95" t="s">
        <v>66</v>
      </c>
      <c r="C506" s="95" t="s">
        <v>86</v>
      </c>
      <c r="F506" s="95">
        <v>2</v>
      </c>
      <c r="G506" s="95">
        <v>10</v>
      </c>
      <c r="I506" s="101">
        <f>87.35/32</f>
        <v>2.7296874999999998</v>
      </c>
      <c r="S506" s="95" t="s">
        <v>3526</v>
      </c>
      <c r="T506" s="4" t="s">
        <v>3562</v>
      </c>
      <c r="U506" s="95" t="s">
        <v>71</v>
      </c>
      <c r="V506" s="95" t="s">
        <v>71</v>
      </c>
      <c r="W506" s="95" t="s">
        <v>72</v>
      </c>
      <c r="X506" s="95" t="s">
        <v>71</v>
      </c>
      <c r="Y506" s="95" t="s">
        <v>72</v>
      </c>
      <c r="Z506" s="95" t="s">
        <v>71</v>
      </c>
      <c r="AA506" s="95" t="s">
        <v>72</v>
      </c>
      <c r="AB506" s="95" t="s">
        <v>72</v>
      </c>
      <c r="AC506" s="95" t="s">
        <v>72</v>
      </c>
      <c r="AD506" s="95" t="s">
        <v>72</v>
      </c>
      <c r="AE506" s="95" t="s">
        <v>71</v>
      </c>
      <c r="AF506" s="95" t="s">
        <v>72</v>
      </c>
      <c r="AG506" s="95" t="s">
        <v>71</v>
      </c>
      <c r="AH506" s="95" t="s">
        <v>71</v>
      </c>
      <c r="AI506" s="95" t="s">
        <v>71</v>
      </c>
      <c r="AK506" s="95" t="s">
        <v>71</v>
      </c>
    </row>
    <row r="507" spans="1:37" x14ac:dyDescent="0.2">
      <c r="A507" s="95" t="s">
        <v>65</v>
      </c>
      <c r="B507" s="95" t="s">
        <v>66</v>
      </c>
      <c r="C507" s="95" t="s">
        <v>86</v>
      </c>
      <c r="F507" s="95">
        <v>2.5</v>
      </c>
      <c r="G507" s="95">
        <v>12.5</v>
      </c>
      <c r="I507" s="101">
        <f>109.19/32</f>
        <v>3.4121874999999999</v>
      </c>
      <c r="S507" s="95" t="s">
        <v>3526</v>
      </c>
      <c r="T507" s="4" t="s">
        <v>3562</v>
      </c>
      <c r="U507" s="95" t="s">
        <v>71</v>
      </c>
      <c r="V507" s="95" t="s">
        <v>71</v>
      </c>
      <c r="W507" s="95" t="s">
        <v>72</v>
      </c>
      <c r="X507" s="95" t="s">
        <v>71</v>
      </c>
      <c r="Y507" s="95" t="s">
        <v>72</v>
      </c>
      <c r="Z507" s="95" t="s">
        <v>71</v>
      </c>
      <c r="AA507" s="95" t="s">
        <v>72</v>
      </c>
      <c r="AB507" s="95" t="s">
        <v>72</v>
      </c>
      <c r="AC507" s="95" t="s">
        <v>72</v>
      </c>
      <c r="AD507" s="95" t="s">
        <v>72</v>
      </c>
      <c r="AE507" s="95" t="s">
        <v>71</v>
      </c>
      <c r="AF507" s="95" t="s">
        <v>72</v>
      </c>
      <c r="AG507" s="95" t="s">
        <v>71</v>
      </c>
      <c r="AH507" s="95" t="s">
        <v>71</v>
      </c>
      <c r="AI507" s="95" t="s">
        <v>71</v>
      </c>
      <c r="AK507" s="95" t="s">
        <v>71</v>
      </c>
    </row>
    <row r="508" spans="1:37" x14ac:dyDescent="0.2">
      <c r="A508" s="95" t="s">
        <v>65</v>
      </c>
      <c r="B508" s="95" t="s">
        <v>66</v>
      </c>
      <c r="C508" s="95" t="s">
        <v>86</v>
      </c>
      <c r="F508" s="95">
        <v>3</v>
      </c>
      <c r="G508" s="95">
        <v>15</v>
      </c>
      <c r="I508" s="101">
        <f>131.03/32</f>
        <v>4.0946875</v>
      </c>
      <c r="S508" s="95" t="s">
        <v>3526</v>
      </c>
      <c r="T508" s="4" t="s">
        <v>3562</v>
      </c>
      <c r="U508" s="95" t="s">
        <v>71</v>
      </c>
      <c r="V508" s="95" t="s">
        <v>71</v>
      </c>
      <c r="W508" s="95" t="s">
        <v>72</v>
      </c>
      <c r="X508" s="95" t="s">
        <v>71</v>
      </c>
      <c r="Y508" s="95" t="s">
        <v>72</v>
      </c>
      <c r="Z508" s="95" t="s">
        <v>71</v>
      </c>
      <c r="AA508" s="95" t="s">
        <v>72</v>
      </c>
      <c r="AB508" s="95" t="s">
        <v>72</v>
      </c>
      <c r="AC508" s="95" t="s">
        <v>72</v>
      </c>
      <c r="AD508" s="95" t="s">
        <v>72</v>
      </c>
      <c r="AE508" s="95" t="s">
        <v>71</v>
      </c>
      <c r="AF508" s="95" t="s">
        <v>72</v>
      </c>
      <c r="AG508" s="95" t="s">
        <v>71</v>
      </c>
      <c r="AH508" s="95" t="s">
        <v>71</v>
      </c>
      <c r="AI508" s="95" t="s">
        <v>71</v>
      </c>
      <c r="AK508" s="95" t="s">
        <v>71</v>
      </c>
    </row>
    <row r="509" spans="1:37" x14ac:dyDescent="0.2">
      <c r="A509" s="95" t="s">
        <v>65</v>
      </c>
      <c r="B509" s="95" t="s">
        <v>66</v>
      </c>
      <c r="C509" s="95" t="s">
        <v>86</v>
      </c>
      <c r="F509" s="95">
        <v>0.56000000000000005</v>
      </c>
      <c r="G509" s="95">
        <v>5</v>
      </c>
      <c r="I509" s="101">
        <f>4714/32/160</f>
        <v>0.92070312499999996</v>
      </c>
      <c r="S509" s="95" t="s">
        <v>3526</v>
      </c>
      <c r="T509" s="4" t="s">
        <v>3563</v>
      </c>
      <c r="U509" s="95" t="s">
        <v>71</v>
      </c>
      <c r="V509" s="95" t="s">
        <v>71</v>
      </c>
      <c r="W509" s="95" t="s">
        <v>72</v>
      </c>
      <c r="X509" s="95" t="s">
        <v>71</v>
      </c>
      <c r="Y509" s="95" t="s">
        <v>72</v>
      </c>
      <c r="Z509" s="95" t="s">
        <v>71</v>
      </c>
      <c r="AA509" s="95" t="s">
        <v>72</v>
      </c>
      <c r="AB509" s="95" t="s">
        <v>72</v>
      </c>
      <c r="AC509" s="95" t="s">
        <v>72</v>
      </c>
      <c r="AD509" s="95" t="s">
        <v>72</v>
      </c>
      <c r="AE509" s="95" t="s">
        <v>71</v>
      </c>
      <c r="AF509" s="95" t="s">
        <v>72</v>
      </c>
      <c r="AG509" s="95" t="s">
        <v>71</v>
      </c>
      <c r="AH509" s="95" t="s">
        <v>71</v>
      </c>
      <c r="AI509" s="95" t="s">
        <v>71</v>
      </c>
      <c r="AK509" s="95" t="s">
        <v>71</v>
      </c>
    </row>
    <row r="510" spans="1:37" x14ac:dyDescent="0.2">
      <c r="A510" s="95" t="s">
        <v>65</v>
      </c>
      <c r="B510" s="95" t="s">
        <v>66</v>
      </c>
      <c r="C510" s="95" t="s">
        <v>86</v>
      </c>
      <c r="F510" s="249">
        <v>1.5</v>
      </c>
      <c r="G510" s="95">
        <v>7.5</v>
      </c>
      <c r="I510" s="101">
        <f>60/32</f>
        <v>1.875</v>
      </c>
      <c r="S510" s="95" t="s">
        <v>3564</v>
      </c>
      <c r="T510" s="4" t="s">
        <v>3565</v>
      </c>
      <c r="U510" s="95" t="s">
        <v>71</v>
      </c>
      <c r="V510" s="95" t="s">
        <v>71</v>
      </c>
      <c r="W510" s="95" t="s">
        <v>72</v>
      </c>
      <c r="X510" s="95" t="s">
        <v>71</v>
      </c>
      <c r="Y510" s="95" t="s">
        <v>72</v>
      </c>
      <c r="Z510" s="95" t="s">
        <v>71</v>
      </c>
      <c r="AA510" s="95" t="s">
        <v>72</v>
      </c>
      <c r="AB510" s="95" t="s">
        <v>72</v>
      </c>
      <c r="AC510" s="95" t="s">
        <v>72</v>
      </c>
      <c r="AD510" s="95" t="s">
        <v>72</v>
      </c>
      <c r="AE510" s="95" t="s">
        <v>71</v>
      </c>
      <c r="AF510" s="95" t="s">
        <v>72</v>
      </c>
      <c r="AG510" s="95" t="s">
        <v>71</v>
      </c>
      <c r="AH510" s="95" t="s">
        <v>71</v>
      </c>
      <c r="AI510" s="95" t="s">
        <v>71</v>
      </c>
      <c r="AK510" s="95" t="s">
        <v>71</v>
      </c>
    </row>
    <row r="511" spans="1:37" x14ac:dyDescent="0.2">
      <c r="A511" s="95" t="s">
        <v>65</v>
      </c>
      <c r="B511" s="95" t="s">
        <v>66</v>
      </c>
      <c r="C511" s="95" t="s">
        <v>86</v>
      </c>
      <c r="F511" s="95">
        <v>1</v>
      </c>
      <c r="G511" s="95">
        <v>5</v>
      </c>
      <c r="I511" s="95">
        <f>20.848/16</f>
        <v>1.3029999999999999</v>
      </c>
      <c r="S511" s="95" t="s">
        <v>3564</v>
      </c>
      <c r="T511" s="4" t="s">
        <v>3566</v>
      </c>
      <c r="U511" s="95" t="s">
        <v>71</v>
      </c>
      <c r="V511" s="95" t="s">
        <v>71</v>
      </c>
      <c r="W511" s="95" t="s">
        <v>72</v>
      </c>
      <c r="X511" s="95" t="s">
        <v>71</v>
      </c>
      <c r="Y511" s="95" t="s">
        <v>72</v>
      </c>
      <c r="Z511" s="95" t="s">
        <v>71</v>
      </c>
      <c r="AA511" s="95" t="s">
        <v>72</v>
      </c>
      <c r="AB511" s="95" t="s">
        <v>72</v>
      </c>
      <c r="AC511" s="95" t="s">
        <v>72</v>
      </c>
      <c r="AD511" s="95" t="s">
        <v>72</v>
      </c>
      <c r="AE511" s="95" t="s">
        <v>71</v>
      </c>
      <c r="AF511" s="95" t="s">
        <v>72</v>
      </c>
      <c r="AG511" s="95" t="s">
        <v>71</v>
      </c>
      <c r="AH511" s="95" t="s">
        <v>71</v>
      </c>
      <c r="AI511" s="95" t="s">
        <v>71</v>
      </c>
      <c r="AK511" s="95" t="s">
        <v>71</v>
      </c>
    </row>
    <row r="512" spans="1:37" x14ac:dyDescent="0.2">
      <c r="A512" s="95" t="s">
        <v>65</v>
      </c>
      <c r="B512" s="95" t="s">
        <v>66</v>
      </c>
      <c r="C512" s="95" t="s">
        <v>86</v>
      </c>
      <c r="F512" s="95">
        <v>2</v>
      </c>
      <c r="G512" s="95">
        <v>10</v>
      </c>
      <c r="I512" s="95">
        <f>76.8/32</f>
        <v>2.4</v>
      </c>
      <c r="S512" s="95" t="s">
        <v>3564</v>
      </c>
      <c r="T512" s="4" t="s">
        <v>3567</v>
      </c>
      <c r="U512" s="95" t="s">
        <v>71</v>
      </c>
      <c r="V512" s="95" t="s">
        <v>71</v>
      </c>
      <c r="W512" s="95" t="s">
        <v>72</v>
      </c>
      <c r="X512" s="95" t="s">
        <v>71</v>
      </c>
      <c r="Y512" s="95" t="s">
        <v>72</v>
      </c>
      <c r="Z512" s="95" t="s">
        <v>71</v>
      </c>
      <c r="AA512" s="95" t="s">
        <v>72</v>
      </c>
      <c r="AB512" s="95" t="s">
        <v>72</v>
      </c>
      <c r="AC512" s="95" t="s">
        <v>72</v>
      </c>
      <c r="AD512" s="95" t="s">
        <v>72</v>
      </c>
      <c r="AE512" s="95" t="s">
        <v>71</v>
      </c>
      <c r="AF512" s="95" t="s">
        <v>72</v>
      </c>
      <c r="AG512" s="95" t="s">
        <v>71</v>
      </c>
      <c r="AH512" s="95" t="s">
        <v>71</v>
      </c>
      <c r="AI512" s="95" t="s">
        <v>71</v>
      </c>
      <c r="AK512" s="95" t="s">
        <v>71</v>
      </c>
    </row>
    <row r="513" spans="1:37" x14ac:dyDescent="0.2">
      <c r="A513" s="95" t="s">
        <v>65</v>
      </c>
      <c r="B513" s="95" t="s">
        <v>66</v>
      </c>
      <c r="C513" s="95" t="s">
        <v>86</v>
      </c>
      <c r="F513" s="95">
        <v>2</v>
      </c>
      <c r="G513" s="95">
        <v>10</v>
      </c>
      <c r="I513" s="95">
        <f>41.68/16</f>
        <v>2.605</v>
      </c>
      <c r="S513" s="95" t="s">
        <v>3564</v>
      </c>
      <c r="T513" s="4" t="s">
        <v>3568</v>
      </c>
      <c r="U513" s="95" t="s">
        <v>71</v>
      </c>
      <c r="V513" s="95" t="s">
        <v>71</v>
      </c>
      <c r="W513" s="95" t="s">
        <v>72</v>
      </c>
      <c r="X513" s="95" t="s">
        <v>71</v>
      </c>
      <c r="Y513" s="95" t="s">
        <v>72</v>
      </c>
      <c r="Z513" s="95" t="s">
        <v>71</v>
      </c>
      <c r="AA513" s="95" t="s">
        <v>72</v>
      </c>
      <c r="AB513" s="95" t="s">
        <v>72</v>
      </c>
      <c r="AC513" s="95" t="s">
        <v>72</v>
      </c>
      <c r="AD513" s="95" t="s">
        <v>72</v>
      </c>
      <c r="AE513" s="95" t="s">
        <v>71</v>
      </c>
      <c r="AF513" s="95" t="s">
        <v>72</v>
      </c>
      <c r="AG513" s="95" t="s">
        <v>71</v>
      </c>
      <c r="AH513" s="95" t="s">
        <v>71</v>
      </c>
      <c r="AI513" s="95" t="s">
        <v>71</v>
      </c>
      <c r="AK513" s="95" t="s">
        <v>71</v>
      </c>
    </row>
    <row r="514" spans="1:37" x14ac:dyDescent="0.2">
      <c r="A514" s="95" t="s">
        <v>65</v>
      </c>
      <c r="B514" s="95" t="s">
        <v>69</v>
      </c>
      <c r="C514" s="95" t="s">
        <v>85</v>
      </c>
      <c r="F514" s="95">
        <v>0.59</v>
      </c>
      <c r="G514" s="95">
        <v>3</v>
      </c>
      <c r="H514" s="250"/>
      <c r="I514" s="101">
        <f>21.63/32</f>
        <v>0.67593749999999997</v>
      </c>
      <c r="Q514" s="95" t="s">
        <v>4590</v>
      </c>
      <c r="S514" s="95" t="s">
        <v>3526</v>
      </c>
      <c r="T514" s="4" t="s">
        <v>4591</v>
      </c>
      <c r="U514" s="95" t="s">
        <v>71</v>
      </c>
      <c r="V514" s="95" t="s">
        <v>71</v>
      </c>
      <c r="W514" s="95" t="s">
        <v>72</v>
      </c>
      <c r="X514" s="95" t="s">
        <v>71</v>
      </c>
      <c r="Y514" s="95" t="s">
        <v>72</v>
      </c>
      <c r="Z514" s="95" t="s">
        <v>71</v>
      </c>
      <c r="AA514" s="95" t="s">
        <v>72</v>
      </c>
      <c r="AB514" s="95" t="s">
        <v>72</v>
      </c>
      <c r="AC514" s="95" t="s">
        <v>72</v>
      </c>
      <c r="AD514" s="95" t="s">
        <v>72</v>
      </c>
      <c r="AE514" s="95" t="s">
        <v>71</v>
      </c>
      <c r="AF514" s="95" t="s">
        <v>72</v>
      </c>
      <c r="AG514" s="95" t="s">
        <v>71</v>
      </c>
      <c r="AH514" s="95" t="s">
        <v>71</v>
      </c>
      <c r="AI514" s="95" t="s">
        <v>71</v>
      </c>
      <c r="AK514" s="95" t="s">
        <v>71</v>
      </c>
    </row>
    <row r="515" spans="1:37" x14ac:dyDescent="0.2">
      <c r="A515" s="95" t="s">
        <v>65</v>
      </c>
      <c r="B515" s="95" t="s">
        <v>69</v>
      </c>
      <c r="C515" s="95" t="s">
        <v>85</v>
      </c>
      <c r="F515" s="95">
        <v>1</v>
      </c>
      <c r="G515" s="95">
        <v>3.8</v>
      </c>
      <c r="H515" s="250"/>
      <c r="I515" s="101">
        <f>9.8/16</f>
        <v>0.61250000000000004</v>
      </c>
      <c r="S515" s="95" t="s">
        <v>3526</v>
      </c>
      <c r="T515" s="4" t="s">
        <v>4588</v>
      </c>
      <c r="U515" s="95" t="s">
        <v>71</v>
      </c>
      <c r="V515" s="95" t="s">
        <v>71</v>
      </c>
      <c r="W515" s="95" t="s">
        <v>72</v>
      </c>
      <c r="X515" s="95" t="s">
        <v>71</v>
      </c>
      <c r="Y515" s="95" t="s">
        <v>72</v>
      </c>
      <c r="Z515" s="95" t="s">
        <v>71</v>
      </c>
      <c r="AA515" s="95" t="s">
        <v>72</v>
      </c>
      <c r="AB515" s="95" t="s">
        <v>72</v>
      </c>
      <c r="AC515" s="95" t="s">
        <v>72</v>
      </c>
      <c r="AD515" s="95" t="s">
        <v>72</v>
      </c>
      <c r="AE515" s="95" t="s">
        <v>71</v>
      </c>
      <c r="AF515" s="95" t="s">
        <v>72</v>
      </c>
      <c r="AG515" s="95" t="s">
        <v>71</v>
      </c>
      <c r="AH515" s="95" t="s">
        <v>71</v>
      </c>
      <c r="AI515" s="95" t="s">
        <v>71</v>
      </c>
      <c r="AK515" s="95" t="s">
        <v>71</v>
      </c>
    </row>
    <row r="516" spans="1:37" x14ac:dyDescent="0.2">
      <c r="A516" s="95" t="s">
        <v>65</v>
      </c>
      <c r="B516" s="95" t="s">
        <v>69</v>
      </c>
      <c r="C516" s="95" t="s">
        <v>85</v>
      </c>
      <c r="F516" s="95">
        <v>0.75</v>
      </c>
      <c r="G516" s="95">
        <v>3.8</v>
      </c>
      <c r="H516" s="250"/>
      <c r="I516" s="101">
        <f>27.56/32</f>
        <v>0.86124999999999996</v>
      </c>
      <c r="Q516" s="95" t="s">
        <v>4590</v>
      </c>
      <c r="S516" s="95" t="s">
        <v>3526</v>
      </c>
      <c r="T516" s="4" t="s">
        <v>4592</v>
      </c>
      <c r="U516" s="95" t="s">
        <v>71</v>
      </c>
      <c r="V516" s="95" t="s">
        <v>71</v>
      </c>
      <c r="W516" s="95" t="s">
        <v>72</v>
      </c>
      <c r="X516" s="95" t="s">
        <v>71</v>
      </c>
      <c r="Y516" s="95" t="s">
        <v>72</v>
      </c>
      <c r="Z516" s="95" t="s">
        <v>71</v>
      </c>
      <c r="AA516" s="95" t="s">
        <v>72</v>
      </c>
      <c r="AB516" s="95" t="s">
        <v>72</v>
      </c>
      <c r="AC516" s="95" t="s">
        <v>72</v>
      </c>
      <c r="AD516" s="95" t="s">
        <v>72</v>
      </c>
      <c r="AE516" s="95" t="s">
        <v>71</v>
      </c>
      <c r="AF516" s="95" t="s">
        <v>72</v>
      </c>
      <c r="AG516" s="95" t="s">
        <v>71</v>
      </c>
      <c r="AH516" s="95" t="s">
        <v>71</v>
      </c>
      <c r="AI516" s="95" t="s">
        <v>71</v>
      </c>
      <c r="AK516" s="95" t="s">
        <v>71</v>
      </c>
    </row>
    <row r="517" spans="1:37" x14ac:dyDescent="0.2">
      <c r="A517" s="95" t="s">
        <v>65</v>
      </c>
      <c r="B517" s="95" t="s">
        <v>66</v>
      </c>
      <c r="C517" s="95" t="s">
        <v>85</v>
      </c>
      <c r="D517" s="95" t="s">
        <v>81</v>
      </c>
      <c r="F517" s="95">
        <v>1</v>
      </c>
      <c r="G517" s="95">
        <v>3.85</v>
      </c>
      <c r="I517" s="95">
        <v>0.48781249999999998</v>
      </c>
      <c r="P517" s="95">
        <v>2023</v>
      </c>
      <c r="Q517" s="95" t="s">
        <v>191</v>
      </c>
      <c r="R517" s="95" t="s">
        <v>192</v>
      </c>
      <c r="S517" s="95" t="s">
        <v>99</v>
      </c>
      <c r="T517" s="95" t="s">
        <v>193</v>
      </c>
      <c r="U517" s="95" t="s">
        <v>71</v>
      </c>
      <c r="V517" s="95" t="s">
        <v>71</v>
      </c>
      <c r="W517" s="95" t="s">
        <v>72</v>
      </c>
      <c r="X517" s="95" t="s">
        <v>71</v>
      </c>
      <c r="Y517" s="95" t="s">
        <v>72</v>
      </c>
      <c r="Z517" s="95" t="s">
        <v>71</v>
      </c>
      <c r="AA517" s="95" t="s">
        <v>72</v>
      </c>
      <c r="AB517" s="95" t="s">
        <v>72</v>
      </c>
      <c r="AC517" s="95" t="s">
        <v>72</v>
      </c>
      <c r="AD517" s="95" t="s">
        <v>72</v>
      </c>
      <c r="AE517" s="95" t="s">
        <v>71</v>
      </c>
      <c r="AF517" s="95" t="s">
        <v>72</v>
      </c>
      <c r="AG517" s="95" t="s">
        <v>71</v>
      </c>
      <c r="AH517" s="95" t="s">
        <v>71</v>
      </c>
      <c r="AI517" s="95" t="s">
        <v>71</v>
      </c>
      <c r="AK517" s="95" t="s">
        <v>71</v>
      </c>
    </row>
    <row r="518" spans="1:37" x14ac:dyDescent="0.2">
      <c r="A518" s="95" t="s">
        <v>65</v>
      </c>
      <c r="B518" s="95" t="s">
        <v>66</v>
      </c>
      <c r="C518" s="95" t="s">
        <v>85</v>
      </c>
      <c r="F518" s="95">
        <v>1</v>
      </c>
      <c r="G518" s="95">
        <v>3.85</v>
      </c>
      <c r="H518" s="250"/>
      <c r="I518" s="101">
        <f>15.61/32</f>
        <v>0.48781249999999998</v>
      </c>
      <c r="S518" s="95" t="s">
        <v>4561</v>
      </c>
      <c r="T518" s="4" t="s">
        <v>4565</v>
      </c>
      <c r="U518" s="95" t="s">
        <v>71</v>
      </c>
      <c r="V518" s="95" t="s">
        <v>71</v>
      </c>
      <c r="W518" s="95" t="s">
        <v>72</v>
      </c>
      <c r="X518" s="95" t="s">
        <v>71</v>
      </c>
      <c r="Y518" s="95" t="s">
        <v>72</v>
      </c>
      <c r="Z518" s="95" t="s">
        <v>71</v>
      </c>
      <c r="AA518" s="95" t="s">
        <v>72</v>
      </c>
      <c r="AB518" s="95" t="s">
        <v>72</v>
      </c>
      <c r="AC518" s="95" t="s">
        <v>72</v>
      </c>
      <c r="AD518" s="95" t="s">
        <v>72</v>
      </c>
      <c r="AE518" s="95" t="s">
        <v>71</v>
      </c>
      <c r="AF518" s="95" t="s">
        <v>72</v>
      </c>
      <c r="AG518" s="95" t="s">
        <v>71</v>
      </c>
      <c r="AH518" s="95" t="s">
        <v>71</v>
      </c>
      <c r="AI518" s="95" t="s">
        <v>71</v>
      </c>
      <c r="AK518" s="95" t="s">
        <v>71</v>
      </c>
    </row>
    <row r="519" spans="1:37" x14ac:dyDescent="0.2">
      <c r="A519" s="95" t="s">
        <v>65</v>
      </c>
      <c r="B519" s="95" t="s">
        <v>66</v>
      </c>
      <c r="C519" s="95" t="s">
        <v>85</v>
      </c>
      <c r="F519" s="95">
        <v>1</v>
      </c>
      <c r="G519" s="95">
        <v>3.85</v>
      </c>
      <c r="H519" s="250"/>
      <c r="I519" s="101">
        <f>22.98/32</f>
        <v>0.71812500000000001</v>
      </c>
      <c r="S519" s="95" t="s">
        <v>4594</v>
      </c>
      <c r="T519" s="4" t="s">
        <v>4595</v>
      </c>
      <c r="U519" s="95" t="s">
        <v>71</v>
      </c>
      <c r="V519" s="95" t="s">
        <v>71</v>
      </c>
      <c r="W519" s="95" t="s">
        <v>72</v>
      </c>
      <c r="X519" s="95" t="s">
        <v>71</v>
      </c>
      <c r="Y519" s="95" t="s">
        <v>72</v>
      </c>
      <c r="Z519" s="95" t="s">
        <v>71</v>
      </c>
      <c r="AA519" s="95" t="s">
        <v>72</v>
      </c>
      <c r="AB519" s="95" t="s">
        <v>72</v>
      </c>
      <c r="AC519" s="95" t="s">
        <v>72</v>
      </c>
      <c r="AD519" s="95" t="s">
        <v>72</v>
      </c>
      <c r="AE519" s="95" t="s">
        <v>71</v>
      </c>
      <c r="AF519" s="95" t="s">
        <v>72</v>
      </c>
      <c r="AG519" s="95" t="s">
        <v>71</v>
      </c>
      <c r="AH519" s="95" t="s">
        <v>71</v>
      </c>
      <c r="AI519" s="95" t="s">
        <v>71</v>
      </c>
      <c r="AK519" s="95" t="s">
        <v>71</v>
      </c>
    </row>
    <row r="520" spans="1:37" x14ac:dyDescent="0.2">
      <c r="A520" s="95" t="s">
        <v>65</v>
      </c>
      <c r="B520" s="95" t="s">
        <v>66</v>
      </c>
      <c r="C520" s="95" t="s">
        <v>85</v>
      </c>
      <c r="D520" s="95" t="s">
        <v>68</v>
      </c>
      <c r="E520" s="95" t="s">
        <v>68</v>
      </c>
      <c r="F520" s="95">
        <v>1</v>
      </c>
      <c r="G520" s="95">
        <v>4</v>
      </c>
      <c r="I520" s="95">
        <v>0.34</v>
      </c>
      <c r="J520" s="95">
        <v>1.2E-2</v>
      </c>
      <c r="K520" s="95">
        <v>0.45</v>
      </c>
      <c r="L520" s="95">
        <v>1.1100000000000001</v>
      </c>
      <c r="O520" s="95">
        <v>999</v>
      </c>
      <c r="P520" s="95">
        <v>2023</v>
      </c>
      <c r="R520" s="95" t="s">
        <v>69</v>
      </c>
      <c r="S520" s="95" t="s">
        <v>70</v>
      </c>
      <c r="U520" s="95" t="s">
        <v>71</v>
      </c>
      <c r="V520" s="95" t="s">
        <v>71</v>
      </c>
      <c r="W520" s="95" t="s">
        <v>72</v>
      </c>
      <c r="X520" s="95" t="s">
        <v>71</v>
      </c>
      <c r="Y520" s="95" t="s">
        <v>72</v>
      </c>
      <c r="Z520" s="95" t="s">
        <v>71</v>
      </c>
      <c r="AA520" s="95" t="s">
        <v>72</v>
      </c>
      <c r="AB520" s="95" t="s">
        <v>72</v>
      </c>
      <c r="AC520" s="95" t="s">
        <v>72</v>
      </c>
      <c r="AD520" s="95" t="s">
        <v>72</v>
      </c>
      <c r="AE520" s="95" t="s">
        <v>71</v>
      </c>
      <c r="AF520" s="95" t="s">
        <v>72</v>
      </c>
      <c r="AG520" s="95" t="s">
        <v>71</v>
      </c>
      <c r="AH520" s="95" t="s">
        <v>71</v>
      </c>
      <c r="AI520" s="95" t="s">
        <v>71</v>
      </c>
      <c r="AK520" s="95" t="s">
        <v>72</v>
      </c>
    </row>
    <row r="521" spans="1:37" x14ac:dyDescent="0.2">
      <c r="A521" s="95" t="s">
        <v>65</v>
      </c>
      <c r="B521" s="95" t="s">
        <v>66</v>
      </c>
      <c r="C521" s="95" t="s">
        <v>85</v>
      </c>
      <c r="F521" s="249">
        <f>1 +1/8</f>
        <v>1.125</v>
      </c>
      <c r="G521" s="95">
        <v>4</v>
      </c>
      <c r="I521" s="101">
        <f>77.95/32</f>
        <v>2.4359375000000001</v>
      </c>
      <c r="Q521" s="95" t="s">
        <v>4555</v>
      </c>
      <c r="S521" s="95" t="s">
        <v>2724</v>
      </c>
      <c r="T521" s="4" t="s">
        <v>4547</v>
      </c>
      <c r="U521" s="95" t="s">
        <v>71</v>
      </c>
      <c r="V521" s="95" t="s">
        <v>71</v>
      </c>
      <c r="W521" s="95" t="s">
        <v>72</v>
      </c>
      <c r="X521" s="95" t="s">
        <v>71</v>
      </c>
      <c r="Y521" s="95" t="s">
        <v>72</v>
      </c>
      <c r="Z521" s="95" t="s">
        <v>71</v>
      </c>
      <c r="AA521" s="95" t="s">
        <v>72</v>
      </c>
      <c r="AB521" s="95" t="s">
        <v>72</v>
      </c>
      <c r="AC521" s="95" t="s">
        <v>72</v>
      </c>
      <c r="AD521" s="95" t="s">
        <v>72</v>
      </c>
      <c r="AE521" s="95" t="s">
        <v>71</v>
      </c>
      <c r="AF521" s="95" t="s">
        <v>72</v>
      </c>
      <c r="AG521" s="95" t="s">
        <v>71</v>
      </c>
      <c r="AH521" s="95" t="s">
        <v>71</v>
      </c>
      <c r="AI521" s="95" t="s">
        <v>71</v>
      </c>
      <c r="AK521" s="95" t="s">
        <v>72</v>
      </c>
    </row>
    <row r="522" spans="1:37" x14ac:dyDescent="0.2">
      <c r="A522" s="95" t="s">
        <v>65</v>
      </c>
      <c r="B522" s="95" t="s">
        <v>66</v>
      </c>
      <c r="C522" s="95" t="s">
        <v>85</v>
      </c>
      <c r="F522" s="249">
        <v>1</v>
      </c>
      <c r="G522" s="95">
        <v>4</v>
      </c>
      <c r="H522" s="250"/>
      <c r="I522" s="101">
        <f>13.89/32</f>
        <v>0.43406250000000002</v>
      </c>
      <c r="S522" s="95" t="s">
        <v>3435</v>
      </c>
      <c r="T522" s="4" t="s">
        <v>3521</v>
      </c>
      <c r="U522" s="95" t="s">
        <v>71</v>
      </c>
      <c r="V522" s="95" t="s">
        <v>71</v>
      </c>
      <c r="W522" s="95" t="s">
        <v>72</v>
      </c>
      <c r="X522" s="95" t="s">
        <v>71</v>
      </c>
      <c r="Y522" s="95" t="s">
        <v>72</v>
      </c>
      <c r="Z522" s="95" t="s">
        <v>71</v>
      </c>
      <c r="AA522" s="95" t="s">
        <v>72</v>
      </c>
      <c r="AB522" s="95" t="s">
        <v>72</v>
      </c>
      <c r="AC522" s="95" t="s">
        <v>72</v>
      </c>
      <c r="AD522" s="95" t="s">
        <v>72</v>
      </c>
      <c r="AE522" s="95" t="s">
        <v>71</v>
      </c>
      <c r="AF522" s="95" t="s">
        <v>72</v>
      </c>
      <c r="AG522" s="95" t="s">
        <v>71</v>
      </c>
      <c r="AH522" s="95" t="s">
        <v>71</v>
      </c>
      <c r="AI522" s="95" t="s">
        <v>71</v>
      </c>
      <c r="AK522" s="95" t="s">
        <v>71</v>
      </c>
    </row>
    <row r="523" spans="1:37" x14ac:dyDescent="0.2">
      <c r="A523" s="95" t="s">
        <v>65</v>
      </c>
      <c r="B523" s="95" t="s">
        <v>66</v>
      </c>
      <c r="C523" s="95" t="s">
        <v>85</v>
      </c>
      <c r="F523" s="95">
        <v>1</v>
      </c>
      <c r="G523" s="95">
        <v>4</v>
      </c>
      <c r="H523" s="250"/>
      <c r="I523" s="101">
        <f>10.49/32</f>
        <v>0.32781250000000001</v>
      </c>
      <c r="S523" s="95" t="s">
        <v>3435</v>
      </c>
      <c r="T523" s="4" t="s">
        <v>3523</v>
      </c>
      <c r="U523" s="95" t="s">
        <v>71</v>
      </c>
      <c r="V523" s="95" t="s">
        <v>71</v>
      </c>
      <c r="W523" s="95" t="s">
        <v>72</v>
      </c>
      <c r="X523" s="95" t="s">
        <v>71</v>
      </c>
      <c r="Y523" s="95" t="s">
        <v>72</v>
      </c>
      <c r="Z523" s="95" t="s">
        <v>71</v>
      </c>
      <c r="AA523" s="95" t="s">
        <v>72</v>
      </c>
      <c r="AB523" s="95" t="s">
        <v>72</v>
      </c>
      <c r="AC523" s="95" t="s">
        <v>72</v>
      </c>
      <c r="AD523" s="95" t="s">
        <v>72</v>
      </c>
      <c r="AE523" s="95" t="s">
        <v>71</v>
      </c>
      <c r="AF523" s="95" t="s">
        <v>72</v>
      </c>
      <c r="AG523" s="95" t="s">
        <v>71</v>
      </c>
      <c r="AH523" s="95" t="s">
        <v>71</v>
      </c>
      <c r="AI523" s="95" t="s">
        <v>71</v>
      </c>
      <c r="AK523" s="95" t="s">
        <v>72</v>
      </c>
    </row>
    <row r="524" spans="1:37" x14ac:dyDescent="0.2">
      <c r="A524" s="95" t="s">
        <v>65</v>
      </c>
      <c r="B524" s="95" t="s">
        <v>69</v>
      </c>
      <c r="C524" s="95" t="s">
        <v>85</v>
      </c>
      <c r="F524" s="95">
        <v>1</v>
      </c>
      <c r="G524" s="95">
        <v>4.4000000000000004</v>
      </c>
      <c r="H524" s="250"/>
      <c r="I524" s="101">
        <f>15.98/32</f>
        <v>0.49937500000000001</v>
      </c>
      <c r="S524" s="95" t="s">
        <v>3526</v>
      </c>
      <c r="T524" s="4" t="s">
        <v>4587</v>
      </c>
      <c r="U524" s="95" t="s">
        <v>71</v>
      </c>
      <c r="V524" s="95" t="s">
        <v>71</v>
      </c>
      <c r="W524" s="95" t="s">
        <v>72</v>
      </c>
      <c r="X524" s="95" t="s">
        <v>71</v>
      </c>
      <c r="Y524" s="95" t="s">
        <v>72</v>
      </c>
      <c r="Z524" s="95" t="s">
        <v>71</v>
      </c>
      <c r="AA524" s="95" t="s">
        <v>72</v>
      </c>
      <c r="AB524" s="95" t="s">
        <v>72</v>
      </c>
      <c r="AC524" s="95" t="s">
        <v>72</v>
      </c>
      <c r="AD524" s="95" t="s">
        <v>72</v>
      </c>
      <c r="AE524" s="95" t="s">
        <v>71</v>
      </c>
      <c r="AF524" s="95" t="s">
        <v>72</v>
      </c>
      <c r="AG524" s="95" t="s">
        <v>71</v>
      </c>
      <c r="AH524" s="95" t="s">
        <v>71</v>
      </c>
      <c r="AI524" s="95" t="s">
        <v>71</v>
      </c>
      <c r="AK524" s="95" t="s">
        <v>71</v>
      </c>
    </row>
    <row r="525" spans="1:37" x14ac:dyDescent="0.2">
      <c r="A525" s="95" t="s">
        <v>65</v>
      </c>
      <c r="B525" s="95" t="s">
        <v>66</v>
      </c>
      <c r="C525" s="95" t="s">
        <v>85</v>
      </c>
      <c r="D525" s="95" t="s">
        <v>81</v>
      </c>
      <c r="F525" s="95">
        <v>1</v>
      </c>
      <c r="G525" s="95">
        <v>5</v>
      </c>
      <c r="I525" s="95">
        <v>1.3891666666666669</v>
      </c>
      <c r="P525" s="95">
        <v>2023</v>
      </c>
      <c r="Q525" s="95" t="s">
        <v>194</v>
      </c>
      <c r="R525" s="95" t="s">
        <v>195</v>
      </c>
      <c r="S525" s="95" t="s">
        <v>99</v>
      </c>
      <c r="T525" s="95" t="s">
        <v>196</v>
      </c>
      <c r="U525" s="95" t="s">
        <v>71</v>
      </c>
      <c r="V525" s="95" t="s">
        <v>71</v>
      </c>
      <c r="W525" s="95" t="s">
        <v>72</v>
      </c>
      <c r="X525" s="95" t="s">
        <v>71</v>
      </c>
      <c r="Y525" s="95" t="s">
        <v>72</v>
      </c>
      <c r="Z525" s="95" t="s">
        <v>71</v>
      </c>
      <c r="AA525" s="95" t="s">
        <v>72</v>
      </c>
      <c r="AB525" s="95" t="s">
        <v>72</v>
      </c>
      <c r="AC525" s="95" t="s">
        <v>72</v>
      </c>
      <c r="AD525" s="95" t="s">
        <v>72</v>
      </c>
      <c r="AE525" s="95" t="s">
        <v>71</v>
      </c>
      <c r="AF525" s="95" t="s">
        <v>72</v>
      </c>
      <c r="AG525" s="95" t="s">
        <v>71</v>
      </c>
      <c r="AH525" s="95" t="s">
        <v>71</v>
      </c>
      <c r="AI525" s="95" t="s">
        <v>71</v>
      </c>
      <c r="AK525" s="95" t="s">
        <v>71</v>
      </c>
    </row>
    <row r="526" spans="1:37" x14ac:dyDescent="0.2">
      <c r="A526" s="95" t="s">
        <v>65</v>
      </c>
      <c r="B526" s="95" t="s">
        <v>66</v>
      </c>
      <c r="C526" s="95" t="s">
        <v>85</v>
      </c>
      <c r="F526" s="249">
        <v>1</v>
      </c>
      <c r="G526" s="95">
        <v>5</v>
      </c>
      <c r="I526" s="101">
        <f>15.98/32</f>
        <v>0.49937500000000001</v>
      </c>
      <c r="S526" s="95" t="s">
        <v>1240</v>
      </c>
      <c r="T526" s="4" t="s">
        <v>4543</v>
      </c>
      <c r="U526" s="95" t="s">
        <v>71</v>
      </c>
      <c r="V526" s="95" t="s">
        <v>71</v>
      </c>
      <c r="W526" s="95" t="s">
        <v>72</v>
      </c>
      <c r="X526" s="95" t="s">
        <v>71</v>
      </c>
      <c r="Y526" s="95" t="s">
        <v>72</v>
      </c>
      <c r="Z526" s="95" t="s">
        <v>71</v>
      </c>
      <c r="AA526" s="95" t="s">
        <v>72</v>
      </c>
      <c r="AB526" s="95" t="s">
        <v>72</v>
      </c>
      <c r="AC526" s="95" t="s">
        <v>72</v>
      </c>
      <c r="AD526" s="95" t="s">
        <v>72</v>
      </c>
      <c r="AE526" s="95" t="s">
        <v>71</v>
      </c>
      <c r="AF526" s="95" t="s">
        <v>72</v>
      </c>
      <c r="AG526" s="95" t="s">
        <v>71</v>
      </c>
      <c r="AH526" s="95" t="s">
        <v>71</v>
      </c>
      <c r="AI526" s="95" t="s">
        <v>71</v>
      </c>
      <c r="AK526" s="95" t="s">
        <v>71</v>
      </c>
    </row>
    <row r="527" spans="1:37" x14ac:dyDescent="0.2">
      <c r="A527" s="95" t="s">
        <v>65</v>
      </c>
      <c r="B527" s="95" t="s">
        <v>66</v>
      </c>
      <c r="C527" s="95" t="s">
        <v>85</v>
      </c>
      <c r="F527" s="249">
        <v>0.75</v>
      </c>
      <c r="G527" s="95">
        <v>5</v>
      </c>
      <c r="I527" s="101">
        <f>13.68/32</f>
        <v>0.42749999999999999</v>
      </c>
      <c r="S527" s="95" t="s">
        <v>1240</v>
      </c>
      <c r="T527" s="4" t="s">
        <v>4544</v>
      </c>
      <c r="U527" s="95" t="s">
        <v>71</v>
      </c>
      <c r="V527" s="95" t="s">
        <v>71</v>
      </c>
      <c r="W527" s="95" t="s">
        <v>72</v>
      </c>
      <c r="X527" s="95" t="s">
        <v>71</v>
      </c>
      <c r="Y527" s="95" t="s">
        <v>72</v>
      </c>
      <c r="Z527" s="95" t="s">
        <v>71</v>
      </c>
      <c r="AA527" s="95" t="s">
        <v>72</v>
      </c>
      <c r="AB527" s="95" t="s">
        <v>72</v>
      </c>
      <c r="AC527" s="95" t="s">
        <v>72</v>
      </c>
      <c r="AD527" s="95" t="s">
        <v>72</v>
      </c>
      <c r="AE527" s="95" t="s">
        <v>71</v>
      </c>
      <c r="AF527" s="95" t="s">
        <v>72</v>
      </c>
      <c r="AG527" s="95" t="s">
        <v>71</v>
      </c>
      <c r="AH527" s="95" t="s">
        <v>71</v>
      </c>
      <c r="AI527" s="95" t="s">
        <v>71</v>
      </c>
      <c r="AK527" s="95" t="s">
        <v>71</v>
      </c>
    </row>
    <row r="528" spans="1:37" x14ac:dyDescent="0.2">
      <c r="A528" s="95" t="s">
        <v>65</v>
      </c>
      <c r="B528" s="95" t="s">
        <v>69</v>
      </c>
      <c r="C528" s="95" t="s">
        <v>85</v>
      </c>
      <c r="F528" s="95">
        <v>1</v>
      </c>
      <c r="G528" s="95">
        <v>5</v>
      </c>
      <c r="H528" s="250"/>
      <c r="I528" s="101">
        <f>30.68/32</f>
        <v>0.95874999999999999</v>
      </c>
      <c r="S528" s="95" t="s">
        <v>3526</v>
      </c>
      <c r="T528" s="4" t="s">
        <v>4589</v>
      </c>
      <c r="U528" s="95" t="s">
        <v>71</v>
      </c>
      <c r="V528" s="95" t="s">
        <v>71</v>
      </c>
      <c r="W528" s="95" t="s">
        <v>72</v>
      </c>
      <c r="X528" s="95" t="s">
        <v>71</v>
      </c>
      <c r="Y528" s="95" t="s">
        <v>72</v>
      </c>
      <c r="Z528" s="95" t="s">
        <v>71</v>
      </c>
      <c r="AA528" s="95" t="s">
        <v>72</v>
      </c>
      <c r="AB528" s="95" t="s">
        <v>72</v>
      </c>
      <c r="AC528" s="95" t="s">
        <v>72</v>
      </c>
      <c r="AD528" s="95" t="s">
        <v>72</v>
      </c>
      <c r="AE528" s="95" t="s">
        <v>71</v>
      </c>
      <c r="AF528" s="95" t="s">
        <v>72</v>
      </c>
      <c r="AG528" s="95" t="s">
        <v>71</v>
      </c>
      <c r="AH528" s="95" t="s">
        <v>71</v>
      </c>
      <c r="AI528" s="95" t="s">
        <v>71</v>
      </c>
      <c r="AK528" s="95" t="s">
        <v>71</v>
      </c>
    </row>
    <row r="529" spans="1:37" x14ac:dyDescent="0.2">
      <c r="A529" s="95" t="s">
        <v>65</v>
      </c>
      <c r="B529" s="95" t="s">
        <v>66</v>
      </c>
      <c r="C529" s="95" t="s">
        <v>85</v>
      </c>
      <c r="F529" s="95">
        <v>1</v>
      </c>
      <c r="G529" s="95">
        <v>5</v>
      </c>
      <c r="H529" s="250"/>
      <c r="I529" s="95">
        <f>16/32</f>
        <v>0.5</v>
      </c>
      <c r="Q529" s="95" t="s">
        <v>4570</v>
      </c>
      <c r="R529" s="95" t="s">
        <v>4600</v>
      </c>
      <c r="S529" s="95" t="s">
        <v>4568</v>
      </c>
      <c r="T529" s="4" t="s">
        <v>4569</v>
      </c>
      <c r="U529" s="95" t="s">
        <v>71</v>
      </c>
      <c r="V529" s="95" t="s">
        <v>71</v>
      </c>
      <c r="W529" s="95" t="s">
        <v>72</v>
      </c>
      <c r="X529" s="95" t="s">
        <v>71</v>
      </c>
      <c r="Y529" s="95" t="s">
        <v>72</v>
      </c>
      <c r="Z529" s="95" t="s">
        <v>71</v>
      </c>
      <c r="AA529" s="95" t="s">
        <v>72</v>
      </c>
      <c r="AB529" s="95" t="s">
        <v>72</v>
      </c>
      <c r="AC529" s="95" t="s">
        <v>72</v>
      </c>
      <c r="AD529" s="95" t="s">
        <v>72</v>
      </c>
      <c r="AE529" s="95" t="s">
        <v>71</v>
      </c>
      <c r="AF529" s="95" t="s">
        <v>72</v>
      </c>
      <c r="AG529" s="95" t="s">
        <v>71</v>
      </c>
      <c r="AH529" s="95" t="s">
        <v>71</v>
      </c>
      <c r="AI529" s="95" t="s">
        <v>71</v>
      </c>
      <c r="AK529" s="95" t="s">
        <v>72</v>
      </c>
    </row>
    <row r="530" spans="1:37" x14ac:dyDescent="0.2">
      <c r="A530" s="95" t="s">
        <v>65</v>
      </c>
      <c r="B530" s="95" t="s">
        <v>66</v>
      </c>
      <c r="C530" s="95" t="s">
        <v>85</v>
      </c>
      <c r="F530" s="95">
        <v>2</v>
      </c>
      <c r="G530" s="95">
        <v>5</v>
      </c>
      <c r="H530" s="250"/>
      <c r="I530" s="95">
        <f>30/32</f>
        <v>0.9375</v>
      </c>
      <c r="Q530" s="95" t="s">
        <v>4570</v>
      </c>
      <c r="R530" s="95" t="s">
        <v>4600</v>
      </c>
      <c r="S530" s="95" t="s">
        <v>4568</v>
      </c>
      <c r="T530" s="4" t="s">
        <v>4569</v>
      </c>
      <c r="U530" s="95" t="s">
        <v>71</v>
      </c>
      <c r="V530" s="95" t="s">
        <v>71</v>
      </c>
      <c r="W530" s="95" t="s">
        <v>72</v>
      </c>
      <c r="X530" s="95" t="s">
        <v>71</v>
      </c>
      <c r="Y530" s="95" t="s">
        <v>72</v>
      </c>
      <c r="Z530" s="95" t="s">
        <v>71</v>
      </c>
      <c r="AA530" s="95" t="s">
        <v>72</v>
      </c>
      <c r="AB530" s="95" t="s">
        <v>72</v>
      </c>
      <c r="AC530" s="95" t="s">
        <v>72</v>
      </c>
      <c r="AD530" s="95" t="s">
        <v>72</v>
      </c>
      <c r="AE530" s="95" t="s">
        <v>71</v>
      </c>
      <c r="AF530" s="95" t="s">
        <v>72</v>
      </c>
      <c r="AG530" s="95" t="s">
        <v>71</v>
      </c>
      <c r="AH530" s="95" t="s">
        <v>71</v>
      </c>
      <c r="AI530" s="95" t="s">
        <v>71</v>
      </c>
      <c r="AK530" s="95" t="s">
        <v>72</v>
      </c>
    </row>
    <row r="531" spans="1:37" x14ac:dyDescent="0.2">
      <c r="A531" s="95" t="s">
        <v>65</v>
      </c>
      <c r="B531" s="95" t="s">
        <v>66</v>
      </c>
      <c r="C531" s="95" t="s">
        <v>85</v>
      </c>
      <c r="F531" s="249">
        <v>1.5</v>
      </c>
      <c r="G531" s="95">
        <v>5.5</v>
      </c>
      <c r="I531" s="101">
        <f>130.99/32</f>
        <v>4.0934375000000003</v>
      </c>
      <c r="Q531" s="95" t="s">
        <v>4555</v>
      </c>
      <c r="S531" s="95" t="s">
        <v>2724</v>
      </c>
      <c r="T531" s="4" t="s">
        <v>4545</v>
      </c>
      <c r="U531" s="95" t="s">
        <v>71</v>
      </c>
      <c r="V531" s="95" t="s">
        <v>71</v>
      </c>
      <c r="W531" s="95" t="s">
        <v>72</v>
      </c>
      <c r="X531" s="95" t="s">
        <v>71</v>
      </c>
      <c r="Y531" s="95" t="s">
        <v>72</v>
      </c>
      <c r="Z531" s="95" t="s">
        <v>71</v>
      </c>
      <c r="AA531" s="95" t="s">
        <v>72</v>
      </c>
      <c r="AB531" s="95" t="s">
        <v>72</v>
      </c>
      <c r="AC531" s="95" t="s">
        <v>72</v>
      </c>
      <c r="AD531" s="95" t="s">
        <v>72</v>
      </c>
      <c r="AE531" s="95" t="s">
        <v>71</v>
      </c>
      <c r="AF531" s="95" t="s">
        <v>72</v>
      </c>
      <c r="AG531" s="95" t="s">
        <v>71</v>
      </c>
      <c r="AH531" s="95" t="s">
        <v>71</v>
      </c>
      <c r="AI531" s="95" t="s">
        <v>71</v>
      </c>
      <c r="AK531" s="95" t="s">
        <v>72</v>
      </c>
    </row>
    <row r="532" spans="1:37" x14ac:dyDescent="0.2">
      <c r="A532" s="95" t="s">
        <v>65</v>
      </c>
      <c r="B532" s="95" t="s">
        <v>66</v>
      </c>
      <c r="C532" s="95" t="s">
        <v>85</v>
      </c>
      <c r="F532" s="249">
        <v>1.5</v>
      </c>
      <c r="G532" s="95">
        <v>5.5</v>
      </c>
      <c r="I532" s="101">
        <f>143.99/32</f>
        <v>4.4996875000000003</v>
      </c>
      <c r="Q532" s="95" t="s">
        <v>4555</v>
      </c>
      <c r="S532" s="95" t="s">
        <v>2724</v>
      </c>
      <c r="T532" s="4" t="s">
        <v>4546</v>
      </c>
      <c r="U532" s="95" t="s">
        <v>71</v>
      </c>
      <c r="V532" s="95" t="s">
        <v>71</v>
      </c>
      <c r="W532" s="95" t="s">
        <v>72</v>
      </c>
      <c r="X532" s="95" t="s">
        <v>71</v>
      </c>
      <c r="Y532" s="95" t="s">
        <v>72</v>
      </c>
      <c r="Z532" s="95" t="s">
        <v>71</v>
      </c>
      <c r="AA532" s="95" t="s">
        <v>72</v>
      </c>
      <c r="AB532" s="95" t="s">
        <v>72</v>
      </c>
      <c r="AC532" s="95" t="s">
        <v>72</v>
      </c>
      <c r="AD532" s="95" t="s">
        <v>72</v>
      </c>
      <c r="AE532" s="95" t="s">
        <v>71</v>
      </c>
      <c r="AF532" s="95" t="s">
        <v>72</v>
      </c>
      <c r="AG532" s="95" t="s">
        <v>71</v>
      </c>
      <c r="AH532" s="95" t="s">
        <v>71</v>
      </c>
      <c r="AI532" s="95" t="s">
        <v>71</v>
      </c>
      <c r="AK532" s="95" t="s">
        <v>72</v>
      </c>
    </row>
    <row r="533" spans="1:37" x14ac:dyDescent="0.2">
      <c r="A533" s="95" t="s">
        <v>65</v>
      </c>
      <c r="B533" s="95" t="s">
        <v>66</v>
      </c>
      <c r="C533" s="95" t="s">
        <v>85</v>
      </c>
      <c r="D533" s="95" t="s">
        <v>81</v>
      </c>
      <c r="F533" s="95">
        <v>1.5</v>
      </c>
      <c r="G533" s="95">
        <v>5.78</v>
      </c>
      <c r="I533" s="95">
        <v>0.65187499999999998</v>
      </c>
      <c r="P533" s="95">
        <v>2023</v>
      </c>
      <c r="Q533" s="95" t="s">
        <v>191</v>
      </c>
      <c r="R533" s="95" t="s">
        <v>208</v>
      </c>
      <c r="S533" s="95" t="s">
        <v>99</v>
      </c>
      <c r="T533" s="95" t="s">
        <v>209</v>
      </c>
      <c r="U533" s="95" t="s">
        <v>71</v>
      </c>
      <c r="V533" s="95" t="s">
        <v>71</v>
      </c>
      <c r="W533" s="95" t="s">
        <v>72</v>
      </c>
      <c r="X533" s="95" t="s">
        <v>71</v>
      </c>
      <c r="Y533" s="95" t="s">
        <v>72</v>
      </c>
      <c r="Z533" s="95" t="s">
        <v>71</v>
      </c>
      <c r="AA533" s="95" t="s">
        <v>72</v>
      </c>
      <c r="AB533" s="95" t="s">
        <v>72</v>
      </c>
      <c r="AC533" s="95" t="s">
        <v>72</v>
      </c>
      <c r="AD533" s="95" t="s">
        <v>72</v>
      </c>
      <c r="AE533" s="95" t="s">
        <v>71</v>
      </c>
      <c r="AF533" s="95" t="s">
        <v>72</v>
      </c>
      <c r="AG533" s="95" t="s">
        <v>71</v>
      </c>
      <c r="AH533" s="95" t="s">
        <v>71</v>
      </c>
      <c r="AI533" s="95" t="s">
        <v>71</v>
      </c>
      <c r="AK533" s="95" t="s">
        <v>71</v>
      </c>
    </row>
    <row r="534" spans="1:37" x14ac:dyDescent="0.2">
      <c r="A534" s="95" t="s">
        <v>65</v>
      </c>
      <c r="B534" s="95" t="s">
        <v>66</v>
      </c>
      <c r="C534" s="95" t="s">
        <v>85</v>
      </c>
      <c r="F534" s="95">
        <v>1.5</v>
      </c>
      <c r="G534" s="95">
        <v>5.78</v>
      </c>
      <c r="H534" s="250"/>
      <c r="I534" s="101">
        <f>20.86/32</f>
        <v>0.65187499999999998</v>
      </c>
      <c r="S534" s="95" t="s">
        <v>4561</v>
      </c>
      <c r="T534" s="4" t="s">
        <v>4562</v>
      </c>
      <c r="U534" s="95" t="s">
        <v>71</v>
      </c>
      <c r="V534" s="95" t="s">
        <v>71</v>
      </c>
      <c r="W534" s="95" t="s">
        <v>72</v>
      </c>
      <c r="X534" s="95" t="s">
        <v>71</v>
      </c>
      <c r="Y534" s="95" t="s">
        <v>72</v>
      </c>
      <c r="Z534" s="95" t="s">
        <v>71</v>
      </c>
      <c r="AA534" s="95" t="s">
        <v>72</v>
      </c>
      <c r="AB534" s="95" t="s">
        <v>72</v>
      </c>
      <c r="AC534" s="95" t="s">
        <v>72</v>
      </c>
      <c r="AD534" s="95" t="s">
        <v>72</v>
      </c>
      <c r="AE534" s="95" t="s">
        <v>71</v>
      </c>
      <c r="AF534" s="95" t="s">
        <v>72</v>
      </c>
      <c r="AG534" s="95" t="s">
        <v>71</v>
      </c>
      <c r="AH534" s="95" t="s">
        <v>71</v>
      </c>
      <c r="AI534" s="95" t="s">
        <v>71</v>
      </c>
      <c r="AK534" s="95" t="s">
        <v>71</v>
      </c>
    </row>
    <row r="535" spans="1:37" x14ac:dyDescent="0.2">
      <c r="A535" s="95" t="s">
        <v>65</v>
      </c>
      <c r="B535" s="95" t="s">
        <v>66</v>
      </c>
      <c r="C535" s="95" t="s">
        <v>85</v>
      </c>
      <c r="F535" s="95">
        <v>1.5</v>
      </c>
      <c r="G535" s="95">
        <v>5.78</v>
      </c>
      <c r="H535" s="250"/>
      <c r="I535" s="101">
        <f>20.5/32</f>
        <v>0.640625</v>
      </c>
      <c r="S535" s="95" t="s">
        <v>4596</v>
      </c>
      <c r="T535" s="4" t="s">
        <v>4599</v>
      </c>
      <c r="U535" s="95" t="s">
        <v>71</v>
      </c>
      <c r="V535" s="95" t="s">
        <v>71</v>
      </c>
      <c r="W535" s="95" t="s">
        <v>72</v>
      </c>
      <c r="X535" s="95" t="s">
        <v>71</v>
      </c>
      <c r="Y535" s="95" t="s">
        <v>72</v>
      </c>
      <c r="Z535" s="95" t="s">
        <v>71</v>
      </c>
      <c r="AA535" s="95" t="s">
        <v>72</v>
      </c>
      <c r="AB535" s="95" t="s">
        <v>72</v>
      </c>
      <c r="AC535" s="95" t="s">
        <v>72</v>
      </c>
      <c r="AD535" s="95" t="s">
        <v>72</v>
      </c>
      <c r="AE535" s="95" t="s">
        <v>71</v>
      </c>
      <c r="AF535" s="95" t="s">
        <v>72</v>
      </c>
      <c r="AG535" s="95" t="s">
        <v>71</v>
      </c>
      <c r="AH535" s="95" t="s">
        <v>71</v>
      </c>
      <c r="AI535" s="95" t="s">
        <v>71</v>
      </c>
      <c r="AK535" s="95" t="s">
        <v>71</v>
      </c>
    </row>
    <row r="536" spans="1:37" x14ac:dyDescent="0.2">
      <c r="A536" s="95" t="s">
        <v>65</v>
      </c>
      <c r="B536" s="95" t="s">
        <v>66</v>
      </c>
      <c r="C536" s="95" t="s">
        <v>85</v>
      </c>
      <c r="F536" s="249">
        <v>1.5</v>
      </c>
      <c r="G536" s="95">
        <v>6</v>
      </c>
      <c r="H536" s="250"/>
      <c r="I536" s="101">
        <f>18.57/32</f>
        <v>0.58031250000000001</v>
      </c>
      <c r="S536" s="95" t="s">
        <v>3435</v>
      </c>
      <c r="T536" s="4" t="s">
        <v>3521</v>
      </c>
      <c r="U536" s="95" t="s">
        <v>71</v>
      </c>
      <c r="V536" s="95" t="s">
        <v>71</v>
      </c>
      <c r="W536" s="95" t="s">
        <v>72</v>
      </c>
      <c r="X536" s="95" t="s">
        <v>71</v>
      </c>
      <c r="Y536" s="95" t="s">
        <v>72</v>
      </c>
      <c r="Z536" s="95" t="s">
        <v>71</v>
      </c>
      <c r="AA536" s="95" t="s">
        <v>72</v>
      </c>
      <c r="AB536" s="95" t="s">
        <v>72</v>
      </c>
      <c r="AC536" s="95" t="s">
        <v>72</v>
      </c>
      <c r="AD536" s="95" t="s">
        <v>72</v>
      </c>
      <c r="AE536" s="95" t="s">
        <v>71</v>
      </c>
      <c r="AF536" s="95" t="s">
        <v>72</v>
      </c>
      <c r="AG536" s="95" t="s">
        <v>71</v>
      </c>
      <c r="AH536" s="95" t="s">
        <v>71</v>
      </c>
      <c r="AI536" s="95" t="s">
        <v>71</v>
      </c>
      <c r="AK536" s="95" t="s">
        <v>71</v>
      </c>
    </row>
    <row r="537" spans="1:37" x14ac:dyDescent="0.2">
      <c r="A537" s="95" t="s">
        <v>65</v>
      </c>
      <c r="B537" s="95" t="s">
        <v>66</v>
      </c>
      <c r="C537" s="95" t="s">
        <v>85</v>
      </c>
      <c r="F537" s="249">
        <v>1.5</v>
      </c>
      <c r="G537" s="95">
        <v>6</v>
      </c>
      <c r="H537" s="250"/>
      <c r="I537" s="101">
        <f>16.45/32</f>
        <v>0.51406249999999998</v>
      </c>
      <c r="S537" s="95" t="s">
        <v>3435</v>
      </c>
      <c r="T537" s="4" t="s">
        <v>4556</v>
      </c>
      <c r="U537" s="95" t="s">
        <v>71</v>
      </c>
      <c r="V537" s="95" t="s">
        <v>71</v>
      </c>
      <c r="W537" s="95" t="s">
        <v>72</v>
      </c>
      <c r="X537" s="95" t="s">
        <v>71</v>
      </c>
      <c r="Y537" s="95" t="s">
        <v>72</v>
      </c>
      <c r="Z537" s="95" t="s">
        <v>71</v>
      </c>
      <c r="AA537" s="95" t="s">
        <v>72</v>
      </c>
      <c r="AB537" s="95" t="s">
        <v>72</v>
      </c>
      <c r="AC537" s="95" t="s">
        <v>72</v>
      </c>
      <c r="AD537" s="95" t="s">
        <v>72</v>
      </c>
      <c r="AE537" s="95" t="s">
        <v>71</v>
      </c>
      <c r="AF537" s="95" t="s">
        <v>72</v>
      </c>
      <c r="AG537" s="95" t="s">
        <v>71</v>
      </c>
      <c r="AH537" s="95" t="s">
        <v>71</v>
      </c>
      <c r="AI537" s="95" t="s">
        <v>71</v>
      </c>
      <c r="AK537" s="95" t="s">
        <v>72</v>
      </c>
    </row>
    <row r="538" spans="1:37" x14ac:dyDescent="0.2">
      <c r="A538" s="95" t="s">
        <v>65</v>
      </c>
      <c r="B538" s="95" t="s">
        <v>66</v>
      </c>
      <c r="C538" s="95" t="s">
        <v>85</v>
      </c>
      <c r="F538" s="249">
        <v>1.5</v>
      </c>
      <c r="G538" s="95">
        <v>6</v>
      </c>
      <c r="H538" s="250"/>
      <c r="I538" s="101">
        <f>19.54/29</f>
        <v>0.67379310344827581</v>
      </c>
      <c r="S538" s="95" t="s">
        <v>3435</v>
      </c>
      <c r="T538" s="4" t="s">
        <v>4557</v>
      </c>
      <c r="U538" s="95" t="s">
        <v>71</v>
      </c>
      <c r="V538" s="95" t="s">
        <v>71</v>
      </c>
      <c r="W538" s="95" t="s">
        <v>72</v>
      </c>
      <c r="X538" s="95" t="s">
        <v>71</v>
      </c>
      <c r="Y538" s="95" t="s">
        <v>72</v>
      </c>
      <c r="Z538" s="95" t="s">
        <v>71</v>
      </c>
      <c r="AA538" s="95" t="s">
        <v>72</v>
      </c>
      <c r="AB538" s="95" t="s">
        <v>72</v>
      </c>
      <c r="AC538" s="95" t="s">
        <v>72</v>
      </c>
      <c r="AD538" s="95" t="s">
        <v>72</v>
      </c>
      <c r="AE538" s="95" t="s">
        <v>71</v>
      </c>
      <c r="AF538" s="95" t="s">
        <v>72</v>
      </c>
      <c r="AG538" s="95" t="s">
        <v>71</v>
      </c>
      <c r="AH538" s="95" t="s">
        <v>71</v>
      </c>
      <c r="AI538" s="95" t="s">
        <v>71</v>
      </c>
      <c r="AK538" s="95" t="s">
        <v>72</v>
      </c>
    </row>
    <row r="539" spans="1:37" x14ac:dyDescent="0.2">
      <c r="A539" s="95" t="s">
        <v>65</v>
      </c>
      <c r="B539" s="95" t="s">
        <v>66</v>
      </c>
      <c r="C539" s="95" t="s">
        <v>85</v>
      </c>
      <c r="F539" s="249">
        <v>2</v>
      </c>
      <c r="G539" s="95">
        <v>7.2</v>
      </c>
      <c r="I539" s="101">
        <f>92.99/32</f>
        <v>2.9059374999999998</v>
      </c>
      <c r="Q539" s="95" t="s">
        <v>4555</v>
      </c>
      <c r="S539" s="95" t="s">
        <v>2724</v>
      </c>
      <c r="T539" s="4" t="s">
        <v>4549</v>
      </c>
      <c r="U539" s="95" t="s">
        <v>71</v>
      </c>
      <c r="V539" s="95" t="s">
        <v>71</v>
      </c>
      <c r="W539" s="95" t="s">
        <v>72</v>
      </c>
      <c r="X539" s="95" t="s">
        <v>71</v>
      </c>
      <c r="Y539" s="95" t="s">
        <v>72</v>
      </c>
      <c r="Z539" s="95" t="s">
        <v>71</v>
      </c>
      <c r="AA539" s="95" t="s">
        <v>72</v>
      </c>
      <c r="AB539" s="95" t="s">
        <v>72</v>
      </c>
      <c r="AC539" s="95" t="s">
        <v>72</v>
      </c>
      <c r="AD539" s="95" t="s">
        <v>72</v>
      </c>
      <c r="AE539" s="95" t="s">
        <v>71</v>
      </c>
      <c r="AF539" s="95" t="s">
        <v>72</v>
      </c>
      <c r="AG539" s="95" t="s">
        <v>71</v>
      </c>
      <c r="AH539" s="95" t="s">
        <v>71</v>
      </c>
      <c r="AI539" s="95" t="s">
        <v>71</v>
      </c>
      <c r="AK539" s="95" t="s">
        <v>72</v>
      </c>
    </row>
    <row r="540" spans="1:37" x14ac:dyDescent="0.2">
      <c r="A540" s="95" t="s">
        <v>65</v>
      </c>
      <c r="B540" s="95" t="s">
        <v>66</v>
      </c>
      <c r="C540" s="95" t="s">
        <v>85</v>
      </c>
      <c r="F540" s="249">
        <v>2</v>
      </c>
      <c r="G540" s="95">
        <v>7.2</v>
      </c>
      <c r="I540" s="101">
        <f>144.99/32</f>
        <v>4.5309375000000003</v>
      </c>
      <c r="Q540" s="95" t="s">
        <v>4555</v>
      </c>
      <c r="S540" s="95" t="s">
        <v>2724</v>
      </c>
      <c r="T540" s="4" t="s">
        <v>4549</v>
      </c>
      <c r="U540" s="95" t="s">
        <v>71</v>
      </c>
      <c r="V540" s="95" t="s">
        <v>71</v>
      </c>
      <c r="W540" s="95" t="s">
        <v>72</v>
      </c>
      <c r="X540" s="95" t="s">
        <v>71</v>
      </c>
      <c r="Y540" s="95" t="s">
        <v>72</v>
      </c>
      <c r="Z540" s="95" t="s">
        <v>71</v>
      </c>
      <c r="AA540" s="95" t="s">
        <v>72</v>
      </c>
      <c r="AB540" s="95" t="s">
        <v>72</v>
      </c>
      <c r="AC540" s="95" t="s">
        <v>72</v>
      </c>
      <c r="AD540" s="95" t="s">
        <v>72</v>
      </c>
      <c r="AE540" s="95" t="s">
        <v>71</v>
      </c>
      <c r="AF540" s="95" t="s">
        <v>72</v>
      </c>
      <c r="AG540" s="95" t="s">
        <v>71</v>
      </c>
      <c r="AH540" s="95" t="s">
        <v>71</v>
      </c>
      <c r="AI540" s="95" t="s">
        <v>71</v>
      </c>
      <c r="AK540" s="95" t="s">
        <v>72</v>
      </c>
    </row>
    <row r="541" spans="1:37" x14ac:dyDescent="0.2">
      <c r="A541" s="95" t="s">
        <v>65</v>
      </c>
      <c r="B541" s="95" t="s">
        <v>66</v>
      </c>
      <c r="C541" s="95" t="s">
        <v>85</v>
      </c>
      <c r="F541" s="251">
        <v>2</v>
      </c>
      <c r="G541" s="250">
        <v>7.3</v>
      </c>
      <c r="H541" s="101"/>
      <c r="I541" s="101">
        <f>169.99/32</f>
        <v>5.3121875000000003</v>
      </c>
      <c r="Q541" s="95" t="s">
        <v>4555</v>
      </c>
      <c r="S541" s="95" t="s">
        <v>2724</v>
      </c>
      <c r="T541" s="4" t="s">
        <v>4550</v>
      </c>
      <c r="U541" s="95" t="s">
        <v>71</v>
      </c>
      <c r="V541" s="95" t="s">
        <v>71</v>
      </c>
      <c r="W541" s="95" t="s">
        <v>72</v>
      </c>
      <c r="X541" s="95" t="s">
        <v>71</v>
      </c>
      <c r="Y541" s="95" t="s">
        <v>72</v>
      </c>
      <c r="Z541" s="95" t="s">
        <v>71</v>
      </c>
      <c r="AA541" s="95" t="s">
        <v>72</v>
      </c>
      <c r="AB541" s="95" t="s">
        <v>72</v>
      </c>
      <c r="AC541" s="95" t="s">
        <v>72</v>
      </c>
      <c r="AD541" s="95" t="s">
        <v>72</v>
      </c>
      <c r="AE541" s="95" t="s">
        <v>71</v>
      </c>
      <c r="AF541" s="95" t="s">
        <v>72</v>
      </c>
      <c r="AG541" s="95" t="s">
        <v>71</v>
      </c>
      <c r="AH541" s="95" t="s">
        <v>71</v>
      </c>
      <c r="AI541" s="95" t="s">
        <v>71</v>
      </c>
      <c r="AK541" s="95" t="s">
        <v>72</v>
      </c>
    </row>
    <row r="542" spans="1:37" x14ac:dyDescent="0.2">
      <c r="A542" s="95" t="s">
        <v>65</v>
      </c>
      <c r="B542" s="95" t="s">
        <v>66</v>
      </c>
      <c r="C542" s="95" t="s">
        <v>85</v>
      </c>
      <c r="F542" s="251">
        <v>2</v>
      </c>
      <c r="G542" s="250">
        <v>7.3</v>
      </c>
      <c r="H542" s="101"/>
      <c r="I542" s="101">
        <f>109.99/32</f>
        <v>3.4371874999999998</v>
      </c>
      <c r="Q542" s="95" t="s">
        <v>4555</v>
      </c>
      <c r="S542" s="95" t="s">
        <v>2724</v>
      </c>
      <c r="T542" s="4" t="s">
        <v>4550</v>
      </c>
      <c r="U542" s="95" t="s">
        <v>71</v>
      </c>
      <c r="V542" s="95" t="s">
        <v>71</v>
      </c>
      <c r="W542" s="95" t="s">
        <v>72</v>
      </c>
      <c r="X542" s="95" t="s">
        <v>71</v>
      </c>
      <c r="Y542" s="95" t="s">
        <v>72</v>
      </c>
      <c r="Z542" s="95" t="s">
        <v>71</v>
      </c>
      <c r="AA542" s="95" t="s">
        <v>72</v>
      </c>
      <c r="AB542" s="95" t="s">
        <v>72</v>
      </c>
      <c r="AC542" s="95" t="s">
        <v>72</v>
      </c>
      <c r="AD542" s="95" t="s">
        <v>72</v>
      </c>
      <c r="AE542" s="95" t="s">
        <v>71</v>
      </c>
      <c r="AF542" s="95" t="s">
        <v>72</v>
      </c>
      <c r="AG542" s="95" t="s">
        <v>71</v>
      </c>
      <c r="AH542" s="95" t="s">
        <v>71</v>
      </c>
      <c r="AI542" s="95" t="s">
        <v>71</v>
      </c>
      <c r="AK542" s="95" t="s">
        <v>72</v>
      </c>
    </row>
    <row r="543" spans="1:37" x14ac:dyDescent="0.2">
      <c r="A543" s="95" t="s">
        <v>65</v>
      </c>
      <c r="B543" s="95" t="s">
        <v>66</v>
      </c>
      <c r="C543" s="95" t="s">
        <v>85</v>
      </c>
      <c r="D543" s="95" t="s">
        <v>81</v>
      </c>
      <c r="F543" s="95">
        <v>2</v>
      </c>
      <c r="G543" s="95">
        <v>7.7</v>
      </c>
      <c r="I543" s="95">
        <v>0.83218749999999997</v>
      </c>
      <c r="P543" s="95">
        <v>2023</v>
      </c>
      <c r="Q543" s="95" t="s">
        <v>191</v>
      </c>
      <c r="R543" s="95" t="s">
        <v>213</v>
      </c>
      <c r="S543" s="95" t="s">
        <v>99</v>
      </c>
      <c r="T543" s="95" t="s">
        <v>214</v>
      </c>
      <c r="U543" s="95" t="s">
        <v>71</v>
      </c>
      <c r="V543" s="95" t="s">
        <v>71</v>
      </c>
      <c r="W543" s="95" t="s">
        <v>72</v>
      </c>
      <c r="X543" s="95" t="s">
        <v>71</v>
      </c>
      <c r="Y543" s="95" t="s">
        <v>72</v>
      </c>
      <c r="Z543" s="95" t="s">
        <v>71</v>
      </c>
      <c r="AA543" s="95" t="s">
        <v>72</v>
      </c>
      <c r="AB543" s="95" t="s">
        <v>72</v>
      </c>
      <c r="AC543" s="95" t="s">
        <v>72</v>
      </c>
      <c r="AD543" s="95" t="s">
        <v>72</v>
      </c>
      <c r="AE543" s="95" t="s">
        <v>71</v>
      </c>
      <c r="AF543" s="95" t="s">
        <v>72</v>
      </c>
      <c r="AG543" s="95" t="s">
        <v>71</v>
      </c>
      <c r="AH543" s="95" t="s">
        <v>71</v>
      </c>
      <c r="AI543" s="95" t="s">
        <v>71</v>
      </c>
      <c r="AK543" s="95" t="s">
        <v>71</v>
      </c>
    </row>
    <row r="544" spans="1:37" x14ac:dyDescent="0.2">
      <c r="A544" s="95" t="s">
        <v>65</v>
      </c>
      <c r="B544" s="95" t="s">
        <v>66</v>
      </c>
      <c r="C544" s="95" t="s">
        <v>85</v>
      </c>
      <c r="F544" s="95">
        <v>2</v>
      </c>
      <c r="G544" s="95">
        <v>7.7</v>
      </c>
      <c r="H544" s="250"/>
      <c r="I544" s="101">
        <f>26.63/32</f>
        <v>0.83218749999999997</v>
      </c>
      <c r="S544" s="95" t="s">
        <v>4561</v>
      </c>
      <c r="T544" s="4" t="s">
        <v>4564</v>
      </c>
      <c r="U544" s="95" t="s">
        <v>71</v>
      </c>
      <c r="V544" s="95" t="s">
        <v>71</v>
      </c>
      <c r="W544" s="95" t="s">
        <v>72</v>
      </c>
      <c r="X544" s="95" t="s">
        <v>71</v>
      </c>
      <c r="Y544" s="95" t="s">
        <v>72</v>
      </c>
      <c r="Z544" s="95" t="s">
        <v>71</v>
      </c>
      <c r="AA544" s="95" t="s">
        <v>72</v>
      </c>
      <c r="AB544" s="95" t="s">
        <v>72</v>
      </c>
      <c r="AC544" s="95" t="s">
        <v>72</v>
      </c>
      <c r="AD544" s="95" t="s">
        <v>72</v>
      </c>
      <c r="AE544" s="95" t="s">
        <v>71</v>
      </c>
      <c r="AF544" s="95" t="s">
        <v>72</v>
      </c>
      <c r="AG544" s="95" t="s">
        <v>71</v>
      </c>
      <c r="AH544" s="95" t="s">
        <v>71</v>
      </c>
      <c r="AI544" s="95" t="s">
        <v>71</v>
      </c>
      <c r="AK544" s="95" t="s">
        <v>71</v>
      </c>
    </row>
    <row r="545" spans="1:37" x14ac:dyDescent="0.2">
      <c r="A545" s="95" t="s">
        <v>65</v>
      </c>
      <c r="B545" s="95" t="s">
        <v>66</v>
      </c>
      <c r="C545" s="95" t="s">
        <v>85</v>
      </c>
      <c r="F545" s="95">
        <v>2</v>
      </c>
      <c r="G545" s="95">
        <v>7.7</v>
      </c>
      <c r="H545" s="250"/>
      <c r="I545" s="101">
        <f>37.88/32</f>
        <v>1.1837500000000001</v>
      </c>
      <c r="S545" s="95" t="s">
        <v>4594</v>
      </c>
      <c r="T545" s="4" t="s">
        <v>4595</v>
      </c>
      <c r="U545" s="95" t="s">
        <v>71</v>
      </c>
      <c r="V545" s="95" t="s">
        <v>71</v>
      </c>
      <c r="W545" s="95" t="s">
        <v>72</v>
      </c>
      <c r="X545" s="95" t="s">
        <v>71</v>
      </c>
      <c r="Y545" s="95" t="s">
        <v>72</v>
      </c>
      <c r="Z545" s="95" t="s">
        <v>71</v>
      </c>
      <c r="AA545" s="95" t="s">
        <v>72</v>
      </c>
      <c r="AB545" s="95" t="s">
        <v>72</v>
      </c>
      <c r="AC545" s="95" t="s">
        <v>72</v>
      </c>
      <c r="AD545" s="95" t="s">
        <v>72</v>
      </c>
      <c r="AE545" s="95" t="s">
        <v>71</v>
      </c>
      <c r="AF545" s="95" t="s">
        <v>72</v>
      </c>
      <c r="AG545" s="95" t="s">
        <v>71</v>
      </c>
      <c r="AH545" s="95" t="s">
        <v>71</v>
      </c>
      <c r="AI545" s="95" t="s">
        <v>71</v>
      </c>
      <c r="AK545" s="95" t="s">
        <v>71</v>
      </c>
    </row>
    <row r="546" spans="1:37" x14ac:dyDescent="0.2">
      <c r="A546" s="95" t="s">
        <v>65</v>
      </c>
      <c r="B546" s="95" t="s">
        <v>66</v>
      </c>
      <c r="C546" s="95" t="s">
        <v>85</v>
      </c>
      <c r="F546" s="95">
        <v>2</v>
      </c>
      <c r="G546" s="95">
        <v>7.7</v>
      </c>
      <c r="H546" s="250"/>
      <c r="I546" s="101">
        <f>38.61/32</f>
        <v>1.2065625</v>
      </c>
      <c r="S546" s="95" t="s">
        <v>4596</v>
      </c>
      <c r="T546" s="4" t="s">
        <v>4598</v>
      </c>
      <c r="U546" s="95" t="s">
        <v>71</v>
      </c>
      <c r="V546" s="95" t="s">
        <v>71</v>
      </c>
      <c r="W546" s="95" t="s">
        <v>72</v>
      </c>
      <c r="X546" s="95" t="s">
        <v>71</v>
      </c>
      <c r="Y546" s="95" t="s">
        <v>72</v>
      </c>
      <c r="Z546" s="95" t="s">
        <v>71</v>
      </c>
      <c r="AA546" s="95" t="s">
        <v>72</v>
      </c>
      <c r="AB546" s="95" t="s">
        <v>72</v>
      </c>
      <c r="AC546" s="95" t="s">
        <v>72</v>
      </c>
      <c r="AD546" s="95" t="s">
        <v>72</v>
      </c>
      <c r="AE546" s="95" t="s">
        <v>71</v>
      </c>
      <c r="AF546" s="95" t="s">
        <v>72</v>
      </c>
      <c r="AG546" s="95" t="s">
        <v>71</v>
      </c>
      <c r="AH546" s="95" t="s">
        <v>71</v>
      </c>
      <c r="AI546" s="95" t="s">
        <v>71</v>
      </c>
      <c r="AK546" s="95" t="s">
        <v>71</v>
      </c>
    </row>
    <row r="547" spans="1:37" x14ac:dyDescent="0.2">
      <c r="A547" s="95" t="s">
        <v>65</v>
      </c>
      <c r="B547" s="95" t="s">
        <v>66</v>
      </c>
      <c r="C547" s="95" t="s">
        <v>85</v>
      </c>
      <c r="D547" s="95" t="s">
        <v>68</v>
      </c>
      <c r="E547" s="95" t="s">
        <v>68</v>
      </c>
      <c r="F547" s="95">
        <v>2</v>
      </c>
      <c r="G547" s="95">
        <v>8</v>
      </c>
      <c r="I547" s="95">
        <v>0.68</v>
      </c>
      <c r="J547" s="95">
        <v>1.2E-2</v>
      </c>
      <c r="K547" s="95">
        <v>0.46</v>
      </c>
      <c r="L547" s="95">
        <v>1.5</v>
      </c>
      <c r="O547" s="95">
        <v>999</v>
      </c>
      <c r="P547" s="95">
        <v>2023</v>
      </c>
      <c r="R547" s="95" t="s">
        <v>69</v>
      </c>
      <c r="S547" s="95" t="s">
        <v>70</v>
      </c>
      <c r="U547" s="95" t="s">
        <v>71</v>
      </c>
      <c r="V547" s="95" t="s">
        <v>71</v>
      </c>
      <c r="W547" s="95" t="s">
        <v>72</v>
      </c>
      <c r="X547" s="95" t="s">
        <v>71</v>
      </c>
      <c r="Y547" s="95" t="s">
        <v>72</v>
      </c>
      <c r="Z547" s="95" t="s">
        <v>71</v>
      </c>
      <c r="AA547" s="95" t="s">
        <v>72</v>
      </c>
      <c r="AB547" s="95" t="s">
        <v>72</v>
      </c>
      <c r="AC547" s="95" t="s">
        <v>72</v>
      </c>
      <c r="AD547" s="95" t="s">
        <v>72</v>
      </c>
      <c r="AE547" s="95" t="s">
        <v>71</v>
      </c>
      <c r="AF547" s="95" t="s">
        <v>72</v>
      </c>
      <c r="AG547" s="95" t="s">
        <v>71</v>
      </c>
      <c r="AH547" s="95" t="s">
        <v>71</v>
      </c>
      <c r="AI547" s="95" t="s">
        <v>71</v>
      </c>
      <c r="AK547" s="95" t="s">
        <v>71</v>
      </c>
    </row>
    <row r="548" spans="1:37" x14ac:dyDescent="0.2">
      <c r="A548" s="95" t="s">
        <v>65</v>
      </c>
      <c r="B548" s="95" t="s">
        <v>66</v>
      </c>
      <c r="C548" s="95" t="s">
        <v>85</v>
      </c>
      <c r="F548" s="95">
        <v>2</v>
      </c>
      <c r="G548" s="95">
        <v>8</v>
      </c>
      <c r="H548" s="250"/>
      <c r="I548" s="101">
        <f>21.79/32</f>
        <v>0.68093749999999997</v>
      </c>
      <c r="S548" s="95" t="s">
        <v>3435</v>
      </c>
      <c r="T548" s="4" t="s">
        <v>4556</v>
      </c>
      <c r="U548" s="95" t="s">
        <v>71</v>
      </c>
      <c r="V548" s="95" t="s">
        <v>71</v>
      </c>
      <c r="W548" s="95" t="s">
        <v>72</v>
      </c>
      <c r="X548" s="95" t="s">
        <v>71</v>
      </c>
      <c r="Y548" s="95" t="s">
        <v>72</v>
      </c>
      <c r="Z548" s="95" t="s">
        <v>71</v>
      </c>
      <c r="AA548" s="95" t="s">
        <v>72</v>
      </c>
      <c r="AB548" s="95" t="s">
        <v>72</v>
      </c>
      <c r="AC548" s="95" t="s">
        <v>72</v>
      </c>
      <c r="AD548" s="95" t="s">
        <v>72</v>
      </c>
      <c r="AE548" s="95" t="s">
        <v>71</v>
      </c>
      <c r="AF548" s="95" t="s">
        <v>72</v>
      </c>
      <c r="AG548" s="95" t="s">
        <v>71</v>
      </c>
      <c r="AH548" s="95" t="s">
        <v>71</v>
      </c>
      <c r="AI548" s="95" t="s">
        <v>71</v>
      </c>
      <c r="AK548" s="95" t="s">
        <v>71</v>
      </c>
    </row>
    <row r="549" spans="1:37" x14ac:dyDescent="0.2">
      <c r="A549" s="95" t="s">
        <v>65</v>
      </c>
      <c r="B549" s="95" t="s">
        <v>66</v>
      </c>
      <c r="C549" s="95" t="s">
        <v>85</v>
      </c>
      <c r="F549" s="95">
        <f>F548+1</f>
        <v>3</v>
      </c>
      <c r="G549" s="95">
        <f>G548+5</f>
        <v>13</v>
      </c>
      <c r="H549" s="250"/>
      <c r="I549" s="95">
        <f>424/32</f>
        <v>13.25</v>
      </c>
      <c r="Q549" s="95" t="s">
        <v>4570</v>
      </c>
      <c r="R549" s="95" t="s">
        <v>4600</v>
      </c>
      <c r="S549" s="95" t="s">
        <v>4568</v>
      </c>
      <c r="T549" s="4" t="s">
        <v>4569</v>
      </c>
      <c r="U549" s="95" t="s">
        <v>71</v>
      </c>
      <c r="V549" s="95" t="s">
        <v>71</v>
      </c>
      <c r="W549" s="95" t="s">
        <v>72</v>
      </c>
      <c r="X549" s="95" t="s">
        <v>71</v>
      </c>
      <c r="Y549" s="95" t="s">
        <v>72</v>
      </c>
      <c r="Z549" s="95" t="s">
        <v>71</v>
      </c>
      <c r="AA549" s="95" t="s">
        <v>72</v>
      </c>
      <c r="AB549" s="95" t="s">
        <v>72</v>
      </c>
      <c r="AC549" s="95" t="s">
        <v>72</v>
      </c>
      <c r="AD549" s="95" t="s">
        <v>72</v>
      </c>
      <c r="AE549" s="95" t="s">
        <v>71</v>
      </c>
      <c r="AF549" s="95" t="s">
        <v>72</v>
      </c>
      <c r="AG549" s="95" t="s">
        <v>71</v>
      </c>
      <c r="AH549" s="95" t="s">
        <v>71</v>
      </c>
      <c r="AI549" s="95" t="s">
        <v>71</v>
      </c>
      <c r="AK549" s="95" t="s">
        <v>72</v>
      </c>
    </row>
    <row r="550" spans="1:37" x14ac:dyDescent="0.2">
      <c r="A550" s="95" t="s">
        <v>65</v>
      </c>
      <c r="B550" s="95" t="s">
        <v>66</v>
      </c>
      <c r="C550" s="95" t="s">
        <v>85</v>
      </c>
      <c r="F550" s="95">
        <v>2</v>
      </c>
      <c r="G550" s="95">
        <v>8.5</v>
      </c>
      <c r="H550" s="250"/>
      <c r="I550" s="101">
        <f>105.91/40</f>
        <v>2.6477499999999998</v>
      </c>
      <c r="S550" s="95" t="s">
        <v>3435</v>
      </c>
      <c r="T550" s="4" t="s">
        <v>4558</v>
      </c>
      <c r="U550" s="95" t="s">
        <v>71</v>
      </c>
      <c r="V550" s="95" t="s">
        <v>71</v>
      </c>
      <c r="W550" s="95" t="s">
        <v>72</v>
      </c>
      <c r="X550" s="95" t="s">
        <v>71</v>
      </c>
      <c r="Y550" s="95" t="s">
        <v>72</v>
      </c>
      <c r="Z550" s="95" t="s">
        <v>71</v>
      </c>
      <c r="AA550" s="95" t="s">
        <v>72</v>
      </c>
      <c r="AB550" s="95" t="s">
        <v>72</v>
      </c>
      <c r="AC550" s="95" t="s">
        <v>72</v>
      </c>
      <c r="AD550" s="95" t="s">
        <v>72</v>
      </c>
      <c r="AE550" s="95" t="s">
        <v>71</v>
      </c>
      <c r="AF550" s="95" t="s">
        <v>72</v>
      </c>
      <c r="AG550" s="95" t="s">
        <v>71</v>
      </c>
      <c r="AH550" s="95" t="s">
        <v>71</v>
      </c>
      <c r="AI550" s="95" t="s">
        <v>71</v>
      </c>
      <c r="AK550" s="95" t="s">
        <v>71</v>
      </c>
    </row>
    <row r="551" spans="1:37" x14ac:dyDescent="0.2">
      <c r="A551" s="95" t="s">
        <v>65</v>
      </c>
      <c r="B551" s="95" t="s">
        <v>66</v>
      </c>
      <c r="C551" s="95" t="s">
        <v>85</v>
      </c>
      <c r="F551" s="95">
        <v>2</v>
      </c>
      <c r="G551" s="95">
        <v>8.8000000000000007</v>
      </c>
      <c r="H551" s="250"/>
      <c r="I551" s="101">
        <f>35.58/32</f>
        <v>1.1118749999999999</v>
      </c>
      <c r="S551" s="95" t="s">
        <v>3435</v>
      </c>
      <c r="T551" s="4" t="s">
        <v>3511</v>
      </c>
      <c r="U551" s="95" t="s">
        <v>71</v>
      </c>
      <c r="V551" s="95" t="s">
        <v>71</v>
      </c>
      <c r="W551" s="95" t="s">
        <v>72</v>
      </c>
      <c r="X551" s="95" t="s">
        <v>71</v>
      </c>
      <c r="Y551" s="95" t="s">
        <v>72</v>
      </c>
      <c r="Z551" s="95" t="s">
        <v>71</v>
      </c>
      <c r="AA551" s="95" t="s">
        <v>72</v>
      </c>
      <c r="AB551" s="95" t="s">
        <v>72</v>
      </c>
      <c r="AC551" s="95" t="s">
        <v>72</v>
      </c>
      <c r="AD551" s="95" t="s">
        <v>72</v>
      </c>
      <c r="AE551" s="95" t="s">
        <v>71</v>
      </c>
      <c r="AF551" s="95" t="s">
        <v>72</v>
      </c>
      <c r="AG551" s="95" t="s">
        <v>71</v>
      </c>
      <c r="AH551" s="95" t="s">
        <v>71</v>
      </c>
      <c r="AI551" s="95" t="s">
        <v>71</v>
      </c>
      <c r="AK551" s="95" t="s">
        <v>72</v>
      </c>
    </row>
    <row r="552" spans="1:37" x14ac:dyDescent="0.2">
      <c r="A552" s="95" t="s">
        <v>65</v>
      </c>
      <c r="B552" s="95" t="s">
        <v>66</v>
      </c>
      <c r="C552" s="95" t="s">
        <v>85</v>
      </c>
      <c r="F552" s="95">
        <f>F551+1</f>
        <v>3</v>
      </c>
      <c r="G552" s="95">
        <f>G551+5</f>
        <v>13.8</v>
      </c>
      <c r="H552" s="250"/>
      <c r="I552" s="95">
        <f>396/32</f>
        <v>12.375</v>
      </c>
      <c r="Q552" s="95" t="s">
        <v>4570</v>
      </c>
      <c r="R552" s="95" t="s">
        <v>4600</v>
      </c>
      <c r="S552" s="95" t="s">
        <v>4568</v>
      </c>
      <c r="T552" s="4" t="s">
        <v>4569</v>
      </c>
      <c r="U552" s="95" t="s">
        <v>71</v>
      </c>
      <c r="V552" s="95" t="s">
        <v>71</v>
      </c>
      <c r="W552" s="95" t="s">
        <v>72</v>
      </c>
      <c r="X552" s="95" t="s">
        <v>71</v>
      </c>
      <c r="Y552" s="95" t="s">
        <v>72</v>
      </c>
      <c r="Z552" s="95" t="s">
        <v>71</v>
      </c>
      <c r="AA552" s="95" t="s">
        <v>72</v>
      </c>
      <c r="AB552" s="95" t="s">
        <v>72</v>
      </c>
      <c r="AC552" s="95" t="s">
        <v>72</v>
      </c>
      <c r="AD552" s="95" t="s">
        <v>72</v>
      </c>
      <c r="AE552" s="95" t="s">
        <v>71</v>
      </c>
      <c r="AF552" s="95" t="s">
        <v>72</v>
      </c>
      <c r="AG552" s="95" t="s">
        <v>71</v>
      </c>
      <c r="AH552" s="95" t="s">
        <v>71</v>
      </c>
      <c r="AI552" s="95" t="s">
        <v>71</v>
      </c>
      <c r="AK552" s="95" t="s">
        <v>72</v>
      </c>
    </row>
    <row r="553" spans="1:37" x14ac:dyDescent="0.2">
      <c r="A553" s="95" t="s">
        <v>65</v>
      </c>
      <c r="B553" s="95" t="s">
        <v>66</v>
      </c>
      <c r="C553" s="95" t="s">
        <v>85</v>
      </c>
      <c r="D553" s="95" t="s">
        <v>81</v>
      </c>
      <c r="F553" s="95">
        <v>2</v>
      </c>
      <c r="G553" s="95">
        <v>10</v>
      </c>
      <c r="I553" s="95">
        <v>2.875</v>
      </c>
      <c r="P553" s="95">
        <v>2023</v>
      </c>
      <c r="Q553" s="95" t="s">
        <v>182</v>
      </c>
      <c r="R553" s="95" t="s">
        <v>220</v>
      </c>
      <c r="S553" s="95" t="s">
        <v>99</v>
      </c>
      <c r="T553" s="95" t="s">
        <v>221</v>
      </c>
      <c r="U553" s="95" t="s">
        <v>71</v>
      </c>
      <c r="V553" s="95" t="s">
        <v>71</v>
      </c>
      <c r="W553" s="95" t="s">
        <v>72</v>
      </c>
      <c r="X553" s="95" t="s">
        <v>71</v>
      </c>
      <c r="Y553" s="95" t="s">
        <v>72</v>
      </c>
      <c r="Z553" s="95" t="s">
        <v>71</v>
      </c>
      <c r="AA553" s="95" t="s">
        <v>72</v>
      </c>
      <c r="AB553" s="95" t="s">
        <v>72</v>
      </c>
      <c r="AC553" s="95" t="s">
        <v>72</v>
      </c>
      <c r="AD553" s="95" t="s">
        <v>72</v>
      </c>
      <c r="AE553" s="95" t="s">
        <v>71</v>
      </c>
      <c r="AF553" s="95" t="s">
        <v>72</v>
      </c>
      <c r="AG553" s="95" t="s">
        <v>71</v>
      </c>
      <c r="AH553" s="95" t="s">
        <v>71</v>
      </c>
      <c r="AI553" s="95" t="s">
        <v>71</v>
      </c>
      <c r="AK553" s="95" t="s">
        <v>71</v>
      </c>
    </row>
    <row r="554" spans="1:37" x14ac:dyDescent="0.2">
      <c r="A554" s="95" t="s">
        <v>65</v>
      </c>
      <c r="B554" s="95" t="s">
        <v>66</v>
      </c>
      <c r="C554" s="95" t="s">
        <v>85</v>
      </c>
      <c r="D554" s="95" t="s">
        <v>68</v>
      </c>
      <c r="F554" s="95">
        <v>2.38</v>
      </c>
      <c r="G554" s="95">
        <v>10</v>
      </c>
      <c r="I554" s="95">
        <v>2.5821874999999999</v>
      </c>
      <c r="P554" s="95">
        <v>2023</v>
      </c>
      <c r="Q554" s="95" t="s">
        <v>228</v>
      </c>
      <c r="R554" s="95" t="s">
        <v>229</v>
      </c>
      <c r="S554" s="95" t="s">
        <v>99</v>
      </c>
      <c r="T554" s="95" t="s">
        <v>230</v>
      </c>
      <c r="U554" s="95" t="s">
        <v>71</v>
      </c>
      <c r="V554" s="95" t="s">
        <v>71</v>
      </c>
      <c r="W554" s="95" t="s">
        <v>72</v>
      </c>
      <c r="X554" s="95" t="s">
        <v>71</v>
      </c>
      <c r="Y554" s="95" t="s">
        <v>72</v>
      </c>
      <c r="Z554" s="95" t="s">
        <v>71</v>
      </c>
      <c r="AA554" s="95" t="s">
        <v>72</v>
      </c>
      <c r="AB554" s="95" t="s">
        <v>72</v>
      </c>
      <c r="AC554" s="95" t="s">
        <v>72</v>
      </c>
      <c r="AD554" s="95" t="s">
        <v>72</v>
      </c>
      <c r="AE554" s="95" t="s">
        <v>71</v>
      </c>
      <c r="AF554" s="95" t="s">
        <v>72</v>
      </c>
      <c r="AG554" s="95" t="s">
        <v>71</v>
      </c>
      <c r="AH554" s="95" t="s">
        <v>71</v>
      </c>
      <c r="AI554" s="95" t="s">
        <v>71</v>
      </c>
      <c r="AK554" s="95" t="s">
        <v>71</v>
      </c>
    </row>
    <row r="555" spans="1:37" x14ac:dyDescent="0.2">
      <c r="A555" s="95" t="s">
        <v>65</v>
      </c>
      <c r="B555" s="95" t="s">
        <v>66</v>
      </c>
      <c r="C555" s="95" t="s">
        <v>85</v>
      </c>
      <c r="F555" s="249">
        <v>2</v>
      </c>
      <c r="G555" s="95">
        <v>10</v>
      </c>
      <c r="H555" s="250"/>
      <c r="I555" s="101">
        <f>23.7/32</f>
        <v>0.74062499999999998</v>
      </c>
      <c r="S555" s="95" t="s">
        <v>3435</v>
      </c>
      <c r="T555" s="4" t="s">
        <v>3521</v>
      </c>
      <c r="U555" s="95" t="s">
        <v>71</v>
      </c>
      <c r="V555" s="95" t="s">
        <v>71</v>
      </c>
      <c r="W555" s="95" t="s">
        <v>72</v>
      </c>
      <c r="X555" s="95" t="s">
        <v>71</v>
      </c>
      <c r="Y555" s="95" t="s">
        <v>72</v>
      </c>
      <c r="Z555" s="95" t="s">
        <v>71</v>
      </c>
      <c r="AA555" s="95" t="s">
        <v>72</v>
      </c>
      <c r="AB555" s="95" t="s">
        <v>72</v>
      </c>
      <c r="AC555" s="95" t="s">
        <v>72</v>
      </c>
      <c r="AD555" s="95" t="s">
        <v>72</v>
      </c>
      <c r="AE555" s="95" t="s">
        <v>71</v>
      </c>
      <c r="AF555" s="95" t="s">
        <v>72</v>
      </c>
      <c r="AG555" s="95" t="s">
        <v>71</v>
      </c>
      <c r="AH555" s="95" t="s">
        <v>71</v>
      </c>
      <c r="AI555" s="95" t="s">
        <v>71</v>
      </c>
      <c r="AK555" s="95" t="s">
        <v>72</v>
      </c>
    </row>
    <row r="556" spans="1:37" x14ac:dyDescent="0.2">
      <c r="A556" s="95" t="s">
        <v>65</v>
      </c>
      <c r="B556" s="95" t="s">
        <v>66</v>
      </c>
      <c r="C556" s="95" t="s">
        <v>85</v>
      </c>
      <c r="E556" s="254"/>
      <c r="F556" s="95">
        <f>2 +3/8</f>
        <v>2.375</v>
      </c>
      <c r="G556" s="95">
        <v>10</v>
      </c>
      <c r="H556" s="250"/>
      <c r="I556" s="101">
        <f>44.39/32</f>
        <v>1.3871875</v>
      </c>
      <c r="S556" s="95" t="s">
        <v>3435</v>
      </c>
      <c r="T556" s="4" t="s">
        <v>4560</v>
      </c>
      <c r="U556" s="95" t="s">
        <v>71</v>
      </c>
      <c r="V556" s="95" t="s">
        <v>71</v>
      </c>
      <c r="W556" s="95" t="s">
        <v>72</v>
      </c>
      <c r="X556" s="95" t="s">
        <v>71</v>
      </c>
      <c r="Y556" s="95" t="s">
        <v>72</v>
      </c>
      <c r="Z556" s="95" t="s">
        <v>71</v>
      </c>
      <c r="AA556" s="95" t="s">
        <v>72</v>
      </c>
      <c r="AB556" s="95" t="s">
        <v>72</v>
      </c>
      <c r="AC556" s="95" t="s">
        <v>72</v>
      </c>
      <c r="AD556" s="95" t="s">
        <v>72</v>
      </c>
      <c r="AE556" s="95" t="s">
        <v>71</v>
      </c>
      <c r="AF556" s="95" t="s">
        <v>72</v>
      </c>
      <c r="AG556" s="95" t="s">
        <v>71</v>
      </c>
      <c r="AH556" s="95" t="s">
        <v>71</v>
      </c>
      <c r="AI556" s="95" t="s">
        <v>71</v>
      </c>
      <c r="AK556" s="95" t="s">
        <v>71</v>
      </c>
    </row>
    <row r="557" spans="1:37" x14ac:dyDescent="0.2">
      <c r="A557" s="95" t="s">
        <v>65</v>
      </c>
      <c r="B557" s="95" t="s">
        <v>66</v>
      </c>
      <c r="C557" s="95" t="s">
        <v>85</v>
      </c>
      <c r="F557" s="95">
        <f>1/8 +2</f>
        <v>2.125</v>
      </c>
      <c r="G557" s="95">
        <v>10</v>
      </c>
      <c r="H557" s="250"/>
      <c r="I557" s="101">
        <f>63.88/32</f>
        <v>1.9962500000000001</v>
      </c>
      <c r="S557" s="95" t="s">
        <v>4594</v>
      </c>
      <c r="T557" s="4" t="s">
        <v>4595</v>
      </c>
      <c r="U557" s="95" t="s">
        <v>71</v>
      </c>
      <c r="V557" s="95" t="s">
        <v>71</v>
      </c>
      <c r="W557" s="95" t="s">
        <v>72</v>
      </c>
      <c r="X557" s="95" t="s">
        <v>71</v>
      </c>
      <c r="Y557" s="95" t="s">
        <v>72</v>
      </c>
      <c r="Z557" s="95" t="s">
        <v>71</v>
      </c>
      <c r="AA557" s="95" t="s">
        <v>72</v>
      </c>
      <c r="AB557" s="95" t="s">
        <v>72</v>
      </c>
      <c r="AC557" s="95" t="s">
        <v>72</v>
      </c>
      <c r="AD557" s="95" t="s">
        <v>72</v>
      </c>
      <c r="AE557" s="95" t="s">
        <v>71</v>
      </c>
      <c r="AF557" s="95" t="s">
        <v>72</v>
      </c>
      <c r="AG557" s="95" t="s">
        <v>71</v>
      </c>
      <c r="AH557" s="95" t="s">
        <v>71</v>
      </c>
      <c r="AI557" s="95" t="s">
        <v>71</v>
      </c>
      <c r="AK557" s="95" t="s">
        <v>71</v>
      </c>
    </row>
    <row r="558" spans="1:37" x14ac:dyDescent="0.2">
      <c r="A558" s="95" t="s">
        <v>65</v>
      </c>
      <c r="B558" s="95" t="s">
        <v>66</v>
      </c>
      <c r="C558" s="95" t="s">
        <v>85</v>
      </c>
      <c r="F558" s="95">
        <f>F557+1</f>
        <v>3.125</v>
      </c>
      <c r="G558" s="95">
        <f>G557+5</f>
        <v>15</v>
      </c>
      <c r="H558" s="250"/>
      <c r="I558" s="95">
        <f>368/32</f>
        <v>11.5</v>
      </c>
      <c r="Q558" s="95" t="s">
        <v>4570</v>
      </c>
      <c r="R558" s="95" t="s">
        <v>4600</v>
      </c>
      <c r="S558" s="95" t="s">
        <v>4568</v>
      </c>
      <c r="T558" s="4" t="s">
        <v>4569</v>
      </c>
      <c r="U558" s="95" t="s">
        <v>71</v>
      </c>
      <c r="V558" s="95" t="s">
        <v>71</v>
      </c>
      <c r="W558" s="95" t="s">
        <v>72</v>
      </c>
      <c r="X558" s="95" t="s">
        <v>71</v>
      </c>
      <c r="Y558" s="95" t="s">
        <v>72</v>
      </c>
      <c r="Z558" s="95" t="s">
        <v>71</v>
      </c>
      <c r="AA558" s="95" t="s">
        <v>72</v>
      </c>
      <c r="AB558" s="95" t="s">
        <v>72</v>
      </c>
      <c r="AC558" s="95" t="s">
        <v>72</v>
      </c>
      <c r="AD558" s="95" t="s">
        <v>72</v>
      </c>
      <c r="AE558" s="95" t="s">
        <v>71</v>
      </c>
      <c r="AF558" s="95" t="s">
        <v>72</v>
      </c>
      <c r="AG558" s="95" t="s">
        <v>71</v>
      </c>
      <c r="AH558" s="95" t="s">
        <v>71</v>
      </c>
      <c r="AI558" s="95" t="s">
        <v>71</v>
      </c>
      <c r="AK558" s="95" t="s">
        <v>72</v>
      </c>
    </row>
    <row r="559" spans="1:37" x14ac:dyDescent="0.2">
      <c r="A559" s="95" t="s">
        <v>65</v>
      </c>
      <c r="B559" s="95" t="s">
        <v>66</v>
      </c>
      <c r="C559" s="95" t="s">
        <v>85</v>
      </c>
      <c r="F559" s="252">
        <v>3.5</v>
      </c>
      <c r="G559" s="250">
        <v>12.55</v>
      </c>
      <c r="H559" s="101"/>
      <c r="I559" s="101">
        <f>128.99/32</f>
        <v>4.0309375000000003</v>
      </c>
      <c r="Q559" s="95" t="s">
        <v>4555</v>
      </c>
      <c r="S559" s="95" t="s">
        <v>2724</v>
      </c>
      <c r="T559" s="4" t="s">
        <v>4551</v>
      </c>
      <c r="U559" s="95" t="s">
        <v>71</v>
      </c>
      <c r="V559" s="95" t="s">
        <v>71</v>
      </c>
      <c r="W559" s="95" t="s">
        <v>72</v>
      </c>
      <c r="X559" s="95" t="s">
        <v>71</v>
      </c>
      <c r="Y559" s="95" t="s">
        <v>72</v>
      </c>
      <c r="Z559" s="95" t="s">
        <v>71</v>
      </c>
      <c r="AA559" s="95" t="s">
        <v>72</v>
      </c>
      <c r="AB559" s="95" t="s">
        <v>72</v>
      </c>
      <c r="AC559" s="95" t="s">
        <v>72</v>
      </c>
      <c r="AD559" s="95" t="s">
        <v>72</v>
      </c>
      <c r="AE559" s="95" t="s">
        <v>71</v>
      </c>
      <c r="AF559" s="95" t="s">
        <v>72</v>
      </c>
      <c r="AG559" s="95" t="s">
        <v>71</v>
      </c>
      <c r="AH559" s="95" t="s">
        <v>71</v>
      </c>
      <c r="AI559" s="95" t="s">
        <v>71</v>
      </c>
      <c r="AK559" s="95" t="s">
        <v>72</v>
      </c>
    </row>
    <row r="560" spans="1:37" x14ac:dyDescent="0.2">
      <c r="A560" s="95" t="s">
        <v>65</v>
      </c>
      <c r="B560" s="95" t="s">
        <v>66</v>
      </c>
      <c r="C560" s="95" t="s">
        <v>85</v>
      </c>
      <c r="F560" s="95">
        <f>F559+1</f>
        <v>4.5</v>
      </c>
      <c r="G560" s="95">
        <f>G559+5</f>
        <v>17.55</v>
      </c>
      <c r="H560" s="250"/>
      <c r="I560" s="95">
        <f>410/32</f>
        <v>12.8125</v>
      </c>
      <c r="Q560" s="95" t="s">
        <v>4570</v>
      </c>
      <c r="R560" s="95" t="s">
        <v>4600</v>
      </c>
      <c r="S560" s="95" t="s">
        <v>4568</v>
      </c>
      <c r="T560" s="4" t="s">
        <v>4569</v>
      </c>
      <c r="U560" s="95" t="s">
        <v>71</v>
      </c>
      <c r="V560" s="95" t="s">
        <v>71</v>
      </c>
      <c r="W560" s="95" t="s">
        <v>72</v>
      </c>
      <c r="X560" s="95" t="s">
        <v>71</v>
      </c>
      <c r="Y560" s="95" t="s">
        <v>72</v>
      </c>
      <c r="Z560" s="95" t="s">
        <v>71</v>
      </c>
      <c r="AA560" s="95" t="s">
        <v>72</v>
      </c>
      <c r="AB560" s="95" t="s">
        <v>72</v>
      </c>
      <c r="AC560" s="95" t="s">
        <v>72</v>
      </c>
      <c r="AD560" s="95" t="s">
        <v>72</v>
      </c>
      <c r="AE560" s="95" t="s">
        <v>71</v>
      </c>
      <c r="AF560" s="95" t="s">
        <v>72</v>
      </c>
      <c r="AG560" s="95" t="s">
        <v>71</v>
      </c>
      <c r="AH560" s="95" t="s">
        <v>71</v>
      </c>
      <c r="AI560" s="95" t="s">
        <v>71</v>
      </c>
      <c r="AK560" s="95" t="s">
        <v>72</v>
      </c>
    </row>
    <row r="561" spans="1:37" x14ac:dyDescent="0.2">
      <c r="A561" s="95" t="s">
        <v>65</v>
      </c>
      <c r="B561" s="95" t="s">
        <v>66</v>
      </c>
      <c r="C561" s="95" t="s">
        <v>85</v>
      </c>
      <c r="F561" s="251">
        <v>4</v>
      </c>
      <c r="G561" s="250">
        <v>14.3</v>
      </c>
      <c r="H561" s="101"/>
      <c r="I561" s="101">
        <f>199.99/32</f>
        <v>6.2496875000000003</v>
      </c>
      <c r="Q561" s="95" t="s">
        <v>4555</v>
      </c>
      <c r="S561" s="95" t="s">
        <v>2724</v>
      </c>
      <c r="T561" s="4" t="s">
        <v>4552</v>
      </c>
      <c r="U561" s="95" t="s">
        <v>71</v>
      </c>
      <c r="V561" s="95" t="s">
        <v>71</v>
      </c>
      <c r="W561" s="95" t="s">
        <v>72</v>
      </c>
      <c r="X561" s="95" t="s">
        <v>71</v>
      </c>
      <c r="Y561" s="95" t="s">
        <v>72</v>
      </c>
      <c r="Z561" s="95" t="s">
        <v>71</v>
      </c>
      <c r="AA561" s="95" t="s">
        <v>72</v>
      </c>
      <c r="AB561" s="95" t="s">
        <v>72</v>
      </c>
      <c r="AC561" s="95" t="s">
        <v>72</v>
      </c>
      <c r="AD561" s="95" t="s">
        <v>72</v>
      </c>
      <c r="AE561" s="95" t="s">
        <v>71</v>
      </c>
      <c r="AF561" s="95" t="s">
        <v>72</v>
      </c>
      <c r="AG561" s="95" t="s">
        <v>71</v>
      </c>
      <c r="AH561" s="95" t="s">
        <v>71</v>
      </c>
      <c r="AI561" s="95" t="s">
        <v>71</v>
      </c>
      <c r="AK561" s="95" t="s">
        <v>72</v>
      </c>
    </row>
    <row r="562" spans="1:37" x14ac:dyDescent="0.2">
      <c r="A562" s="95" t="s">
        <v>65</v>
      </c>
      <c r="B562" s="95" t="s">
        <v>66</v>
      </c>
      <c r="C562" s="95" t="s">
        <v>85</v>
      </c>
      <c r="F562" s="251">
        <v>4</v>
      </c>
      <c r="G562" s="250">
        <v>14.4</v>
      </c>
      <c r="H562" s="101"/>
      <c r="I562" s="101">
        <f>174.99/32</f>
        <v>5.4684375000000003</v>
      </c>
      <c r="Q562" s="95" t="s">
        <v>4555</v>
      </c>
      <c r="S562" s="95" t="s">
        <v>2724</v>
      </c>
      <c r="T562" s="4" t="s">
        <v>4553</v>
      </c>
      <c r="U562" s="95" t="s">
        <v>71</v>
      </c>
      <c r="V562" s="95" t="s">
        <v>71</v>
      </c>
      <c r="W562" s="95" t="s">
        <v>72</v>
      </c>
      <c r="X562" s="95" t="s">
        <v>71</v>
      </c>
      <c r="Y562" s="95" t="s">
        <v>72</v>
      </c>
      <c r="Z562" s="95" t="s">
        <v>71</v>
      </c>
      <c r="AA562" s="95" t="s">
        <v>72</v>
      </c>
      <c r="AB562" s="95" t="s">
        <v>72</v>
      </c>
      <c r="AC562" s="95" t="s">
        <v>72</v>
      </c>
      <c r="AD562" s="95" t="s">
        <v>72</v>
      </c>
      <c r="AE562" s="95" t="s">
        <v>71</v>
      </c>
      <c r="AF562" s="95" t="s">
        <v>72</v>
      </c>
      <c r="AG562" s="95" t="s">
        <v>71</v>
      </c>
      <c r="AH562" s="95" t="s">
        <v>71</v>
      </c>
      <c r="AI562" s="95" t="s">
        <v>71</v>
      </c>
      <c r="AK562" s="95" t="s">
        <v>72</v>
      </c>
    </row>
    <row r="563" spans="1:37" x14ac:dyDescent="0.2">
      <c r="A563" s="95" t="s">
        <v>65</v>
      </c>
      <c r="B563" s="95" t="s">
        <v>66</v>
      </c>
      <c r="C563" s="95" t="s">
        <v>85</v>
      </c>
      <c r="F563" s="95">
        <f>F562+1</f>
        <v>5</v>
      </c>
      <c r="G563" s="95">
        <f t="shared" ref="G563:G570" si="0">G562+5</f>
        <v>19.399999999999999</v>
      </c>
      <c r="H563" s="250"/>
      <c r="I563" s="95">
        <f>382/32</f>
        <v>11.9375</v>
      </c>
      <c r="Q563" s="95" t="s">
        <v>4570</v>
      </c>
      <c r="R563" s="95" t="s">
        <v>4600</v>
      </c>
      <c r="S563" s="95" t="s">
        <v>4568</v>
      </c>
      <c r="T563" s="4" t="s">
        <v>4569</v>
      </c>
      <c r="U563" s="95" t="s">
        <v>71</v>
      </c>
      <c r="V563" s="95" t="s">
        <v>71</v>
      </c>
      <c r="W563" s="95" t="s">
        <v>72</v>
      </c>
      <c r="X563" s="95" t="s">
        <v>71</v>
      </c>
      <c r="Y563" s="95" t="s">
        <v>72</v>
      </c>
      <c r="Z563" s="95" t="s">
        <v>71</v>
      </c>
      <c r="AA563" s="95" t="s">
        <v>72</v>
      </c>
      <c r="AB563" s="95" t="s">
        <v>72</v>
      </c>
      <c r="AC563" s="95" t="s">
        <v>72</v>
      </c>
      <c r="AD563" s="95" t="s">
        <v>72</v>
      </c>
      <c r="AE563" s="95" t="s">
        <v>71</v>
      </c>
      <c r="AF563" s="95" t="s">
        <v>72</v>
      </c>
      <c r="AG563" s="95" t="s">
        <v>71</v>
      </c>
      <c r="AH563" s="95" t="s">
        <v>71</v>
      </c>
      <c r="AI563" s="95" t="s">
        <v>71</v>
      </c>
      <c r="AK563" s="95" t="s">
        <v>72</v>
      </c>
    </row>
    <row r="564" spans="1:37" x14ac:dyDescent="0.2">
      <c r="A564" s="95" t="s">
        <v>65</v>
      </c>
      <c r="B564" s="95" t="s">
        <v>66</v>
      </c>
      <c r="C564" s="95" t="s">
        <v>85</v>
      </c>
      <c r="F564" s="95">
        <f>F563+1</f>
        <v>6</v>
      </c>
      <c r="G564" s="95">
        <f t="shared" si="0"/>
        <v>24.4</v>
      </c>
      <c r="H564" s="250"/>
      <c r="I564" s="95">
        <f>354/32</f>
        <v>11.0625</v>
      </c>
      <c r="Q564" s="95" t="s">
        <v>4570</v>
      </c>
      <c r="R564" s="95" t="s">
        <v>4600</v>
      </c>
      <c r="S564" s="95" t="s">
        <v>4568</v>
      </c>
      <c r="T564" s="4" t="s">
        <v>4569</v>
      </c>
      <c r="U564" s="95" t="s">
        <v>71</v>
      </c>
      <c r="V564" s="95" t="s">
        <v>71</v>
      </c>
      <c r="W564" s="95" t="s">
        <v>72</v>
      </c>
      <c r="X564" s="95" t="s">
        <v>71</v>
      </c>
      <c r="Y564" s="95" t="s">
        <v>72</v>
      </c>
      <c r="Z564" s="95" t="s">
        <v>71</v>
      </c>
      <c r="AA564" s="95" t="s">
        <v>72</v>
      </c>
      <c r="AB564" s="95" t="s">
        <v>72</v>
      </c>
      <c r="AC564" s="95" t="s">
        <v>72</v>
      </c>
      <c r="AD564" s="95" t="s">
        <v>72</v>
      </c>
      <c r="AE564" s="95" t="s">
        <v>71</v>
      </c>
      <c r="AF564" s="95" t="s">
        <v>72</v>
      </c>
      <c r="AG564" s="95" t="s">
        <v>71</v>
      </c>
      <c r="AH564" s="95" t="s">
        <v>71</v>
      </c>
      <c r="AI564" s="95" t="s">
        <v>71</v>
      </c>
      <c r="AK564" s="95" t="s">
        <v>72</v>
      </c>
    </row>
    <row r="565" spans="1:37" x14ac:dyDescent="0.2">
      <c r="A565" s="95" t="s">
        <v>65</v>
      </c>
      <c r="B565" s="95" t="s">
        <v>66</v>
      </c>
      <c r="C565" s="95" t="s">
        <v>85</v>
      </c>
      <c r="F565" s="95">
        <f>F564+1</f>
        <v>7</v>
      </c>
      <c r="G565" s="95">
        <f t="shared" si="0"/>
        <v>29.4</v>
      </c>
      <c r="H565" s="250"/>
      <c r="I565" s="95">
        <f>340/32</f>
        <v>10.625</v>
      </c>
      <c r="Q565" s="95" t="s">
        <v>4570</v>
      </c>
      <c r="R565" s="95" t="s">
        <v>4600</v>
      </c>
      <c r="S565" s="95" t="s">
        <v>4568</v>
      </c>
      <c r="T565" s="4" t="s">
        <v>4569</v>
      </c>
      <c r="U565" s="95" t="s">
        <v>71</v>
      </c>
      <c r="V565" s="95" t="s">
        <v>71</v>
      </c>
      <c r="W565" s="95" t="s">
        <v>72</v>
      </c>
      <c r="X565" s="95" t="s">
        <v>71</v>
      </c>
      <c r="Y565" s="95" t="s">
        <v>72</v>
      </c>
      <c r="Z565" s="95" t="s">
        <v>71</v>
      </c>
      <c r="AA565" s="95" t="s">
        <v>72</v>
      </c>
      <c r="AB565" s="95" t="s">
        <v>72</v>
      </c>
      <c r="AC565" s="95" t="s">
        <v>72</v>
      </c>
      <c r="AD565" s="95" t="s">
        <v>72</v>
      </c>
      <c r="AE565" s="95" t="s">
        <v>71</v>
      </c>
      <c r="AF565" s="95" t="s">
        <v>72</v>
      </c>
      <c r="AG565" s="95" t="s">
        <v>71</v>
      </c>
      <c r="AH565" s="95" t="s">
        <v>71</v>
      </c>
      <c r="AI565" s="95" t="s">
        <v>71</v>
      </c>
      <c r="AK565" s="95" t="s">
        <v>72</v>
      </c>
    </row>
    <row r="566" spans="1:37" x14ac:dyDescent="0.2">
      <c r="A566" s="95" t="s">
        <v>65</v>
      </c>
      <c r="B566" s="95" t="s">
        <v>66</v>
      </c>
      <c r="C566" s="95" t="s">
        <v>85</v>
      </c>
      <c r="F566" s="95">
        <f>F565+1</f>
        <v>8</v>
      </c>
      <c r="G566" s="95">
        <f t="shared" si="0"/>
        <v>34.4</v>
      </c>
      <c r="H566" s="250"/>
      <c r="I566" s="95">
        <f>326/32</f>
        <v>10.1875</v>
      </c>
      <c r="Q566" s="95" t="s">
        <v>4570</v>
      </c>
      <c r="R566" s="95" t="s">
        <v>4600</v>
      </c>
      <c r="S566" s="95" t="s">
        <v>4568</v>
      </c>
      <c r="T566" s="4" t="s">
        <v>4569</v>
      </c>
      <c r="U566" s="95" t="s">
        <v>71</v>
      </c>
      <c r="V566" s="95" t="s">
        <v>71</v>
      </c>
      <c r="W566" s="95" t="s">
        <v>72</v>
      </c>
      <c r="X566" s="95" t="s">
        <v>71</v>
      </c>
      <c r="Y566" s="95" t="s">
        <v>72</v>
      </c>
      <c r="Z566" s="95" t="s">
        <v>71</v>
      </c>
      <c r="AA566" s="95" t="s">
        <v>72</v>
      </c>
      <c r="AB566" s="95" t="s">
        <v>72</v>
      </c>
      <c r="AC566" s="95" t="s">
        <v>72</v>
      </c>
      <c r="AD566" s="95" t="s">
        <v>72</v>
      </c>
      <c r="AE566" s="95" t="s">
        <v>71</v>
      </c>
      <c r="AF566" s="95" t="s">
        <v>72</v>
      </c>
      <c r="AG566" s="95" t="s">
        <v>71</v>
      </c>
      <c r="AH566" s="95" t="s">
        <v>71</v>
      </c>
      <c r="AI566" s="95" t="s">
        <v>71</v>
      </c>
      <c r="AK566" s="95" t="s">
        <v>72</v>
      </c>
    </row>
    <row r="567" spans="1:37" x14ac:dyDescent="0.2">
      <c r="A567" s="95" t="s">
        <v>65</v>
      </c>
      <c r="B567" s="95" t="s">
        <v>66</v>
      </c>
      <c r="C567" s="95" t="s">
        <v>85</v>
      </c>
      <c r="F567" s="95">
        <f>F566+1</f>
        <v>9</v>
      </c>
      <c r="G567" s="95">
        <f t="shared" si="0"/>
        <v>39.4</v>
      </c>
      <c r="H567" s="250"/>
      <c r="I567" s="95">
        <f>270/32</f>
        <v>8.4375</v>
      </c>
      <c r="Q567" s="95" t="s">
        <v>4570</v>
      </c>
      <c r="R567" s="95" t="s">
        <v>4600</v>
      </c>
      <c r="S567" s="95" t="s">
        <v>4568</v>
      </c>
      <c r="T567" s="4" t="s">
        <v>4569</v>
      </c>
      <c r="U567" s="95" t="s">
        <v>71</v>
      </c>
      <c r="V567" s="95" t="s">
        <v>71</v>
      </c>
      <c r="W567" s="95" t="s">
        <v>72</v>
      </c>
      <c r="X567" s="95" t="s">
        <v>71</v>
      </c>
      <c r="Y567" s="95" t="s">
        <v>72</v>
      </c>
      <c r="Z567" s="95" t="s">
        <v>71</v>
      </c>
      <c r="AA567" s="95" t="s">
        <v>72</v>
      </c>
      <c r="AB567" s="95" t="s">
        <v>72</v>
      </c>
      <c r="AC567" s="95" t="s">
        <v>72</v>
      </c>
      <c r="AD567" s="95" t="s">
        <v>72</v>
      </c>
      <c r="AE567" s="95" t="s">
        <v>71</v>
      </c>
      <c r="AF567" s="95" t="s">
        <v>72</v>
      </c>
      <c r="AG567" s="95" t="s">
        <v>71</v>
      </c>
      <c r="AH567" s="95" t="s">
        <v>71</v>
      </c>
      <c r="AI567" s="95" t="s">
        <v>71</v>
      </c>
      <c r="AK567" s="95" t="s">
        <v>72</v>
      </c>
    </row>
    <row r="568" spans="1:37" x14ac:dyDescent="0.2">
      <c r="A568" s="95" t="s">
        <v>65</v>
      </c>
      <c r="B568" s="95" t="s">
        <v>66</v>
      </c>
      <c r="C568" s="95" t="s">
        <v>85</v>
      </c>
      <c r="F568" s="95">
        <v>3</v>
      </c>
      <c r="G568" s="95">
        <f t="shared" si="0"/>
        <v>44.4</v>
      </c>
      <c r="H568" s="250"/>
      <c r="I568" s="95">
        <f>44/32</f>
        <v>1.375</v>
      </c>
      <c r="Q568" s="95" t="s">
        <v>4570</v>
      </c>
      <c r="R568" s="95" t="s">
        <v>4600</v>
      </c>
      <c r="S568" s="95" t="s">
        <v>4568</v>
      </c>
      <c r="T568" s="4" t="s">
        <v>4569</v>
      </c>
      <c r="U568" s="95" t="s">
        <v>71</v>
      </c>
      <c r="V568" s="95" t="s">
        <v>71</v>
      </c>
      <c r="W568" s="95" t="s">
        <v>72</v>
      </c>
      <c r="X568" s="95" t="s">
        <v>71</v>
      </c>
      <c r="Y568" s="95" t="s">
        <v>72</v>
      </c>
      <c r="Z568" s="95" t="s">
        <v>71</v>
      </c>
      <c r="AA568" s="95" t="s">
        <v>72</v>
      </c>
      <c r="AB568" s="95" t="s">
        <v>72</v>
      </c>
      <c r="AC568" s="95" t="s">
        <v>72</v>
      </c>
      <c r="AD568" s="95" t="s">
        <v>72</v>
      </c>
      <c r="AE568" s="95" t="s">
        <v>71</v>
      </c>
      <c r="AF568" s="95" t="s">
        <v>72</v>
      </c>
      <c r="AG568" s="95" t="s">
        <v>71</v>
      </c>
      <c r="AH568" s="95" t="s">
        <v>71</v>
      </c>
      <c r="AI568" s="95" t="s">
        <v>71</v>
      </c>
      <c r="AK568" s="95" t="s">
        <v>72</v>
      </c>
    </row>
    <row r="569" spans="1:37" x14ac:dyDescent="0.2">
      <c r="A569" s="95" t="s">
        <v>65</v>
      </c>
      <c r="B569" s="95" t="s">
        <v>66</v>
      </c>
      <c r="C569" s="95" t="s">
        <v>85</v>
      </c>
      <c r="F569" s="95">
        <f>F568+1</f>
        <v>4</v>
      </c>
      <c r="G569" s="95">
        <f t="shared" si="0"/>
        <v>49.4</v>
      </c>
      <c r="H569" s="250"/>
      <c r="I569" s="95">
        <f>312/32</f>
        <v>9.75</v>
      </c>
      <c r="Q569" s="95" t="s">
        <v>4570</v>
      </c>
      <c r="R569" s="95" t="s">
        <v>4600</v>
      </c>
      <c r="S569" s="95" t="s">
        <v>4568</v>
      </c>
      <c r="T569" s="4" t="s">
        <v>4569</v>
      </c>
      <c r="U569" s="95" t="s">
        <v>71</v>
      </c>
      <c r="V569" s="95" t="s">
        <v>71</v>
      </c>
      <c r="W569" s="95" t="s">
        <v>72</v>
      </c>
      <c r="X569" s="95" t="s">
        <v>71</v>
      </c>
      <c r="Y569" s="95" t="s">
        <v>72</v>
      </c>
      <c r="Z569" s="95" t="s">
        <v>71</v>
      </c>
      <c r="AA569" s="95" t="s">
        <v>72</v>
      </c>
      <c r="AB569" s="95" t="s">
        <v>72</v>
      </c>
      <c r="AC569" s="95" t="s">
        <v>72</v>
      </c>
      <c r="AD569" s="95" t="s">
        <v>72</v>
      </c>
      <c r="AE569" s="95" t="s">
        <v>71</v>
      </c>
      <c r="AF569" s="95" t="s">
        <v>72</v>
      </c>
      <c r="AG569" s="95" t="s">
        <v>71</v>
      </c>
      <c r="AH569" s="95" t="s">
        <v>71</v>
      </c>
      <c r="AI569" s="95" t="s">
        <v>71</v>
      </c>
      <c r="AK569" s="95" t="s">
        <v>72</v>
      </c>
    </row>
    <row r="570" spans="1:37" x14ac:dyDescent="0.2">
      <c r="A570" s="95" t="s">
        <v>65</v>
      </c>
      <c r="B570" s="95" t="s">
        <v>66</v>
      </c>
      <c r="C570" s="95" t="s">
        <v>85</v>
      </c>
      <c r="F570" s="95">
        <f>F569+1</f>
        <v>5</v>
      </c>
      <c r="G570" s="95">
        <f t="shared" si="0"/>
        <v>54.4</v>
      </c>
      <c r="H570" s="250"/>
      <c r="I570" s="95">
        <f>255/32</f>
        <v>7.96875</v>
      </c>
      <c r="Q570" s="95" t="s">
        <v>4570</v>
      </c>
      <c r="R570" s="95" t="s">
        <v>4600</v>
      </c>
      <c r="S570" s="95" t="s">
        <v>4568</v>
      </c>
      <c r="T570" s="4" t="s">
        <v>4569</v>
      </c>
      <c r="U570" s="95" t="s">
        <v>71</v>
      </c>
      <c r="V570" s="95" t="s">
        <v>71</v>
      </c>
      <c r="W570" s="95" t="s">
        <v>72</v>
      </c>
      <c r="X570" s="95" t="s">
        <v>71</v>
      </c>
      <c r="Y570" s="95" t="s">
        <v>72</v>
      </c>
      <c r="Z570" s="95" t="s">
        <v>71</v>
      </c>
      <c r="AA570" s="95" t="s">
        <v>72</v>
      </c>
      <c r="AB570" s="95" t="s">
        <v>72</v>
      </c>
      <c r="AC570" s="95" t="s">
        <v>72</v>
      </c>
      <c r="AD570" s="95" t="s">
        <v>72</v>
      </c>
      <c r="AE570" s="95" t="s">
        <v>71</v>
      </c>
      <c r="AF570" s="95" t="s">
        <v>72</v>
      </c>
      <c r="AG570" s="95" t="s">
        <v>71</v>
      </c>
      <c r="AH570" s="95" t="s">
        <v>71</v>
      </c>
      <c r="AI570" s="95" t="s">
        <v>71</v>
      </c>
      <c r="AK570" s="95" t="s">
        <v>72</v>
      </c>
    </row>
    <row r="571" spans="1:37" x14ac:dyDescent="0.2">
      <c r="A571" s="95" t="s">
        <v>65</v>
      </c>
      <c r="B571" s="95" t="s">
        <v>66</v>
      </c>
      <c r="C571" s="95" t="s">
        <v>85</v>
      </c>
      <c r="F571" s="251">
        <v>6</v>
      </c>
      <c r="G571" s="250">
        <v>22.1</v>
      </c>
      <c r="H571" s="250"/>
      <c r="I571" s="101">
        <f>159.99/32</f>
        <v>4.9996875000000003</v>
      </c>
      <c r="Q571" s="95" t="s">
        <v>4555</v>
      </c>
      <c r="S571" s="95" t="s">
        <v>2724</v>
      </c>
      <c r="T571" s="4" t="s">
        <v>4554</v>
      </c>
      <c r="U571" s="95" t="s">
        <v>71</v>
      </c>
      <c r="V571" s="95" t="s">
        <v>71</v>
      </c>
      <c r="W571" s="95" t="s">
        <v>72</v>
      </c>
      <c r="X571" s="95" t="s">
        <v>71</v>
      </c>
      <c r="Y571" s="95" t="s">
        <v>72</v>
      </c>
      <c r="Z571" s="95" t="s">
        <v>71</v>
      </c>
      <c r="AA571" s="95" t="s">
        <v>72</v>
      </c>
      <c r="AB571" s="95" t="s">
        <v>72</v>
      </c>
      <c r="AC571" s="95" t="s">
        <v>72</v>
      </c>
      <c r="AD571" s="95" t="s">
        <v>72</v>
      </c>
      <c r="AE571" s="95" t="s">
        <v>71</v>
      </c>
      <c r="AF571" s="95" t="s">
        <v>72</v>
      </c>
      <c r="AG571" s="95" t="s">
        <v>71</v>
      </c>
      <c r="AH571" s="95" t="s">
        <v>71</v>
      </c>
      <c r="AI571" s="95" t="s">
        <v>71</v>
      </c>
      <c r="AK571" s="95" t="s">
        <v>72</v>
      </c>
    </row>
    <row r="572" spans="1:37" x14ac:dyDescent="0.2">
      <c r="A572" s="95" t="s">
        <v>65</v>
      </c>
      <c r="B572" s="95" t="s">
        <v>66</v>
      </c>
      <c r="C572" s="95" t="s">
        <v>85</v>
      </c>
      <c r="F572" s="95">
        <f>F571+1</f>
        <v>7</v>
      </c>
      <c r="G572" s="95">
        <f t="shared" ref="G572:G582" si="1">G571+5</f>
        <v>27.1</v>
      </c>
      <c r="H572" s="250"/>
      <c r="I572" s="95">
        <f>453/32</f>
        <v>14.15625</v>
      </c>
      <c r="Q572" s="95" t="s">
        <v>4570</v>
      </c>
      <c r="R572" s="95" t="s">
        <v>4600</v>
      </c>
      <c r="S572" s="95" t="s">
        <v>4568</v>
      </c>
      <c r="T572" s="4" t="s">
        <v>4569</v>
      </c>
      <c r="U572" s="95" t="s">
        <v>71</v>
      </c>
      <c r="V572" s="95" t="s">
        <v>71</v>
      </c>
      <c r="W572" s="95" t="s">
        <v>72</v>
      </c>
      <c r="X572" s="95" t="s">
        <v>71</v>
      </c>
      <c r="Y572" s="95" t="s">
        <v>72</v>
      </c>
      <c r="Z572" s="95" t="s">
        <v>71</v>
      </c>
      <c r="AA572" s="95" t="s">
        <v>72</v>
      </c>
      <c r="AB572" s="95" t="s">
        <v>72</v>
      </c>
      <c r="AC572" s="95" t="s">
        <v>72</v>
      </c>
      <c r="AD572" s="95" t="s">
        <v>72</v>
      </c>
      <c r="AE572" s="95" t="s">
        <v>71</v>
      </c>
      <c r="AF572" s="95" t="s">
        <v>72</v>
      </c>
      <c r="AG572" s="95" t="s">
        <v>71</v>
      </c>
      <c r="AH572" s="95" t="s">
        <v>71</v>
      </c>
      <c r="AI572" s="95" t="s">
        <v>71</v>
      </c>
      <c r="AK572" s="95" t="s">
        <v>72</v>
      </c>
    </row>
    <row r="573" spans="1:37" x14ac:dyDescent="0.2">
      <c r="A573" s="95" t="s">
        <v>65</v>
      </c>
      <c r="B573" s="95" t="s">
        <v>66</v>
      </c>
      <c r="C573" s="95" t="s">
        <v>85</v>
      </c>
      <c r="F573" s="95">
        <f>F572+1</f>
        <v>8</v>
      </c>
      <c r="G573" s="95">
        <f t="shared" si="1"/>
        <v>32.1</v>
      </c>
      <c r="H573" s="250"/>
      <c r="I573" s="95">
        <f>298/32</f>
        <v>9.3125</v>
      </c>
      <c r="Q573" s="95" t="s">
        <v>4570</v>
      </c>
      <c r="R573" s="95" t="s">
        <v>4600</v>
      </c>
      <c r="S573" s="95" t="s">
        <v>4568</v>
      </c>
      <c r="T573" s="4" t="s">
        <v>4569</v>
      </c>
      <c r="U573" s="95" t="s">
        <v>71</v>
      </c>
      <c r="V573" s="95" t="s">
        <v>71</v>
      </c>
      <c r="W573" s="95" t="s">
        <v>72</v>
      </c>
      <c r="X573" s="95" t="s">
        <v>71</v>
      </c>
      <c r="Y573" s="95" t="s">
        <v>72</v>
      </c>
      <c r="Z573" s="95" t="s">
        <v>71</v>
      </c>
      <c r="AA573" s="95" t="s">
        <v>72</v>
      </c>
      <c r="AB573" s="95" t="s">
        <v>72</v>
      </c>
      <c r="AC573" s="95" t="s">
        <v>72</v>
      </c>
      <c r="AD573" s="95" t="s">
        <v>72</v>
      </c>
      <c r="AE573" s="95" t="s">
        <v>71</v>
      </c>
      <c r="AF573" s="95" t="s">
        <v>72</v>
      </c>
      <c r="AG573" s="95" t="s">
        <v>71</v>
      </c>
      <c r="AH573" s="95" t="s">
        <v>71</v>
      </c>
      <c r="AI573" s="95" t="s">
        <v>71</v>
      </c>
      <c r="AK573" s="95" t="s">
        <v>72</v>
      </c>
    </row>
    <row r="574" spans="1:37" x14ac:dyDescent="0.2">
      <c r="A574" s="95" t="s">
        <v>65</v>
      </c>
      <c r="B574" s="95" t="s">
        <v>66</v>
      </c>
      <c r="C574" s="95" t="s">
        <v>85</v>
      </c>
      <c r="F574" s="95">
        <f>F573+1</f>
        <v>9</v>
      </c>
      <c r="G574" s="95">
        <f t="shared" si="1"/>
        <v>37.1</v>
      </c>
      <c r="H574" s="250"/>
      <c r="I574" s="95">
        <f>241/32</f>
        <v>7.53125</v>
      </c>
      <c r="Q574" s="95" t="s">
        <v>4570</v>
      </c>
      <c r="R574" s="95" t="s">
        <v>4600</v>
      </c>
      <c r="S574" s="95" t="s">
        <v>4568</v>
      </c>
      <c r="T574" s="4" t="s">
        <v>4569</v>
      </c>
      <c r="U574" s="95" t="s">
        <v>71</v>
      </c>
      <c r="V574" s="95" t="s">
        <v>71</v>
      </c>
      <c r="W574" s="95" t="s">
        <v>72</v>
      </c>
      <c r="X574" s="95" t="s">
        <v>71</v>
      </c>
      <c r="Y574" s="95" t="s">
        <v>72</v>
      </c>
      <c r="Z574" s="95" t="s">
        <v>71</v>
      </c>
      <c r="AA574" s="95" t="s">
        <v>72</v>
      </c>
      <c r="AB574" s="95" t="s">
        <v>72</v>
      </c>
      <c r="AC574" s="95" t="s">
        <v>72</v>
      </c>
      <c r="AD574" s="95" t="s">
        <v>72</v>
      </c>
      <c r="AE574" s="95" t="s">
        <v>71</v>
      </c>
      <c r="AF574" s="95" t="s">
        <v>72</v>
      </c>
      <c r="AG574" s="95" t="s">
        <v>71</v>
      </c>
      <c r="AH574" s="95" t="s">
        <v>71</v>
      </c>
      <c r="AI574" s="95" t="s">
        <v>71</v>
      </c>
      <c r="AK574" s="95" t="s">
        <v>72</v>
      </c>
    </row>
    <row r="575" spans="1:37" x14ac:dyDescent="0.2">
      <c r="A575" s="95" t="s">
        <v>65</v>
      </c>
      <c r="B575" s="95" t="s">
        <v>66</v>
      </c>
      <c r="C575" s="95" t="s">
        <v>85</v>
      </c>
      <c r="F575" s="95">
        <v>5</v>
      </c>
      <c r="G575" s="95">
        <f t="shared" si="1"/>
        <v>42.1</v>
      </c>
      <c r="H575" s="250"/>
      <c r="I575" s="95">
        <f>72/32</f>
        <v>2.25</v>
      </c>
      <c r="Q575" s="95" t="s">
        <v>4570</v>
      </c>
      <c r="R575" s="95" t="s">
        <v>4600</v>
      </c>
      <c r="S575" s="95" t="s">
        <v>4568</v>
      </c>
      <c r="T575" s="4" t="s">
        <v>4569</v>
      </c>
      <c r="U575" s="95" t="s">
        <v>71</v>
      </c>
      <c r="V575" s="95" t="s">
        <v>71</v>
      </c>
      <c r="W575" s="95" t="s">
        <v>72</v>
      </c>
      <c r="X575" s="95" t="s">
        <v>71</v>
      </c>
      <c r="Y575" s="95" t="s">
        <v>72</v>
      </c>
      <c r="Z575" s="95" t="s">
        <v>71</v>
      </c>
      <c r="AA575" s="95" t="s">
        <v>72</v>
      </c>
      <c r="AB575" s="95" t="s">
        <v>72</v>
      </c>
      <c r="AC575" s="95" t="s">
        <v>72</v>
      </c>
      <c r="AD575" s="95" t="s">
        <v>72</v>
      </c>
      <c r="AE575" s="95" t="s">
        <v>71</v>
      </c>
      <c r="AF575" s="95" t="s">
        <v>72</v>
      </c>
      <c r="AG575" s="95" t="s">
        <v>71</v>
      </c>
      <c r="AH575" s="95" t="s">
        <v>71</v>
      </c>
      <c r="AI575" s="95" t="s">
        <v>71</v>
      </c>
      <c r="AK575" s="95" t="s">
        <v>72</v>
      </c>
    </row>
    <row r="576" spans="1:37" x14ac:dyDescent="0.2">
      <c r="A576" s="95" t="s">
        <v>65</v>
      </c>
      <c r="B576" s="95" t="s">
        <v>66</v>
      </c>
      <c r="C576" s="95" t="s">
        <v>85</v>
      </c>
      <c r="F576" s="95">
        <f>F575+1</f>
        <v>6</v>
      </c>
      <c r="G576" s="95">
        <f t="shared" si="1"/>
        <v>47.1</v>
      </c>
      <c r="H576" s="250"/>
      <c r="I576" s="95">
        <f>438/32</f>
        <v>13.6875</v>
      </c>
      <c r="Q576" s="95" t="s">
        <v>4570</v>
      </c>
      <c r="R576" s="95" t="s">
        <v>4600</v>
      </c>
      <c r="S576" s="95" t="s">
        <v>4568</v>
      </c>
      <c r="T576" s="4" t="s">
        <v>4569</v>
      </c>
      <c r="U576" s="95" t="s">
        <v>71</v>
      </c>
      <c r="V576" s="95" t="s">
        <v>71</v>
      </c>
      <c r="W576" s="95" t="s">
        <v>72</v>
      </c>
      <c r="X576" s="95" t="s">
        <v>71</v>
      </c>
      <c r="Y576" s="95" t="s">
        <v>72</v>
      </c>
      <c r="Z576" s="95" t="s">
        <v>71</v>
      </c>
      <c r="AA576" s="95" t="s">
        <v>72</v>
      </c>
      <c r="AB576" s="95" t="s">
        <v>72</v>
      </c>
      <c r="AC576" s="95" t="s">
        <v>72</v>
      </c>
      <c r="AD576" s="95" t="s">
        <v>72</v>
      </c>
      <c r="AE576" s="95" t="s">
        <v>71</v>
      </c>
      <c r="AF576" s="95" t="s">
        <v>72</v>
      </c>
      <c r="AG576" s="95" t="s">
        <v>71</v>
      </c>
      <c r="AH576" s="95" t="s">
        <v>71</v>
      </c>
      <c r="AI576" s="95" t="s">
        <v>71</v>
      </c>
      <c r="AK576" s="95" t="s">
        <v>72</v>
      </c>
    </row>
    <row r="577" spans="1:37" x14ac:dyDescent="0.2">
      <c r="A577" s="95" t="s">
        <v>65</v>
      </c>
      <c r="B577" s="95" t="s">
        <v>66</v>
      </c>
      <c r="C577" s="95" t="s">
        <v>85</v>
      </c>
      <c r="F577" s="95">
        <f>F576+1</f>
        <v>7</v>
      </c>
      <c r="G577" s="95">
        <f t="shared" si="1"/>
        <v>52.1</v>
      </c>
      <c r="H577" s="250"/>
      <c r="I577" s="95">
        <f>284/32</f>
        <v>8.875</v>
      </c>
      <c r="Q577" s="95" t="s">
        <v>4570</v>
      </c>
      <c r="R577" s="95" t="s">
        <v>4600</v>
      </c>
      <c r="S577" s="95" t="s">
        <v>4568</v>
      </c>
      <c r="T577" s="4" t="s">
        <v>4569</v>
      </c>
      <c r="U577" s="95" t="s">
        <v>71</v>
      </c>
      <c r="V577" s="95" t="s">
        <v>71</v>
      </c>
      <c r="W577" s="95" t="s">
        <v>72</v>
      </c>
      <c r="X577" s="95" t="s">
        <v>71</v>
      </c>
      <c r="Y577" s="95" t="s">
        <v>72</v>
      </c>
      <c r="Z577" s="95" t="s">
        <v>71</v>
      </c>
      <c r="AA577" s="95" t="s">
        <v>72</v>
      </c>
      <c r="AB577" s="95" t="s">
        <v>72</v>
      </c>
      <c r="AC577" s="95" t="s">
        <v>72</v>
      </c>
      <c r="AD577" s="95" t="s">
        <v>72</v>
      </c>
      <c r="AE577" s="95" t="s">
        <v>71</v>
      </c>
      <c r="AF577" s="95" t="s">
        <v>72</v>
      </c>
      <c r="AG577" s="95" t="s">
        <v>71</v>
      </c>
      <c r="AH577" s="95" t="s">
        <v>71</v>
      </c>
      <c r="AI577" s="95" t="s">
        <v>71</v>
      </c>
      <c r="AK577" s="95" t="s">
        <v>72</v>
      </c>
    </row>
    <row r="578" spans="1:37" x14ac:dyDescent="0.2">
      <c r="A578" s="95" t="s">
        <v>65</v>
      </c>
      <c r="B578" s="95" t="s">
        <v>66</v>
      </c>
      <c r="C578" s="95" t="s">
        <v>85</v>
      </c>
      <c r="F578" s="95">
        <f>F577+1</f>
        <v>8</v>
      </c>
      <c r="G578" s="95">
        <f t="shared" si="1"/>
        <v>57.1</v>
      </c>
      <c r="H578" s="250"/>
      <c r="I578" s="95">
        <f>227/32</f>
        <v>7.09375</v>
      </c>
      <c r="Q578" s="95" t="s">
        <v>4570</v>
      </c>
      <c r="R578" s="95" t="s">
        <v>4600</v>
      </c>
      <c r="S578" s="95" t="s">
        <v>4568</v>
      </c>
      <c r="T578" s="4" t="s">
        <v>4569</v>
      </c>
      <c r="U578" s="95" t="s">
        <v>71</v>
      </c>
      <c r="V578" s="95" t="s">
        <v>71</v>
      </c>
      <c r="W578" s="95" t="s">
        <v>72</v>
      </c>
      <c r="X578" s="95" t="s">
        <v>71</v>
      </c>
      <c r="Y578" s="95" t="s">
        <v>72</v>
      </c>
      <c r="Z578" s="95" t="s">
        <v>71</v>
      </c>
      <c r="AA578" s="95" t="s">
        <v>72</v>
      </c>
      <c r="AB578" s="95" t="s">
        <v>72</v>
      </c>
      <c r="AC578" s="95" t="s">
        <v>72</v>
      </c>
      <c r="AD578" s="95" t="s">
        <v>72</v>
      </c>
      <c r="AE578" s="95" t="s">
        <v>71</v>
      </c>
      <c r="AF578" s="95" t="s">
        <v>72</v>
      </c>
      <c r="AG578" s="95" t="s">
        <v>71</v>
      </c>
      <c r="AH578" s="95" t="s">
        <v>71</v>
      </c>
      <c r="AI578" s="95" t="s">
        <v>71</v>
      </c>
      <c r="AK578" s="95" t="s">
        <v>72</v>
      </c>
    </row>
    <row r="579" spans="1:37" x14ac:dyDescent="0.2">
      <c r="A579" s="95" t="s">
        <v>65</v>
      </c>
      <c r="B579" s="95" t="s">
        <v>66</v>
      </c>
      <c r="C579" s="95" t="s">
        <v>85</v>
      </c>
      <c r="F579" s="95">
        <v>4</v>
      </c>
      <c r="G579" s="95">
        <f t="shared" si="1"/>
        <v>62.1</v>
      </c>
      <c r="H579" s="250"/>
      <c r="I579" s="95">
        <f>58/32</f>
        <v>1.8125</v>
      </c>
      <c r="Q579" s="95" t="s">
        <v>4570</v>
      </c>
      <c r="R579" s="95" t="s">
        <v>4600</v>
      </c>
      <c r="S579" s="95" t="s">
        <v>4568</v>
      </c>
      <c r="T579" s="4" t="s">
        <v>4569</v>
      </c>
      <c r="U579" s="95" t="s">
        <v>71</v>
      </c>
      <c r="V579" s="95" t="s">
        <v>71</v>
      </c>
      <c r="W579" s="95" t="s">
        <v>72</v>
      </c>
      <c r="X579" s="95" t="s">
        <v>71</v>
      </c>
      <c r="Y579" s="95" t="s">
        <v>72</v>
      </c>
      <c r="Z579" s="95" t="s">
        <v>71</v>
      </c>
      <c r="AA579" s="95" t="s">
        <v>72</v>
      </c>
      <c r="AB579" s="95" t="s">
        <v>72</v>
      </c>
      <c r="AC579" s="95" t="s">
        <v>72</v>
      </c>
      <c r="AD579" s="95" t="s">
        <v>72</v>
      </c>
      <c r="AE579" s="95" t="s">
        <v>71</v>
      </c>
      <c r="AF579" s="95" t="s">
        <v>72</v>
      </c>
      <c r="AG579" s="95" t="s">
        <v>71</v>
      </c>
      <c r="AH579" s="95" t="s">
        <v>71</v>
      </c>
      <c r="AI579" s="95" t="s">
        <v>71</v>
      </c>
      <c r="AK579" s="95" t="s">
        <v>72</v>
      </c>
    </row>
    <row r="580" spans="1:37" x14ac:dyDescent="0.2">
      <c r="A580" s="95" t="s">
        <v>65</v>
      </c>
      <c r="B580" s="95" t="s">
        <v>66</v>
      </c>
      <c r="C580" s="95" t="s">
        <v>85</v>
      </c>
      <c r="F580" s="95">
        <f>F579+1</f>
        <v>5</v>
      </c>
      <c r="G580" s="95">
        <f t="shared" si="1"/>
        <v>67.099999999999994</v>
      </c>
      <c r="H580" s="250"/>
      <c r="I580" s="95">
        <f>213/32</f>
        <v>6.65625</v>
      </c>
      <c r="Q580" s="95" t="s">
        <v>4570</v>
      </c>
      <c r="R580" s="95" t="s">
        <v>4600</v>
      </c>
      <c r="S580" s="95" t="s">
        <v>4568</v>
      </c>
      <c r="T580" s="4" t="s">
        <v>4569</v>
      </c>
      <c r="U580" s="95" t="s">
        <v>71</v>
      </c>
      <c r="V580" s="95" t="s">
        <v>71</v>
      </c>
      <c r="W580" s="95" t="s">
        <v>72</v>
      </c>
      <c r="X580" s="95" t="s">
        <v>71</v>
      </c>
      <c r="Y580" s="95" t="s">
        <v>72</v>
      </c>
      <c r="Z580" s="95" t="s">
        <v>71</v>
      </c>
      <c r="AA580" s="95" t="s">
        <v>72</v>
      </c>
      <c r="AB580" s="95" t="s">
        <v>72</v>
      </c>
      <c r="AC580" s="95" t="s">
        <v>72</v>
      </c>
      <c r="AD580" s="95" t="s">
        <v>72</v>
      </c>
      <c r="AE580" s="95" t="s">
        <v>71</v>
      </c>
      <c r="AF580" s="95" t="s">
        <v>72</v>
      </c>
      <c r="AG580" s="95" t="s">
        <v>71</v>
      </c>
      <c r="AH580" s="95" t="s">
        <v>71</v>
      </c>
      <c r="AI580" s="95" t="s">
        <v>71</v>
      </c>
      <c r="AK580" s="95" t="s">
        <v>72</v>
      </c>
    </row>
    <row r="581" spans="1:37" x14ac:dyDescent="0.2">
      <c r="A581" s="95" t="s">
        <v>65</v>
      </c>
      <c r="B581" s="95" t="s">
        <v>66</v>
      </c>
      <c r="C581" s="95" t="s">
        <v>85</v>
      </c>
      <c r="F581" s="95">
        <f>F580+1</f>
        <v>6</v>
      </c>
      <c r="G581" s="95">
        <f t="shared" si="1"/>
        <v>72.099999999999994</v>
      </c>
      <c r="H581" s="250"/>
      <c r="I581" s="95">
        <f>199/32</f>
        <v>6.21875</v>
      </c>
      <c r="Q581" s="95" t="s">
        <v>4570</v>
      </c>
      <c r="R581" s="95" t="s">
        <v>4600</v>
      </c>
      <c r="S581" s="95" t="s">
        <v>4568</v>
      </c>
      <c r="T581" s="4" t="s">
        <v>4569</v>
      </c>
      <c r="U581" s="95" t="s">
        <v>71</v>
      </c>
      <c r="V581" s="95" t="s">
        <v>71</v>
      </c>
      <c r="W581" s="95" t="s">
        <v>72</v>
      </c>
      <c r="X581" s="95" t="s">
        <v>71</v>
      </c>
      <c r="Y581" s="95" t="s">
        <v>72</v>
      </c>
      <c r="Z581" s="95" t="s">
        <v>71</v>
      </c>
      <c r="AA581" s="95" t="s">
        <v>72</v>
      </c>
      <c r="AB581" s="95" t="s">
        <v>72</v>
      </c>
      <c r="AC581" s="95" t="s">
        <v>72</v>
      </c>
      <c r="AD581" s="95" t="s">
        <v>72</v>
      </c>
      <c r="AE581" s="95" t="s">
        <v>71</v>
      </c>
      <c r="AF581" s="95" t="s">
        <v>72</v>
      </c>
      <c r="AG581" s="95" t="s">
        <v>71</v>
      </c>
      <c r="AH581" s="95" t="s">
        <v>71</v>
      </c>
      <c r="AI581" s="95" t="s">
        <v>71</v>
      </c>
      <c r="AK581" s="95" t="s">
        <v>72</v>
      </c>
    </row>
    <row r="582" spans="1:37" x14ac:dyDescent="0.2">
      <c r="A582" s="95" t="s">
        <v>65</v>
      </c>
      <c r="B582" s="95" t="s">
        <v>66</v>
      </c>
      <c r="C582" s="95" t="s">
        <v>85</v>
      </c>
      <c r="F582" s="95">
        <f>F581+1</f>
        <v>7</v>
      </c>
      <c r="G582" s="95">
        <f t="shared" si="1"/>
        <v>77.099999999999994</v>
      </c>
      <c r="H582" s="250"/>
      <c r="I582" s="95">
        <f>185/32</f>
        <v>5.78125</v>
      </c>
      <c r="Q582" s="95" t="s">
        <v>4570</v>
      </c>
      <c r="R582" s="95" t="s">
        <v>4600</v>
      </c>
      <c r="S582" s="95" t="s">
        <v>4568</v>
      </c>
      <c r="T582" s="4" t="s">
        <v>4569</v>
      </c>
      <c r="U582" s="95" t="s">
        <v>71</v>
      </c>
      <c r="V582" s="95" t="s">
        <v>71</v>
      </c>
      <c r="W582" s="95" t="s">
        <v>72</v>
      </c>
      <c r="X582" s="95" t="s">
        <v>71</v>
      </c>
      <c r="Y582" s="95" t="s">
        <v>72</v>
      </c>
      <c r="Z582" s="95" t="s">
        <v>71</v>
      </c>
      <c r="AA582" s="95" t="s">
        <v>72</v>
      </c>
      <c r="AB582" s="95" t="s">
        <v>72</v>
      </c>
      <c r="AC582" s="95" t="s">
        <v>72</v>
      </c>
      <c r="AD582" s="95" t="s">
        <v>72</v>
      </c>
      <c r="AE582" s="95" t="s">
        <v>71</v>
      </c>
      <c r="AF582" s="95" t="s">
        <v>72</v>
      </c>
      <c r="AG582" s="95" t="s">
        <v>71</v>
      </c>
      <c r="AH582" s="95" t="s">
        <v>71</v>
      </c>
      <c r="AI582" s="95" t="s">
        <v>71</v>
      </c>
      <c r="AK582" s="95" t="s">
        <v>72</v>
      </c>
    </row>
    <row r="583" spans="1:37" x14ac:dyDescent="0.2">
      <c r="A583" s="95" t="s">
        <v>65</v>
      </c>
      <c r="B583" s="95" t="s">
        <v>66</v>
      </c>
      <c r="C583" s="95" t="s">
        <v>85</v>
      </c>
      <c r="F583" s="249">
        <v>11.25</v>
      </c>
      <c r="G583" s="95">
        <v>47</v>
      </c>
      <c r="I583" s="101">
        <f>244.99/32</f>
        <v>7.6559375000000003</v>
      </c>
      <c r="Q583" s="95" t="s">
        <v>4555</v>
      </c>
      <c r="S583" s="95" t="s">
        <v>2724</v>
      </c>
      <c r="T583" s="4" t="s">
        <v>4548</v>
      </c>
      <c r="U583" s="95" t="s">
        <v>71</v>
      </c>
      <c r="V583" s="95" t="s">
        <v>71</v>
      </c>
      <c r="W583" s="95" t="s">
        <v>72</v>
      </c>
      <c r="X583" s="95" t="s">
        <v>71</v>
      </c>
      <c r="Y583" s="95" t="s">
        <v>72</v>
      </c>
      <c r="Z583" s="95" t="s">
        <v>71</v>
      </c>
      <c r="AA583" s="95" t="s">
        <v>72</v>
      </c>
      <c r="AB583" s="95" t="s">
        <v>72</v>
      </c>
      <c r="AC583" s="95" t="s">
        <v>72</v>
      </c>
      <c r="AD583" s="95" t="s">
        <v>72</v>
      </c>
      <c r="AE583" s="95" t="s">
        <v>71</v>
      </c>
      <c r="AF583" s="95" t="s">
        <v>72</v>
      </c>
      <c r="AG583" s="95" t="s">
        <v>71</v>
      </c>
      <c r="AH583" s="95" t="s">
        <v>71</v>
      </c>
      <c r="AI583" s="95" t="s">
        <v>71</v>
      </c>
      <c r="AK583" s="95" t="s">
        <v>72</v>
      </c>
    </row>
    <row r="584" spans="1:37" x14ac:dyDescent="0.2">
      <c r="A584" s="95" t="s">
        <v>65</v>
      </c>
      <c r="B584" s="95" t="s">
        <v>66</v>
      </c>
      <c r="C584" s="95" t="s">
        <v>85</v>
      </c>
      <c r="F584" s="95">
        <f>F583+1</f>
        <v>12.25</v>
      </c>
      <c r="G584" s="95">
        <f t="shared" ref="G584:G590" si="2">G583+5</f>
        <v>52</v>
      </c>
      <c r="H584" s="250"/>
      <c r="I584" s="95">
        <f>171/32</f>
        <v>5.34375</v>
      </c>
      <c r="Q584" s="95" t="s">
        <v>4570</v>
      </c>
      <c r="R584" s="95" t="s">
        <v>4600</v>
      </c>
      <c r="S584" s="95" t="s">
        <v>4568</v>
      </c>
      <c r="T584" s="4" t="s">
        <v>4569</v>
      </c>
      <c r="U584" s="95" t="s">
        <v>71</v>
      </c>
      <c r="V584" s="95" t="s">
        <v>71</v>
      </c>
      <c r="W584" s="95" t="s">
        <v>72</v>
      </c>
      <c r="X584" s="95" t="s">
        <v>71</v>
      </c>
      <c r="Y584" s="95" t="s">
        <v>72</v>
      </c>
      <c r="Z584" s="95" t="s">
        <v>71</v>
      </c>
      <c r="AA584" s="95" t="s">
        <v>72</v>
      </c>
      <c r="AB584" s="95" t="s">
        <v>72</v>
      </c>
      <c r="AC584" s="95" t="s">
        <v>72</v>
      </c>
      <c r="AD584" s="95" t="s">
        <v>72</v>
      </c>
      <c r="AE584" s="95" t="s">
        <v>71</v>
      </c>
      <c r="AF584" s="95" t="s">
        <v>72</v>
      </c>
      <c r="AG584" s="95" t="s">
        <v>71</v>
      </c>
      <c r="AH584" s="95" t="s">
        <v>71</v>
      </c>
      <c r="AI584" s="95" t="s">
        <v>71</v>
      </c>
      <c r="AK584" s="95" t="s">
        <v>72</v>
      </c>
    </row>
    <row r="585" spans="1:37" x14ac:dyDescent="0.2">
      <c r="A585" s="95" t="s">
        <v>65</v>
      </c>
      <c r="B585" s="95" t="s">
        <v>66</v>
      </c>
      <c r="C585" s="95" t="s">
        <v>85</v>
      </c>
      <c r="F585" s="95">
        <v>10</v>
      </c>
      <c r="G585" s="95">
        <f t="shared" si="2"/>
        <v>57</v>
      </c>
      <c r="H585" s="250"/>
      <c r="I585" s="95">
        <f>143/32</f>
        <v>4.46875</v>
      </c>
      <c r="Q585" s="95" t="s">
        <v>4570</v>
      </c>
      <c r="R585" s="95" t="s">
        <v>4600</v>
      </c>
      <c r="S585" s="95" t="s">
        <v>4568</v>
      </c>
      <c r="T585" s="4" t="s">
        <v>4569</v>
      </c>
      <c r="U585" s="95" t="s">
        <v>71</v>
      </c>
      <c r="V585" s="95" t="s">
        <v>71</v>
      </c>
      <c r="W585" s="95" t="s">
        <v>72</v>
      </c>
      <c r="X585" s="95" t="s">
        <v>71</v>
      </c>
      <c r="Y585" s="95" t="s">
        <v>72</v>
      </c>
      <c r="Z585" s="95" t="s">
        <v>71</v>
      </c>
      <c r="AA585" s="95" t="s">
        <v>72</v>
      </c>
      <c r="AB585" s="95" t="s">
        <v>72</v>
      </c>
      <c r="AC585" s="95" t="s">
        <v>72</v>
      </c>
      <c r="AD585" s="95" t="s">
        <v>72</v>
      </c>
      <c r="AE585" s="95" t="s">
        <v>71</v>
      </c>
      <c r="AF585" s="95" t="s">
        <v>72</v>
      </c>
      <c r="AG585" s="95" t="s">
        <v>71</v>
      </c>
      <c r="AH585" s="95" t="s">
        <v>71</v>
      </c>
      <c r="AI585" s="95" t="s">
        <v>71</v>
      </c>
      <c r="AK585" s="95" t="s">
        <v>72</v>
      </c>
    </row>
    <row r="586" spans="1:37" x14ac:dyDescent="0.2">
      <c r="A586" s="95" t="s">
        <v>65</v>
      </c>
      <c r="B586" s="95" t="s">
        <v>66</v>
      </c>
      <c r="C586" s="95" t="s">
        <v>85</v>
      </c>
      <c r="F586" s="95">
        <f>F585+1</f>
        <v>11</v>
      </c>
      <c r="G586" s="95">
        <f t="shared" si="2"/>
        <v>62</v>
      </c>
      <c r="H586" s="250"/>
      <c r="I586" s="95">
        <f>157/32</f>
        <v>4.90625</v>
      </c>
      <c r="Q586" s="95" t="s">
        <v>4570</v>
      </c>
      <c r="R586" s="95" t="s">
        <v>4600</v>
      </c>
      <c r="S586" s="95" t="s">
        <v>4568</v>
      </c>
      <c r="T586" s="4" t="s">
        <v>4569</v>
      </c>
      <c r="U586" s="95" t="s">
        <v>71</v>
      </c>
      <c r="V586" s="95" t="s">
        <v>71</v>
      </c>
      <c r="W586" s="95" t="s">
        <v>72</v>
      </c>
      <c r="X586" s="95" t="s">
        <v>71</v>
      </c>
      <c r="Y586" s="95" t="s">
        <v>72</v>
      </c>
      <c r="Z586" s="95" t="s">
        <v>71</v>
      </c>
      <c r="AA586" s="95" t="s">
        <v>72</v>
      </c>
      <c r="AB586" s="95" t="s">
        <v>72</v>
      </c>
      <c r="AC586" s="95" t="s">
        <v>72</v>
      </c>
      <c r="AD586" s="95" t="s">
        <v>72</v>
      </c>
      <c r="AE586" s="95" t="s">
        <v>71</v>
      </c>
      <c r="AF586" s="95" t="s">
        <v>72</v>
      </c>
      <c r="AG586" s="95" t="s">
        <v>71</v>
      </c>
      <c r="AH586" s="95" t="s">
        <v>71</v>
      </c>
      <c r="AI586" s="95" t="s">
        <v>71</v>
      </c>
      <c r="AK586" s="95" t="s">
        <v>72</v>
      </c>
    </row>
    <row r="587" spans="1:37" x14ac:dyDescent="0.2">
      <c r="A587" s="95" t="s">
        <v>65</v>
      </c>
      <c r="B587" s="95" t="s">
        <v>66</v>
      </c>
      <c r="C587" s="95" t="s">
        <v>85</v>
      </c>
      <c r="F587" s="95">
        <v>9</v>
      </c>
      <c r="G587" s="95">
        <f t="shared" si="2"/>
        <v>67</v>
      </c>
      <c r="H587" s="250"/>
      <c r="I587" s="95">
        <f>129/32</f>
        <v>4.03125</v>
      </c>
      <c r="Q587" s="95" t="s">
        <v>4570</v>
      </c>
      <c r="R587" s="95" t="s">
        <v>4600</v>
      </c>
      <c r="S587" s="95" t="s">
        <v>4568</v>
      </c>
      <c r="T587" s="4" t="s">
        <v>4569</v>
      </c>
      <c r="U587" s="95" t="s">
        <v>71</v>
      </c>
      <c r="V587" s="95" t="s">
        <v>71</v>
      </c>
      <c r="W587" s="95" t="s">
        <v>72</v>
      </c>
      <c r="X587" s="95" t="s">
        <v>71</v>
      </c>
      <c r="Y587" s="95" t="s">
        <v>72</v>
      </c>
      <c r="Z587" s="95" t="s">
        <v>71</v>
      </c>
      <c r="AA587" s="95" t="s">
        <v>72</v>
      </c>
      <c r="AB587" s="95" t="s">
        <v>72</v>
      </c>
      <c r="AC587" s="95" t="s">
        <v>72</v>
      </c>
      <c r="AD587" s="95" t="s">
        <v>72</v>
      </c>
      <c r="AE587" s="95" t="s">
        <v>71</v>
      </c>
      <c r="AF587" s="95" t="s">
        <v>72</v>
      </c>
      <c r="AG587" s="95" t="s">
        <v>71</v>
      </c>
      <c r="AH587" s="95" t="s">
        <v>71</v>
      </c>
      <c r="AI587" s="95" t="s">
        <v>71</v>
      </c>
      <c r="AK587" s="95" t="s">
        <v>72</v>
      </c>
    </row>
    <row r="588" spans="1:37" x14ac:dyDescent="0.2">
      <c r="A588" s="95" t="s">
        <v>65</v>
      </c>
      <c r="B588" s="95" t="s">
        <v>66</v>
      </c>
      <c r="C588" s="95" t="s">
        <v>85</v>
      </c>
      <c r="F588" s="95">
        <v>8</v>
      </c>
      <c r="G588" s="95">
        <f t="shared" si="2"/>
        <v>72</v>
      </c>
      <c r="H588" s="250"/>
      <c r="I588" s="95">
        <f>115/32</f>
        <v>3.59375</v>
      </c>
      <c r="Q588" s="95" t="s">
        <v>4570</v>
      </c>
      <c r="R588" s="95" t="s">
        <v>4600</v>
      </c>
      <c r="S588" s="95" t="s">
        <v>4568</v>
      </c>
      <c r="T588" s="4" t="s">
        <v>4569</v>
      </c>
      <c r="U588" s="95" t="s">
        <v>71</v>
      </c>
      <c r="V588" s="95" t="s">
        <v>71</v>
      </c>
      <c r="W588" s="95" t="s">
        <v>72</v>
      </c>
      <c r="X588" s="95" t="s">
        <v>71</v>
      </c>
      <c r="Y588" s="95" t="s">
        <v>72</v>
      </c>
      <c r="Z588" s="95" t="s">
        <v>71</v>
      </c>
      <c r="AA588" s="95" t="s">
        <v>72</v>
      </c>
      <c r="AB588" s="95" t="s">
        <v>72</v>
      </c>
      <c r="AC588" s="95" t="s">
        <v>72</v>
      </c>
      <c r="AD588" s="95" t="s">
        <v>72</v>
      </c>
      <c r="AE588" s="95" t="s">
        <v>71</v>
      </c>
      <c r="AF588" s="95" t="s">
        <v>72</v>
      </c>
      <c r="AG588" s="95" t="s">
        <v>71</v>
      </c>
      <c r="AH588" s="95" t="s">
        <v>71</v>
      </c>
      <c r="AI588" s="95" t="s">
        <v>71</v>
      </c>
      <c r="AK588" s="95" t="s">
        <v>72</v>
      </c>
    </row>
    <row r="589" spans="1:37" x14ac:dyDescent="0.2">
      <c r="A589" s="95" t="s">
        <v>65</v>
      </c>
      <c r="B589" s="95" t="s">
        <v>66</v>
      </c>
      <c r="C589" s="95" t="s">
        <v>85</v>
      </c>
      <c r="F589" s="95">
        <v>7</v>
      </c>
      <c r="G589" s="95">
        <f t="shared" si="2"/>
        <v>77</v>
      </c>
      <c r="H589" s="250"/>
      <c r="I589" s="95">
        <f>101/32</f>
        <v>3.15625</v>
      </c>
      <c r="Q589" s="95" t="s">
        <v>4570</v>
      </c>
      <c r="R589" s="95" t="s">
        <v>4600</v>
      </c>
      <c r="S589" s="95" t="s">
        <v>4568</v>
      </c>
      <c r="T589" s="4" t="s">
        <v>4569</v>
      </c>
      <c r="U589" s="95" t="s">
        <v>71</v>
      </c>
      <c r="V589" s="95" t="s">
        <v>71</v>
      </c>
      <c r="W589" s="95" t="s">
        <v>72</v>
      </c>
      <c r="X589" s="95" t="s">
        <v>71</v>
      </c>
      <c r="Y589" s="95" t="s">
        <v>72</v>
      </c>
      <c r="Z589" s="95" t="s">
        <v>71</v>
      </c>
      <c r="AA589" s="95" t="s">
        <v>72</v>
      </c>
      <c r="AB589" s="95" t="s">
        <v>72</v>
      </c>
      <c r="AC589" s="95" t="s">
        <v>72</v>
      </c>
      <c r="AD589" s="95" t="s">
        <v>72</v>
      </c>
      <c r="AE589" s="95" t="s">
        <v>71</v>
      </c>
      <c r="AF589" s="95" t="s">
        <v>72</v>
      </c>
      <c r="AG589" s="95" t="s">
        <v>71</v>
      </c>
      <c r="AH589" s="95" t="s">
        <v>71</v>
      </c>
      <c r="AI589" s="95" t="s">
        <v>71</v>
      </c>
      <c r="AK589" s="95" t="s">
        <v>72</v>
      </c>
    </row>
    <row r="590" spans="1:37" x14ac:dyDescent="0.2">
      <c r="A590" s="95" t="s">
        <v>65</v>
      </c>
      <c r="B590" s="95" t="s">
        <v>66</v>
      </c>
      <c r="C590" s="95" t="s">
        <v>85</v>
      </c>
      <c r="F590" s="95">
        <v>6</v>
      </c>
      <c r="G590" s="95">
        <f t="shared" si="2"/>
        <v>82</v>
      </c>
      <c r="H590" s="250"/>
      <c r="I590" s="95">
        <f>86/32</f>
        <v>2.6875</v>
      </c>
      <c r="Q590" s="95" t="s">
        <v>4570</v>
      </c>
      <c r="R590" s="95" t="s">
        <v>4600</v>
      </c>
      <c r="S590" s="95" t="s">
        <v>4568</v>
      </c>
      <c r="T590" s="4" t="s">
        <v>4569</v>
      </c>
      <c r="U590" s="95" t="s">
        <v>71</v>
      </c>
      <c r="V590" s="95" t="s">
        <v>71</v>
      </c>
      <c r="W590" s="95" t="s">
        <v>72</v>
      </c>
      <c r="X590" s="95" t="s">
        <v>71</v>
      </c>
      <c r="Y590" s="95" t="s">
        <v>72</v>
      </c>
      <c r="Z590" s="95" t="s">
        <v>71</v>
      </c>
      <c r="AA590" s="95" t="s">
        <v>72</v>
      </c>
      <c r="AB590" s="95" t="s">
        <v>72</v>
      </c>
      <c r="AC590" s="95" t="s">
        <v>72</v>
      </c>
      <c r="AD590" s="95" t="s">
        <v>72</v>
      </c>
      <c r="AE590" s="95" t="s">
        <v>71</v>
      </c>
      <c r="AF590" s="95" t="s">
        <v>72</v>
      </c>
      <c r="AG590" s="95" t="s">
        <v>71</v>
      </c>
      <c r="AH590" s="95" t="s">
        <v>71</v>
      </c>
      <c r="AI590" s="95" t="s">
        <v>71</v>
      </c>
      <c r="AK590" s="95" t="s">
        <v>72</v>
      </c>
    </row>
    <row r="591" spans="1:37" x14ac:dyDescent="0.2">
      <c r="A591" s="95" t="s">
        <v>231</v>
      </c>
      <c r="B591" s="95" t="s">
        <v>66</v>
      </c>
      <c r="C591" s="95" t="s">
        <v>85</v>
      </c>
      <c r="D591" s="95" t="s">
        <v>68</v>
      </c>
      <c r="F591" s="95">
        <v>0.08</v>
      </c>
      <c r="I591" s="95">
        <v>0.49941176470588233</v>
      </c>
      <c r="P591" s="95">
        <v>2023</v>
      </c>
      <c r="Q591" s="95" t="s">
        <v>232</v>
      </c>
      <c r="R591" s="95" t="s">
        <v>233</v>
      </c>
      <c r="S591" s="95" t="s">
        <v>99</v>
      </c>
      <c r="T591" s="95" t="s">
        <v>234</v>
      </c>
      <c r="U591" s="95" t="s">
        <v>72</v>
      </c>
      <c r="V591" s="95" t="s">
        <v>72</v>
      </c>
      <c r="W591" s="95" t="s">
        <v>72</v>
      </c>
      <c r="X591" s="95" t="s">
        <v>72</v>
      </c>
      <c r="Y591" s="95" t="s">
        <v>72</v>
      </c>
      <c r="Z591" s="95" t="s">
        <v>72</v>
      </c>
      <c r="AA591" s="95" t="s">
        <v>72</v>
      </c>
      <c r="AB591" s="95" t="s">
        <v>72</v>
      </c>
      <c r="AC591" s="95" t="s">
        <v>72</v>
      </c>
      <c r="AD591" s="95" t="s">
        <v>72</v>
      </c>
      <c r="AE591" s="95" t="s">
        <v>72</v>
      </c>
      <c r="AF591" s="95" t="s">
        <v>72</v>
      </c>
      <c r="AG591" s="95" t="s">
        <v>72</v>
      </c>
      <c r="AH591" s="95" t="s">
        <v>72</v>
      </c>
      <c r="AI591" s="95" t="s">
        <v>72</v>
      </c>
      <c r="AK591" s="95" t="s">
        <v>72</v>
      </c>
    </row>
    <row r="592" spans="1:37" x14ac:dyDescent="0.2">
      <c r="A592" s="95" t="s">
        <v>231</v>
      </c>
      <c r="B592" s="95" t="s">
        <v>66</v>
      </c>
      <c r="C592" s="95" t="s">
        <v>85</v>
      </c>
      <c r="D592" s="95" t="s">
        <v>68</v>
      </c>
      <c r="F592" s="95">
        <v>0.08</v>
      </c>
      <c r="I592" s="95">
        <v>0.46541052631578944</v>
      </c>
      <c r="P592" s="95">
        <v>2023</v>
      </c>
      <c r="Q592" s="95" t="s">
        <v>232</v>
      </c>
      <c r="R592" s="95" t="s">
        <v>235</v>
      </c>
      <c r="S592" s="95" t="s">
        <v>99</v>
      </c>
      <c r="T592" s="95" t="s">
        <v>236</v>
      </c>
      <c r="U592" s="95" t="s">
        <v>72</v>
      </c>
      <c r="V592" s="95" t="s">
        <v>72</v>
      </c>
      <c r="W592" s="95" t="s">
        <v>72</v>
      </c>
      <c r="X592" s="95" t="s">
        <v>72</v>
      </c>
      <c r="Y592" s="95" t="s">
        <v>72</v>
      </c>
      <c r="Z592" s="95" t="s">
        <v>72</v>
      </c>
      <c r="AA592" s="95" t="s">
        <v>72</v>
      </c>
      <c r="AB592" s="95" t="s">
        <v>72</v>
      </c>
      <c r="AC592" s="95" t="s">
        <v>72</v>
      </c>
      <c r="AD592" s="95" t="s">
        <v>72</v>
      </c>
      <c r="AE592" s="95" t="s">
        <v>72</v>
      </c>
      <c r="AF592" s="95" t="s">
        <v>72</v>
      </c>
      <c r="AG592" s="95" t="s">
        <v>72</v>
      </c>
      <c r="AH592" s="95" t="s">
        <v>72</v>
      </c>
      <c r="AI592" s="95" t="s">
        <v>72</v>
      </c>
      <c r="AK592" s="95" t="s">
        <v>72</v>
      </c>
    </row>
    <row r="593" spans="1:37" x14ac:dyDescent="0.2">
      <c r="A593" s="95" t="s">
        <v>231</v>
      </c>
      <c r="B593" s="95" t="s">
        <v>66</v>
      </c>
      <c r="C593" s="95" t="s">
        <v>85</v>
      </c>
      <c r="D593" s="95" t="s">
        <v>68</v>
      </c>
      <c r="F593" s="95">
        <v>0.08</v>
      </c>
      <c r="I593" s="95">
        <v>0.5856302521008403</v>
      </c>
      <c r="P593" s="95">
        <v>2023</v>
      </c>
      <c r="Q593" s="95" t="s">
        <v>232</v>
      </c>
      <c r="R593" s="95" t="s">
        <v>237</v>
      </c>
      <c r="S593" s="95" t="s">
        <v>99</v>
      </c>
      <c r="T593" s="95" t="s">
        <v>238</v>
      </c>
      <c r="U593" s="95" t="s">
        <v>72</v>
      </c>
      <c r="V593" s="95" t="s">
        <v>72</v>
      </c>
      <c r="W593" s="95" t="s">
        <v>72</v>
      </c>
      <c r="X593" s="95" t="s">
        <v>72</v>
      </c>
      <c r="Y593" s="95" t="s">
        <v>72</v>
      </c>
      <c r="Z593" s="95" t="s">
        <v>72</v>
      </c>
      <c r="AA593" s="95" t="s">
        <v>72</v>
      </c>
      <c r="AB593" s="95" t="s">
        <v>72</v>
      </c>
      <c r="AC593" s="95" t="s">
        <v>72</v>
      </c>
      <c r="AD593" s="95" t="s">
        <v>72</v>
      </c>
      <c r="AE593" s="95" t="s">
        <v>72</v>
      </c>
      <c r="AF593" s="95" t="s">
        <v>72</v>
      </c>
      <c r="AG593" s="95" t="s">
        <v>72</v>
      </c>
      <c r="AH593" s="95" t="s">
        <v>72</v>
      </c>
      <c r="AI593" s="95" t="s">
        <v>72</v>
      </c>
      <c r="AK593" s="95" t="s">
        <v>72</v>
      </c>
    </row>
    <row r="594" spans="1:37" x14ac:dyDescent="0.2">
      <c r="A594" s="95" t="s">
        <v>76</v>
      </c>
      <c r="B594" s="95" t="s">
        <v>66</v>
      </c>
      <c r="C594" s="95" t="s">
        <v>93</v>
      </c>
      <c r="G594" s="95">
        <v>19</v>
      </c>
      <c r="H594" s="250">
        <v>3.7</v>
      </c>
      <c r="I594" s="101">
        <f>16.68/48.8</f>
        <v>0.34180327868852461</v>
      </c>
      <c r="S594" s="95" t="s">
        <v>321</v>
      </c>
      <c r="T594" s="4" t="s">
        <v>322</v>
      </c>
      <c r="U594" s="95" t="s">
        <v>71</v>
      </c>
      <c r="V594" s="95" t="s">
        <v>71</v>
      </c>
      <c r="W594" s="95" t="s">
        <v>71</v>
      </c>
      <c r="X594" s="95" t="s">
        <v>72</v>
      </c>
      <c r="Y594" s="95" t="s">
        <v>72</v>
      </c>
      <c r="Z594" s="95" t="s">
        <v>71</v>
      </c>
      <c r="AA594" s="95" t="s">
        <v>71</v>
      </c>
      <c r="AB594" s="95" t="s">
        <v>72</v>
      </c>
      <c r="AC594" s="95" t="s">
        <v>71</v>
      </c>
      <c r="AD594" s="95" t="s">
        <v>71</v>
      </c>
      <c r="AE594" s="95" t="s">
        <v>72</v>
      </c>
      <c r="AF594" s="95" t="s">
        <v>72</v>
      </c>
      <c r="AG594" s="95" t="s">
        <v>72</v>
      </c>
      <c r="AH594" s="95" t="s">
        <v>72</v>
      </c>
      <c r="AI594" s="95" t="s">
        <v>72</v>
      </c>
      <c r="AK594" s="95" t="s">
        <v>71</v>
      </c>
    </row>
    <row r="595" spans="1:37" x14ac:dyDescent="0.2">
      <c r="A595" s="95" t="s">
        <v>76</v>
      </c>
      <c r="B595" s="95" t="s">
        <v>87</v>
      </c>
      <c r="C595" s="95" t="s">
        <v>67</v>
      </c>
      <c r="G595" s="95">
        <v>19</v>
      </c>
      <c r="H595" s="250">
        <v>3</v>
      </c>
      <c r="I595" s="101">
        <f>56.65/110.7</f>
        <v>0.511743450767841</v>
      </c>
      <c r="S595" s="95" t="s">
        <v>321</v>
      </c>
      <c r="T595" s="4" t="s">
        <v>324</v>
      </c>
      <c r="U595" s="95" t="s">
        <v>72</v>
      </c>
      <c r="V595" s="95" t="s">
        <v>72</v>
      </c>
      <c r="W595" s="95" t="s">
        <v>72</v>
      </c>
      <c r="X595" s="95" t="s">
        <v>72</v>
      </c>
      <c r="Y595" s="95" t="s">
        <v>72</v>
      </c>
      <c r="Z595" s="95" t="s">
        <v>72</v>
      </c>
      <c r="AA595" s="95" t="s">
        <v>71</v>
      </c>
      <c r="AB595" s="95" t="s">
        <v>72</v>
      </c>
      <c r="AC595" s="95" t="s">
        <v>71</v>
      </c>
      <c r="AD595" s="95" t="s">
        <v>71</v>
      </c>
      <c r="AE595" s="95" t="s">
        <v>72</v>
      </c>
      <c r="AF595" s="95" t="s">
        <v>72</v>
      </c>
      <c r="AG595" s="95" t="s">
        <v>72</v>
      </c>
      <c r="AH595" s="95" t="s">
        <v>72</v>
      </c>
      <c r="AI595" s="95" t="s">
        <v>72</v>
      </c>
      <c r="AK595" s="95" t="s">
        <v>71</v>
      </c>
    </row>
    <row r="596" spans="1:37" x14ac:dyDescent="0.2">
      <c r="A596" s="95" t="s">
        <v>76</v>
      </c>
      <c r="B596" s="95" t="s">
        <v>87</v>
      </c>
      <c r="C596" s="95" t="s">
        <v>67</v>
      </c>
      <c r="G596" s="95">
        <v>19</v>
      </c>
      <c r="H596" s="250">
        <v>2.67</v>
      </c>
      <c r="I596" s="101">
        <f>30.48/109</f>
        <v>0.27963302752293578</v>
      </c>
      <c r="S596" s="95" t="s">
        <v>321</v>
      </c>
      <c r="T596" s="4" t="s">
        <v>4573</v>
      </c>
      <c r="U596" s="95" t="s">
        <v>72</v>
      </c>
      <c r="V596" s="95" t="s">
        <v>72</v>
      </c>
      <c r="W596" s="95" t="s">
        <v>72</v>
      </c>
      <c r="X596" s="95" t="s">
        <v>72</v>
      </c>
      <c r="Y596" s="95" t="s">
        <v>72</v>
      </c>
      <c r="Z596" s="95" t="s">
        <v>72</v>
      </c>
      <c r="AA596" s="95" t="s">
        <v>71</v>
      </c>
      <c r="AB596" s="95" t="s">
        <v>72</v>
      </c>
      <c r="AC596" s="95" t="s">
        <v>71</v>
      </c>
      <c r="AD596" s="95" t="s">
        <v>71</v>
      </c>
      <c r="AE596" s="95" t="s">
        <v>72</v>
      </c>
      <c r="AF596" s="95" t="s">
        <v>72</v>
      </c>
      <c r="AG596" s="95" t="s">
        <v>72</v>
      </c>
      <c r="AH596" s="95" t="s">
        <v>72</v>
      </c>
      <c r="AI596" s="95" t="s">
        <v>72</v>
      </c>
      <c r="AK596" s="95" t="s">
        <v>71</v>
      </c>
    </row>
    <row r="597" spans="1:37" x14ac:dyDescent="0.2">
      <c r="A597" s="95" t="s">
        <v>76</v>
      </c>
      <c r="B597" s="95" t="s">
        <v>87</v>
      </c>
      <c r="C597" s="95" t="s">
        <v>67</v>
      </c>
      <c r="G597" s="95">
        <v>19</v>
      </c>
      <c r="H597" s="250">
        <v>3</v>
      </c>
      <c r="I597" s="101">
        <f>92.45/110.7</f>
        <v>0.83514001806684734</v>
      </c>
      <c r="S597" s="95" t="s">
        <v>321</v>
      </c>
      <c r="T597" s="4" t="s">
        <v>326</v>
      </c>
      <c r="U597" s="95" t="s">
        <v>72</v>
      </c>
      <c r="V597" s="95" t="s">
        <v>72</v>
      </c>
      <c r="W597" s="95" t="s">
        <v>72</v>
      </c>
      <c r="X597" s="95" t="s">
        <v>72</v>
      </c>
      <c r="Y597" s="95" t="s">
        <v>72</v>
      </c>
      <c r="Z597" s="95" t="s">
        <v>72</v>
      </c>
      <c r="AA597" s="95" t="s">
        <v>71</v>
      </c>
      <c r="AB597" s="95" t="s">
        <v>72</v>
      </c>
      <c r="AC597" s="95" t="s">
        <v>71</v>
      </c>
      <c r="AD597" s="95" t="s">
        <v>71</v>
      </c>
      <c r="AE597" s="95" t="s">
        <v>72</v>
      </c>
      <c r="AF597" s="95" t="s">
        <v>72</v>
      </c>
      <c r="AG597" s="95" t="s">
        <v>72</v>
      </c>
      <c r="AH597" s="95" t="s">
        <v>72</v>
      </c>
      <c r="AI597" s="95" t="s">
        <v>72</v>
      </c>
      <c r="AK597" s="95" t="s">
        <v>71</v>
      </c>
    </row>
    <row r="598" spans="1:37" x14ac:dyDescent="0.2">
      <c r="A598" s="95" t="s">
        <v>76</v>
      </c>
      <c r="B598" s="95" t="s">
        <v>87</v>
      </c>
      <c r="C598" s="95" t="s">
        <v>67</v>
      </c>
      <c r="G598" s="95">
        <v>30</v>
      </c>
      <c r="H598" s="250"/>
      <c r="I598" s="101">
        <f>53.52/77</f>
        <v>0.69506493506493505</v>
      </c>
      <c r="S598" s="95" t="s">
        <v>4575</v>
      </c>
      <c r="T598" s="4" t="s">
        <v>4574</v>
      </c>
      <c r="U598" s="95" t="s">
        <v>72</v>
      </c>
      <c r="V598" s="95" t="s">
        <v>72</v>
      </c>
      <c r="W598" s="95" t="s">
        <v>72</v>
      </c>
      <c r="X598" s="95" t="s">
        <v>72</v>
      </c>
      <c r="Y598" s="95" t="s">
        <v>72</v>
      </c>
      <c r="Z598" s="95" t="s">
        <v>72</v>
      </c>
      <c r="AA598" s="95" t="s">
        <v>71</v>
      </c>
      <c r="AB598" s="95" t="s">
        <v>72</v>
      </c>
      <c r="AC598" s="95" t="s">
        <v>71</v>
      </c>
      <c r="AD598" s="95" t="s">
        <v>71</v>
      </c>
      <c r="AE598" s="95" t="s">
        <v>72</v>
      </c>
      <c r="AF598" s="95" t="s">
        <v>72</v>
      </c>
      <c r="AG598" s="95" t="s">
        <v>72</v>
      </c>
      <c r="AH598" s="95" t="s">
        <v>72</v>
      </c>
      <c r="AI598" s="95" t="s">
        <v>72</v>
      </c>
      <c r="AK598" s="95" t="s">
        <v>71</v>
      </c>
    </row>
    <row r="599" spans="1:37" x14ac:dyDescent="0.2">
      <c r="A599" s="95" t="s">
        <v>76</v>
      </c>
      <c r="B599" s="95" t="s">
        <v>66</v>
      </c>
      <c r="C599" s="95" t="s">
        <v>93</v>
      </c>
      <c r="G599" s="95">
        <v>19</v>
      </c>
      <c r="H599" s="250">
        <v>3.7</v>
      </c>
      <c r="I599" s="101">
        <f>1113.76/(42*48.8)</f>
        <v>0.54340359094457458</v>
      </c>
      <c r="S599" s="95" t="s">
        <v>99</v>
      </c>
      <c r="T599" s="4" t="s">
        <v>318</v>
      </c>
      <c r="U599" s="95" t="s">
        <v>71</v>
      </c>
      <c r="V599" s="95" t="s">
        <v>71</v>
      </c>
      <c r="W599" s="95" t="s">
        <v>71</v>
      </c>
      <c r="X599" s="95" t="s">
        <v>72</v>
      </c>
      <c r="Y599" s="95" t="s">
        <v>72</v>
      </c>
      <c r="Z599" s="95" t="s">
        <v>71</v>
      </c>
      <c r="AA599" s="95" t="s">
        <v>71</v>
      </c>
      <c r="AB599" s="95" t="s">
        <v>72</v>
      </c>
      <c r="AC599" s="95" t="s">
        <v>71</v>
      </c>
      <c r="AD599" s="95" t="s">
        <v>71</v>
      </c>
      <c r="AE599" s="95" t="s">
        <v>72</v>
      </c>
      <c r="AF599" s="95" t="s">
        <v>72</v>
      </c>
      <c r="AG599" s="95" t="s">
        <v>72</v>
      </c>
      <c r="AH599" s="95" t="s">
        <v>72</v>
      </c>
      <c r="AI599" s="95" t="s">
        <v>72</v>
      </c>
      <c r="AK599" s="95" t="s">
        <v>71</v>
      </c>
    </row>
    <row r="600" spans="1:37" x14ac:dyDescent="0.2">
      <c r="A600" s="95" t="s">
        <v>76</v>
      </c>
      <c r="B600" s="95" t="s">
        <v>66</v>
      </c>
      <c r="C600" s="95" t="s">
        <v>67</v>
      </c>
      <c r="G600" s="95">
        <v>38</v>
      </c>
      <c r="H600" s="250"/>
      <c r="I600" s="101">
        <f>56.69/57</f>
        <v>0.99456140350877187</v>
      </c>
      <c r="S600" s="95" t="s">
        <v>4575</v>
      </c>
      <c r="T600" s="4" t="s">
        <v>4576</v>
      </c>
      <c r="U600" s="95" t="s">
        <v>71</v>
      </c>
      <c r="V600" s="95" t="s">
        <v>71</v>
      </c>
      <c r="W600" s="95" t="s">
        <v>71</v>
      </c>
      <c r="X600" s="95" t="s">
        <v>72</v>
      </c>
      <c r="Y600" s="95" t="s">
        <v>72</v>
      </c>
      <c r="Z600" s="95" t="s">
        <v>71</v>
      </c>
      <c r="AA600" s="95" t="s">
        <v>71</v>
      </c>
      <c r="AB600" s="95" t="s">
        <v>72</v>
      </c>
      <c r="AC600" s="95" t="s">
        <v>71</v>
      </c>
      <c r="AD600" s="95" t="s">
        <v>71</v>
      </c>
      <c r="AE600" s="95" t="s">
        <v>72</v>
      </c>
      <c r="AF600" s="95" t="s">
        <v>72</v>
      </c>
      <c r="AG600" s="95" t="s">
        <v>72</v>
      </c>
      <c r="AH600" s="95" t="s">
        <v>72</v>
      </c>
      <c r="AI600" s="95" t="s">
        <v>72</v>
      </c>
      <c r="AK600" s="95" t="s">
        <v>71</v>
      </c>
    </row>
    <row r="601" spans="1:37" x14ac:dyDescent="0.2">
      <c r="A601" s="95" t="s">
        <v>76</v>
      </c>
      <c r="B601" s="95" t="s">
        <v>66</v>
      </c>
      <c r="C601" s="95" t="s">
        <v>93</v>
      </c>
      <c r="G601" s="95">
        <v>19</v>
      </c>
      <c r="H601" s="250"/>
      <c r="I601" s="101">
        <f>9.99/42.4</f>
        <v>0.23561320754716983</v>
      </c>
      <c r="S601" s="95" t="s">
        <v>3435</v>
      </c>
      <c r="T601" s="4" t="s">
        <v>4577</v>
      </c>
      <c r="U601" s="95" t="s">
        <v>71</v>
      </c>
      <c r="V601" s="95" t="s">
        <v>71</v>
      </c>
      <c r="W601" s="95" t="s">
        <v>71</v>
      </c>
      <c r="X601" s="95" t="s">
        <v>72</v>
      </c>
      <c r="Y601" s="95" t="s">
        <v>72</v>
      </c>
      <c r="Z601" s="95" t="s">
        <v>71</v>
      </c>
      <c r="AA601" s="95" t="s">
        <v>71</v>
      </c>
      <c r="AB601" s="95" t="s">
        <v>72</v>
      </c>
      <c r="AC601" s="95" t="s">
        <v>71</v>
      </c>
      <c r="AD601" s="95" t="s">
        <v>71</v>
      </c>
      <c r="AE601" s="95" t="s">
        <v>72</v>
      </c>
      <c r="AF601" s="95" t="s">
        <v>72</v>
      </c>
      <c r="AG601" s="95" t="s">
        <v>72</v>
      </c>
      <c r="AH601" s="95" t="s">
        <v>72</v>
      </c>
      <c r="AI601" s="95" t="s">
        <v>72</v>
      </c>
      <c r="AK601" s="95" t="s">
        <v>71</v>
      </c>
    </row>
    <row r="602" spans="1:37" x14ac:dyDescent="0.2">
      <c r="A602" s="95" t="s">
        <v>76</v>
      </c>
      <c r="B602" s="95" t="s">
        <v>66</v>
      </c>
      <c r="C602" s="95" t="s">
        <v>67</v>
      </c>
      <c r="G602" s="95">
        <v>19</v>
      </c>
      <c r="H602" s="250"/>
      <c r="I602" s="101">
        <f>39.07/106.6</f>
        <v>0.36651031894934338</v>
      </c>
      <c r="S602" s="95" t="s">
        <v>3435</v>
      </c>
      <c r="T602" s="4" t="s">
        <v>4578</v>
      </c>
      <c r="U602" s="95" t="s">
        <v>71</v>
      </c>
      <c r="V602" s="95" t="s">
        <v>71</v>
      </c>
      <c r="W602" s="95" t="s">
        <v>71</v>
      </c>
      <c r="X602" s="95" t="s">
        <v>72</v>
      </c>
      <c r="Y602" s="95" t="s">
        <v>72</v>
      </c>
      <c r="Z602" s="95" t="s">
        <v>71</v>
      </c>
      <c r="AA602" s="95" t="s">
        <v>71</v>
      </c>
      <c r="AB602" s="95" t="s">
        <v>72</v>
      </c>
      <c r="AC602" s="95" t="s">
        <v>71</v>
      </c>
      <c r="AD602" s="95" t="s">
        <v>71</v>
      </c>
      <c r="AE602" s="95" t="s">
        <v>72</v>
      </c>
      <c r="AF602" s="95" t="s">
        <v>72</v>
      </c>
      <c r="AG602" s="95" t="s">
        <v>72</v>
      </c>
      <c r="AH602" s="95" t="s">
        <v>72</v>
      </c>
      <c r="AI602" s="95" t="s">
        <v>72</v>
      </c>
      <c r="AK602" s="95" t="s">
        <v>71</v>
      </c>
    </row>
    <row r="603" spans="1:37" x14ac:dyDescent="0.2">
      <c r="A603" s="95" t="s">
        <v>76</v>
      </c>
      <c r="B603" s="95" t="s">
        <v>311</v>
      </c>
      <c r="C603" s="95" t="s">
        <v>67</v>
      </c>
      <c r="G603" s="95">
        <v>30</v>
      </c>
      <c r="H603" s="250"/>
      <c r="I603" s="101">
        <f>35.58/65.3</f>
        <v>0.54486983154670754</v>
      </c>
      <c r="S603" s="95" t="s">
        <v>3435</v>
      </c>
      <c r="T603" s="4" t="s">
        <v>4579</v>
      </c>
      <c r="U603" s="95" t="s">
        <v>72</v>
      </c>
      <c r="V603" s="95" t="s">
        <v>72</v>
      </c>
      <c r="W603" s="95" t="s">
        <v>72</v>
      </c>
      <c r="X603" s="95" t="s">
        <v>72</v>
      </c>
      <c r="Y603" s="95" t="s">
        <v>72</v>
      </c>
      <c r="Z603" s="95" t="s">
        <v>72</v>
      </c>
      <c r="AA603" s="95" t="s">
        <v>72</v>
      </c>
      <c r="AB603" s="95" t="s">
        <v>72</v>
      </c>
      <c r="AC603" s="95" t="s">
        <v>72</v>
      </c>
      <c r="AD603" s="95" t="s">
        <v>71</v>
      </c>
      <c r="AE603" s="95" t="s">
        <v>72</v>
      </c>
      <c r="AF603" s="95" t="s">
        <v>72</v>
      </c>
      <c r="AG603" s="95" t="s">
        <v>72</v>
      </c>
      <c r="AH603" s="95" t="s">
        <v>72</v>
      </c>
      <c r="AI603" s="95" t="s">
        <v>72</v>
      </c>
      <c r="AK603" s="95" t="s">
        <v>71</v>
      </c>
    </row>
    <row r="604" spans="1:37" x14ac:dyDescent="0.2">
      <c r="A604" s="95" t="s">
        <v>76</v>
      </c>
      <c r="B604" s="95" t="s">
        <v>66</v>
      </c>
      <c r="C604" s="95" t="s">
        <v>67</v>
      </c>
      <c r="G604" s="95">
        <v>19</v>
      </c>
      <c r="H604" s="250"/>
      <c r="I604" s="101">
        <f>69.99/128.7</f>
        <v>0.54382284382284385</v>
      </c>
      <c r="S604" s="95" t="s">
        <v>4580</v>
      </c>
      <c r="T604" s="4" t="s">
        <v>4581</v>
      </c>
      <c r="U604" s="95" t="s">
        <v>71</v>
      </c>
      <c r="V604" s="95" t="s">
        <v>71</v>
      </c>
      <c r="W604" s="95" t="s">
        <v>71</v>
      </c>
      <c r="X604" s="95" t="s">
        <v>72</v>
      </c>
      <c r="Y604" s="95" t="s">
        <v>72</v>
      </c>
      <c r="Z604" s="95" t="s">
        <v>71</v>
      </c>
      <c r="AA604" s="95" t="s">
        <v>71</v>
      </c>
      <c r="AB604" s="95" t="s">
        <v>72</v>
      </c>
      <c r="AC604" s="95" t="s">
        <v>71</v>
      </c>
      <c r="AD604" s="95" t="s">
        <v>71</v>
      </c>
      <c r="AE604" s="95" t="s">
        <v>72</v>
      </c>
      <c r="AF604" s="95" t="s">
        <v>72</v>
      </c>
      <c r="AG604" s="95" t="s">
        <v>72</v>
      </c>
      <c r="AH604" s="95" t="s">
        <v>72</v>
      </c>
      <c r="AI604" s="95" t="s">
        <v>72</v>
      </c>
      <c r="AK604" s="95" t="s">
        <v>71</v>
      </c>
    </row>
    <row r="605" spans="1:37" x14ac:dyDescent="0.2">
      <c r="A605" s="95" t="s">
        <v>76</v>
      </c>
      <c r="B605" s="95" t="s">
        <v>66</v>
      </c>
      <c r="C605" s="95" t="s">
        <v>93</v>
      </c>
      <c r="G605" s="95">
        <v>19</v>
      </c>
      <c r="H605" s="250">
        <v>3.75</v>
      </c>
      <c r="I605" s="101">
        <f>16.47/46</f>
        <v>0.35804347826086952</v>
      </c>
      <c r="S605" s="95" t="s">
        <v>321</v>
      </c>
      <c r="T605" s="4" t="s">
        <v>4582</v>
      </c>
      <c r="U605" s="95" t="s">
        <v>71</v>
      </c>
      <c r="V605" s="95" t="s">
        <v>71</v>
      </c>
      <c r="W605" s="95" t="s">
        <v>71</v>
      </c>
      <c r="X605" s="95" t="s">
        <v>72</v>
      </c>
      <c r="Y605" s="95" t="s">
        <v>72</v>
      </c>
      <c r="Z605" s="95" t="s">
        <v>71</v>
      </c>
      <c r="AA605" s="95" t="s">
        <v>71</v>
      </c>
      <c r="AB605" s="95" t="s">
        <v>72</v>
      </c>
      <c r="AC605" s="95" t="s">
        <v>71</v>
      </c>
      <c r="AD605" s="95" t="s">
        <v>71</v>
      </c>
      <c r="AE605" s="95" t="s">
        <v>72</v>
      </c>
      <c r="AF605" s="95" t="s">
        <v>72</v>
      </c>
      <c r="AG605" s="95" t="s">
        <v>72</v>
      </c>
      <c r="AH605" s="95" t="s">
        <v>72</v>
      </c>
      <c r="AI605" s="95" t="s">
        <v>72</v>
      </c>
      <c r="AK605" s="95" t="s">
        <v>71</v>
      </c>
    </row>
    <row r="606" spans="1:37" x14ac:dyDescent="0.2">
      <c r="A606" s="95" t="s">
        <v>76</v>
      </c>
      <c r="B606" s="95" t="s">
        <v>66</v>
      </c>
      <c r="C606" s="95" t="s">
        <v>93</v>
      </c>
      <c r="G606" s="95">
        <v>19</v>
      </c>
      <c r="H606" s="250">
        <v>3.7</v>
      </c>
      <c r="I606" s="101">
        <f>12.98/40</f>
        <v>0.32450000000000001</v>
      </c>
      <c r="S606" s="4" t="s">
        <v>321</v>
      </c>
      <c r="T606" s="4" t="s">
        <v>4583</v>
      </c>
      <c r="U606" s="95" t="s">
        <v>71</v>
      </c>
      <c r="V606" s="95" t="s">
        <v>71</v>
      </c>
      <c r="W606" s="95" t="s">
        <v>71</v>
      </c>
      <c r="X606" s="95" t="s">
        <v>72</v>
      </c>
      <c r="Y606" s="95" t="s">
        <v>72</v>
      </c>
      <c r="Z606" s="95" t="s">
        <v>71</v>
      </c>
      <c r="AA606" s="95" t="s">
        <v>71</v>
      </c>
      <c r="AB606" s="95" t="s">
        <v>72</v>
      </c>
      <c r="AC606" s="95" t="s">
        <v>71</v>
      </c>
      <c r="AD606" s="95" t="s">
        <v>71</v>
      </c>
      <c r="AE606" s="95" t="s">
        <v>72</v>
      </c>
      <c r="AF606" s="95" t="s">
        <v>72</v>
      </c>
      <c r="AG606" s="95" t="s">
        <v>72</v>
      </c>
      <c r="AH606" s="95" t="s">
        <v>72</v>
      </c>
      <c r="AI606" s="95" t="s">
        <v>72</v>
      </c>
      <c r="AK606" s="95" t="s">
        <v>71</v>
      </c>
    </row>
    <row r="607" spans="1:37" x14ac:dyDescent="0.2">
      <c r="A607" s="95" t="s">
        <v>76</v>
      </c>
      <c r="B607" s="95" t="s">
        <v>66</v>
      </c>
      <c r="C607" s="95" t="s">
        <v>93</v>
      </c>
      <c r="G607" s="95">
        <v>19</v>
      </c>
      <c r="H607" s="250">
        <v>1.5</v>
      </c>
      <c r="I607" s="101">
        <f>8.73/48.5</f>
        <v>0.18000000000000002</v>
      </c>
      <c r="S607" s="95" t="s">
        <v>321</v>
      </c>
      <c r="T607" s="4" t="s">
        <v>4584</v>
      </c>
      <c r="U607" s="95" t="s">
        <v>71</v>
      </c>
      <c r="V607" s="95" t="s">
        <v>71</v>
      </c>
      <c r="W607" s="95" t="s">
        <v>71</v>
      </c>
      <c r="X607" s="95" t="s">
        <v>72</v>
      </c>
      <c r="Y607" s="95" t="s">
        <v>72</v>
      </c>
      <c r="Z607" s="95" t="s">
        <v>71</v>
      </c>
      <c r="AA607" s="95" t="s">
        <v>71</v>
      </c>
      <c r="AB607" s="95" t="s">
        <v>72</v>
      </c>
      <c r="AC607" s="95" t="s">
        <v>71</v>
      </c>
      <c r="AD607" s="95" t="s">
        <v>71</v>
      </c>
      <c r="AE607" s="95" t="s">
        <v>72</v>
      </c>
      <c r="AF607" s="95" t="s">
        <v>72</v>
      </c>
      <c r="AG607" s="95" t="s">
        <v>72</v>
      </c>
      <c r="AH607" s="95" t="s">
        <v>72</v>
      </c>
      <c r="AI607" s="95" t="s">
        <v>72</v>
      </c>
      <c r="AK607" s="95" t="s">
        <v>71</v>
      </c>
    </row>
    <row r="608" spans="1:37" x14ac:dyDescent="0.2">
      <c r="A608" s="95" t="s">
        <v>76</v>
      </c>
      <c r="B608" s="95" t="s">
        <v>66</v>
      </c>
      <c r="C608" s="95" t="s">
        <v>93</v>
      </c>
      <c r="G608" s="95">
        <v>19</v>
      </c>
      <c r="H608" s="250">
        <v>3.7</v>
      </c>
      <c r="I608" s="101">
        <f>719/(48.4*36)</f>
        <v>0.4126492194674013</v>
      </c>
      <c r="S608" s="95" t="s">
        <v>99</v>
      </c>
      <c r="T608" s="4" t="s">
        <v>316</v>
      </c>
      <c r="U608" s="95" t="s">
        <v>71</v>
      </c>
      <c r="V608" s="95" t="s">
        <v>71</v>
      </c>
      <c r="W608" s="95" t="s">
        <v>71</v>
      </c>
      <c r="X608" s="95" t="s">
        <v>72</v>
      </c>
      <c r="Y608" s="95" t="s">
        <v>72</v>
      </c>
      <c r="Z608" s="95" t="s">
        <v>71</v>
      </c>
      <c r="AA608" s="95" t="s">
        <v>71</v>
      </c>
      <c r="AB608" s="95" t="s">
        <v>72</v>
      </c>
      <c r="AC608" s="95" t="s">
        <v>71</v>
      </c>
      <c r="AD608" s="95" t="s">
        <v>71</v>
      </c>
      <c r="AE608" s="95" t="s">
        <v>72</v>
      </c>
      <c r="AF608" s="95" t="s">
        <v>72</v>
      </c>
      <c r="AG608" s="95" t="s">
        <v>72</v>
      </c>
      <c r="AH608" s="95" t="s">
        <v>72</v>
      </c>
      <c r="AI608" s="95" t="s">
        <v>72</v>
      </c>
      <c r="AK608" s="95" t="s">
        <v>71</v>
      </c>
    </row>
    <row r="609" spans="1:37" x14ac:dyDescent="0.2">
      <c r="A609" s="95" t="s">
        <v>97</v>
      </c>
      <c r="B609" s="95" t="s">
        <v>66</v>
      </c>
      <c r="C609" s="95" t="s">
        <v>4602</v>
      </c>
      <c r="F609" s="95">
        <v>1</v>
      </c>
      <c r="G609" s="250">
        <f>Table1[[#This Row],[R-Value per Inch]]</f>
        <v>6.8</v>
      </c>
      <c r="H609" s="250">
        <v>6.8</v>
      </c>
      <c r="I609" s="101">
        <f>1082/650</f>
        <v>1.6646153846153846</v>
      </c>
      <c r="S609" s="95" t="s">
        <v>321</v>
      </c>
      <c r="T609" s="4" t="s">
        <v>4601</v>
      </c>
      <c r="U609" s="95" t="s">
        <v>71</v>
      </c>
      <c r="V609" s="95" t="s">
        <v>71</v>
      </c>
      <c r="W609" s="95" t="s">
        <v>71</v>
      </c>
      <c r="X609" s="95" t="s">
        <v>72</v>
      </c>
      <c r="Y609" s="95" t="s">
        <v>71</v>
      </c>
      <c r="Z609" s="95" t="s">
        <v>71</v>
      </c>
      <c r="AA609" s="95" t="s">
        <v>71</v>
      </c>
      <c r="AB609" s="95" t="s">
        <v>71</v>
      </c>
      <c r="AC609" s="95" t="s">
        <v>71</v>
      </c>
      <c r="AD609" s="95" t="s">
        <v>71</v>
      </c>
      <c r="AE609" s="95" t="s">
        <v>71</v>
      </c>
      <c r="AF609" s="95" t="s">
        <v>71</v>
      </c>
      <c r="AG609" s="95" t="s">
        <v>72</v>
      </c>
      <c r="AH609" s="95" t="s">
        <v>72</v>
      </c>
      <c r="AI609" s="95" t="s">
        <v>72</v>
      </c>
      <c r="AJ609" s="95" t="s">
        <v>72</v>
      </c>
      <c r="AK609" s="95" t="s">
        <v>71</v>
      </c>
    </row>
    <row r="610" spans="1:37" x14ac:dyDescent="0.2">
      <c r="A610" s="95" t="s">
        <v>97</v>
      </c>
      <c r="B610" s="95" t="s">
        <v>66</v>
      </c>
      <c r="C610" s="95" t="s">
        <v>4602</v>
      </c>
      <c r="F610" s="95">
        <v>1</v>
      </c>
      <c r="G610" s="250">
        <f>Table1[[#This Row],[R-Value per Inch]]</f>
        <v>6.8</v>
      </c>
      <c r="H610" s="250">
        <v>6.8</v>
      </c>
      <c r="I610" s="101">
        <f>456/210</f>
        <v>2.1714285714285713</v>
      </c>
      <c r="S610" s="95" t="s">
        <v>321</v>
      </c>
      <c r="T610" s="4" t="s">
        <v>4603</v>
      </c>
      <c r="U610" s="95" t="s">
        <v>71</v>
      </c>
      <c r="V610" s="95" t="s">
        <v>71</v>
      </c>
      <c r="W610" s="95" t="s">
        <v>71</v>
      </c>
      <c r="X610" s="95" t="s">
        <v>72</v>
      </c>
      <c r="Y610" s="95" t="s">
        <v>71</v>
      </c>
      <c r="Z610" s="95" t="s">
        <v>71</v>
      </c>
      <c r="AA610" s="95" t="s">
        <v>71</v>
      </c>
      <c r="AB610" s="95" t="s">
        <v>71</v>
      </c>
      <c r="AC610" s="95" t="s">
        <v>71</v>
      </c>
      <c r="AD610" s="95" t="s">
        <v>71</v>
      </c>
      <c r="AE610" s="95" t="s">
        <v>71</v>
      </c>
      <c r="AF610" s="95" t="s">
        <v>71</v>
      </c>
      <c r="AG610" s="95" t="s">
        <v>72</v>
      </c>
      <c r="AH610" s="95" t="s">
        <v>72</v>
      </c>
      <c r="AI610" s="95" t="s">
        <v>72</v>
      </c>
      <c r="AJ610" s="95" t="s">
        <v>72</v>
      </c>
      <c r="AK610" s="95" t="s">
        <v>71</v>
      </c>
    </row>
    <row r="611" spans="1:37" x14ac:dyDescent="0.2">
      <c r="A611" s="95" t="s">
        <v>97</v>
      </c>
      <c r="B611" s="95" t="s">
        <v>66</v>
      </c>
      <c r="C611" s="95" t="s">
        <v>4602</v>
      </c>
      <c r="F611" s="95">
        <v>1</v>
      </c>
      <c r="G611" s="250">
        <f>Table1[[#This Row],[R-Value per Inch]]</f>
        <v>6.8</v>
      </c>
      <c r="H611" s="250">
        <v>6.8</v>
      </c>
      <c r="I611" s="101">
        <f>60.98/12</f>
        <v>5.0816666666666661</v>
      </c>
      <c r="S611" s="95" t="s">
        <v>321</v>
      </c>
      <c r="T611" s="4" t="s">
        <v>4604</v>
      </c>
      <c r="U611" s="95" t="s">
        <v>71</v>
      </c>
      <c r="V611" s="95" t="s">
        <v>71</v>
      </c>
      <c r="W611" s="95" t="s">
        <v>71</v>
      </c>
      <c r="X611" s="95" t="s">
        <v>72</v>
      </c>
      <c r="Y611" s="95" t="s">
        <v>71</v>
      </c>
      <c r="Z611" s="95" t="s">
        <v>71</v>
      </c>
      <c r="AA611" s="95" t="s">
        <v>71</v>
      </c>
      <c r="AB611" s="95" t="s">
        <v>71</v>
      </c>
      <c r="AC611" s="95" t="s">
        <v>71</v>
      </c>
      <c r="AD611" s="95" t="s">
        <v>71</v>
      </c>
      <c r="AE611" s="95" t="s">
        <v>71</v>
      </c>
      <c r="AF611" s="95" t="s">
        <v>71</v>
      </c>
      <c r="AG611" s="95" t="s">
        <v>72</v>
      </c>
      <c r="AH611" s="95" t="s">
        <v>72</v>
      </c>
      <c r="AI611" s="95" t="s">
        <v>72</v>
      </c>
      <c r="AJ611" s="95" t="s">
        <v>72</v>
      </c>
      <c r="AK611" s="95" t="s">
        <v>71</v>
      </c>
    </row>
    <row r="612" spans="1:37" x14ac:dyDescent="0.2">
      <c r="A612" s="95" t="s">
        <v>97</v>
      </c>
      <c r="B612" s="95" t="s">
        <v>66</v>
      </c>
      <c r="C612" s="95" t="s">
        <v>4602</v>
      </c>
      <c r="F612" s="95">
        <v>1</v>
      </c>
      <c r="G612" s="250">
        <f>Table1[[#This Row],[R-Value per Inch]]</f>
        <v>6.8</v>
      </c>
      <c r="H612" s="250">
        <v>6.8</v>
      </c>
      <c r="I612" s="101">
        <f>1005.04/620</f>
        <v>1.621032258064516</v>
      </c>
      <c r="S612" s="95" t="s">
        <v>321</v>
      </c>
      <c r="T612" s="4" t="s">
        <v>4605</v>
      </c>
      <c r="U612" s="95" t="s">
        <v>71</v>
      </c>
      <c r="V612" s="95" t="s">
        <v>71</v>
      </c>
      <c r="W612" s="95" t="s">
        <v>71</v>
      </c>
      <c r="X612" s="95" t="s">
        <v>72</v>
      </c>
      <c r="Y612" s="95" t="s">
        <v>71</v>
      </c>
      <c r="Z612" s="95" t="s">
        <v>71</v>
      </c>
      <c r="AA612" s="95" t="s">
        <v>71</v>
      </c>
      <c r="AB612" s="95" t="s">
        <v>71</v>
      </c>
      <c r="AC612" s="95" t="s">
        <v>71</v>
      </c>
      <c r="AD612" s="95" t="s">
        <v>71</v>
      </c>
      <c r="AE612" s="95" t="s">
        <v>71</v>
      </c>
      <c r="AF612" s="95" t="s">
        <v>71</v>
      </c>
      <c r="AG612" s="95" t="s">
        <v>72</v>
      </c>
      <c r="AH612" s="95" t="s">
        <v>72</v>
      </c>
      <c r="AI612" s="95" t="s">
        <v>72</v>
      </c>
      <c r="AJ612" s="95" t="s">
        <v>72</v>
      </c>
      <c r="AK612" s="95" t="s">
        <v>71</v>
      </c>
    </row>
    <row r="613" spans="1:37" x14ac:dyDescent="0.2">
      <c r="A613" s="95" t="s">
        <v>97</v>
      </c>
      <c r="B613" s="95" t="s">
        <v>66</v>
      </c>
      <c r="C613" s="95" t="s">
        <v>4602</v>
      </c>
      <c r="F613" s="95">
        <v>1</v>
      </c>
      <c r="G613" s="250">
        <f>Table1[[#This Row],[R-Value per Inch]]</f>
        <v>6</v>
      </c>
      <c r="H613" s="250">
        <v>6</v>
      </c>
      <c r="I613" s="101">
        <f>1096.29/650</f>
        <v>1.6865999999999999</v>
      </c>
      <c r="S613" s="95" t="s">
        <v>4608</v>
      </c>
      <c r="T613" s="4" t="s">
        <v>4606</v>
      </c>
      <c r="U613" s="95" t="s">
        <v>71</v>
      </c>
      <c r="V613" s="95" t="s">
        <v>71</v>
      </c>
      <c r="W613" s="95" t="s">
        <v>71</v>
      </c>
      <c r="X613" s="95" t="s">
        <v>72</v>
      </c>
      <c r="Y613" s="95" t="s">
        <v>71</v>
      </c>
      <c r="Z613" s="95" t="s">
        <v>71</v>
      </c>
      <c r="AA613" s="95" t="s">
        <v>71</v>
      </c>
      <c r="AB613" s="95" t="s">
        <v>71</v>
      </c>
      <c r="AC613" s="95" t="s">
        <v>71</v>
      </c>
      <c r="AD613" s="95" t="s">
        <v>71</v>
      </c>
      <c r="AE613" s="95" t="s">
        <v>71</v>
      </c>
      <c r="AF613" s="95" t="s">
        <v>71</v>
      </c>
      <c r="AG613" s="95" t="s">
        <v>72</v>
      </c>
      <c r="AH613" s="95" t="s">
        <v>72</v>
      </c>
      <c r="AI613" s="95" t="s">
        <v>72</v>
      </c>
      <c r="AJ613" s="95" t="s">
        <v>72</v>
      </c>
      <c r="AK613" s="95" t="s">
        <v>71</v>
      </c>
    </row>
    <row r="614" spans="1:37" x14ac:dyDescent="0.2">
      <c r="A614" s="95" t="s">
        <v>97</v>
      </c>
      <c r="B614" s="95" t="s">
        <v>66</v>
      </c>
      <c r="C614" s="95" t="s">
        <v>4602</v>
      </c>
      <c r="F614" s="95">
        <v>1</v>
      </c>
      <c r="G614" s="250">
        <f>Table1[[#This Row],[R-Value per Inch]]</f>
        <v>6</v>
      </c>
      <c r="H614" s="250">
        <v>6</v>
      </c>
      <c r="I614" s="101">
        <f>499/210</f>
        <v>2.3761904761904762</v>
      </c>
      <c r="S614" s="95" t="s">
        <v>4608</v>
      </c>
      <c r="T614" s="4" t="s">
        <v>4607</v>
      </c>
      <c r="U614" s="95" t="s">
        <v>71</v>
      </c>
      <c r="V614" s="95" t="s">
        <v>71</v>
      </c>
      <c r="W614" s="95" t="s">
        <v>71</v>
      </c>
      <c r="X614" s="95" t="s">
        <v>72</v>
      </c>
      <c r="Y614" s="95" t="s">
        <v>71</v>
      </c>
      <c r="Z614" s="95" t="s">
        <v>71</v>
      </c>
      <c r="AA614" s="95" t="s">
        <v>71</v>
      </c>
      <c r="AB614" s="95" t="s">
        <v>71</v>
      </c>
      <c r="AC614" s="95" t="s">
        <v>71</v>
      </c>
      <c r="AD614" s="95" t="s">
        <v>71</v>
      </c>
      <c r="AE614" s="95" t="s">
        <v>71</v>
      </c>
      <c r="AF614" s="95" t="s">
        <v>71</v>
      </c>
      <c r="AG614" s="95" t="s">
        <v>72</v>
      </c>
      <c r="AH614" s="95" t="s">
        <v>72</v>
      </c>
      <c r="AI614" s="95" t="s">
        <v>72</v>
      </c>
      <c r="AJ614" s="95" t="s">
        <v>72</v>
      </c>
      <c r="AK614" s="95" t="s">
        <v>71</v>
      </c>
    </row>
    <row r="615" spans="1:37" x14ac:dyDescent="0.2">
      <c r="A615" s="95" t="s">
        <v>97</v>
      </c>
      <c r="B615" s="95" t="s">
        <v>66</v>
      </c>
      <c r="C615" s="95" t="s">
        <v>4602</v>
      </c>
      <c r="F615" s="95">
        <v>1</v>
      </c>
      <c r="G615" s="250">
        <f>Table1[[#This Row],[R-Value per Inch]]</f>
        <v>7</v>
      </c>
      <c r="H615" s="250">
        <v>7</v>
      </c>
      <c r="I615" s="101">
        <f>419.99/200</f>
        <v>2.0999500000000002</v>
      </c>
      <c r="S615" s="95" t="s">
        <v>4608</v>
      </c>
      <c r="T615" s="4" t="s">
        <v>4609</v>
      </c>
      <c r="U615" s="95" t="s">
        <v>71</v>
      </c>
      <c r="V615" s="95" t="s">
        <v>71</v>
      </c>
      <c r="W615" s="95" t="s">
        <v>71</v>
      </c>
      <c r="X615" s="95" t="s">
        <v>72</v>
      </c>
      <c r="Y615" s="95" t="s">
        <v>71</v>
      </c>
      <c r="Z615" s="95" t="s">
        <v>71</v>
      </c>
      <c r="AA615" s="95" t="s">
        <v>71</v>
      </c>
      <c r="AB615" s="95" t="s">
        <v>71</v>
      </c>
      <c r="AC615" s="95" t="s">
        <v>71</v>
      </c>
      <c r="AD615" s="95" t="s">
        <v>71</v>
      </c>
      <c r="AE615" s="95" t="s">
        <v>71</v>
      </c>
      <c r="AF615" s="95" t="s">
        <v>71</v>
      </c>
      <c r="AG615" s="95" t="s">
        <v>72</v>
      </c>
      <c r="AH615" s="95" t="s">
        <v>72</v>
      </c>
      <c r="AI615" s="95" t="s">
        <v>72</v>
      </c>
      <c r="AJ615" s="95" t="s">
        <v>72</v>
      </c>
      <c r="AK615" s="95" t="s">
        <v>71</v>
      </c>
    </row>
    <row r="616" spans="1:37" x14ac:dyDescent="0.2">
      <c r="A616" s="95" t="s">
        <v>97</v>
      </c>
      <c r="B616" s="95" t="s">
        <v>66</v>
      </c>
      <c r="C616" s="95" t="s">
        <v>4602</v>
      </c>
      <c r="F616" s="95">
        <v>1</v>
      </c>
      <c r="G616" s="250">
        <f>Table1[[#This Row],[R-Value per Inch]]</f>
        <v>6</v>
      </c>
      <c r="H616" s="250">
        <v>6</v>
      </c>
      <c r="I616" s="101">
        <f>1148.39/650</f>
        <v>1.7667538461538463</v>
      </c>
      <c r="S616" s="95" t="s">
        <v>4608</v>
      </c>
      <c r="T616" s="4" t="s">
        <v>4610</v>
      </c>
      <c r="U616" s="95" t="s">
        <v>71</v>
      </c>
      <c r="V616" s="95" t="s">
        <v>71</v>
      </c>
      <c r="W616" s="95" t="s">
        <v>71</v>
      </c>
      <c r="X616" s="95" t="s">
        <v>72</v>
      </c>
      <c r="Y616" s="95" t="s">
        <v>71</v>
      </c>
      <c r="Z616" s="95" t="s">
        <v>71</v>
      </c>
      <c r="AA616" s="95" t="s">
        <v>71</v>
      </c>
      <c r="AB616" s="95" t="s">
        <v>71</v>
      </c>
      <c r="AC616" s="95" t="s">
        <v>71</v>
      </c>
      <c r="AD616" s="95" t="s">
        <v>71</v>
      </c>
      <c r="AE616" s="95" t="s">
        <v>71</v>
      </c>
      <c r="AF616" s="95" t="s">
        <v>71</v>
      </c>
      <c r="AG616" s="95" t="s">
        <v>72</v>
      </c>
      <c r="AH616" s="95" t="s">
        <v>72</v>
      </c>
      <c r="AI616" s="95" t="s">
        <v>72</v>
      </c>
      <c r="AJ616" s="95" t="s">
        <v>72</v>
      </c>
      <c r="AK616" s="95" t="s">
        <v>71</v>
      </c>
    </row>
    <row r="617" spans="1:37" x14ac:dyDescent="0.2">
      <c r="A617" s="95" t="s">
        <v>97</v>
      </c>
      <c r="B617" s="95" t="s">
        <v>66</v>
      </c>
      <c r="C617" s="95" t="s">
        <v>4602</v>
      </c>
      <c r="F617" s="95">
        <v>1</v>
      </c>
      <c r="G617" s="250">
        <f>Table1[[#This Row],[R-Value per Inch]]</f>
        <v>6.6</v>
      </c>
      <c r="H617" s="250">
        <v>6.6</v>
      </c>
      <c r="I617" s="101">
        <f>1099/600</f>
        <v>1.8316666666666668</v>
      </c>
      <c r="S617" s="95" t="s">
        <v>4608</v>
      </c>
      <c r="T617" s="4" t="s">
        <v>4611</v>
      </c>
      <c r="U617" s="95" t="s">
        <v>71</v>
      </c>
      <c r="V617" s="95" t="s">
        <v>71</v>
      </c>
      <c r="W617" s="95" t="s">
        <v>71</v>
      </c>
      <c r="X617" s="95" t="s">
        <v>72</v>
      </c>
      <c r="Y617" s="95" t="s">
        <v>71</v>
      </c>
      <c r="Z617" s="95" t="s">
        <v>71</v>
      </c>
      <c r="AA617" s="95" t="s">
        <v>71</v>
      </c>
      <c r="AB617" s="95" t="s">
        <v>71</v>
      </c>
      <c r="AC617" s="95" t="s">
        <v>71</v>
      </c>
      <c r="AD617" s="95" t="s">
        <v>71</v>
      </c>
      <c r="AE617" s="95" t="s">
        <v>71</v>
      </c>
      <c r="AF617" s="95" t="s">
        <v>71</v>
      </c>
      <c r="AG617" s="95" t="s">
        <v>72</v>
      </c>
      <c r="AH617" s="95" t="s">
        <v>72</v>
      </c>
      <c r="AI617" s="95" t="s">
        <v>72</v>
      </c>
      <c r="AJ617" s="95" t="s">
        <v>72</v>
      </c>
      <c r="AK617" s="95" t="s">
        <v>71</v>
      </c>
    </row>
    <row r="618" spans="1:37" x14ac:dyDescent="0.2">
      <c r="A618" s="95" t="s">
        <v>97</v>
      </c>
      <c r="B618" s="95" t="s">
        <v>66</v>
      </c>
      <c r="C618" s="95" t="s">
        <v>4602</v>
      </c>
      <c r="F618" s="95">
        <v>1</v>
      </c>
      <c r="G618" s="250">
        <f>Table1[[#This Row],[R-Value per Inch]]</f>
        <v>5.48</v>
      </c>
      <c r="H618" s="250">
        <v>5.48</v>
      </c>
      <c r="I618" s="101">
        <f>471/200</f>
        <v>2.355</v>
      </c>
      <c r="S618" s="95" t="s">
        <v>4608</v>
      </c>
      <c r="T618" s="4" t="s">
        <v>4612</v>
      </c>
      <c r="U618" s="95" t="s">
        <v>71</v>
      </c>
      <c r="V618" s="95" t="s">
        <v>71</v>
      </c>
      <c r="W618" s="95" t="s">
        <v>71</v>
      </c>
      <c r="X618" s="95" t="s">
        <v>72</v>
      </c>
      <c r="Y618" s="95" t="s">
        <v>71</v>
      </c>
      <c r="Z618" s="95" t="s">
        <v>71</v>
      </c>
      <c r="AA618" s="95" t="s">
        <v>71</v>
      </c>
      <c r="AB618" s="95" t="s">
        <v>71</v>
      </c>
      <c r="AC618" s="95" t="s">
        <v>71</v>
      </c>
      <c r="AD618" s="95" t="s">
        <v>71</v>
      </c>
      <c r="AE618" s="95" t="s">
        <v>71</v>
      </c>
      <c r="AF618" s="95" t="s">
        <v>71</v>
      </c>
      <c r="AG618" s="95" t="s">
        <v>72</v>
      </c>
      <c r="AH618" s="95" t="s">
        <v>72</v>
      </c>
      <c r="AI618" s="95" t="s">
        <v>72</v>
      </c>
      <c r="AJ618" s="95" t="s">
        <v>72</v>
      </c>
      <c r="AK618" s="95" t="s">
        <v>71</v>
      </c>
    </row>
    <row r="619" spans="1:37" x14ac:dyDescent="0.2">
      <c r="A619" s="95" t="s">
        <v>97</v>
      </c>
      <c r="B619" s="95" t="s">
        <v>66</v>
      </c>
      <c r="C619" s="95" t="s">
        <v>4602</v>
      </c>
      <c r="F619" s="95">
        <v>1</v>
      </c>
      <c r="G619" s="250">
        <f>Table1[[#This Row],[R-Value per Inch]]</f>
        <v>5.48</v>
      </c>
      <c r="H619" s="250">
        <v>5.48</v>
      </c>
      <c r="I619" s="101">
        <f>471.1/200</f>
        <v>2.3555000000000001</v>
      </c>
      <c r="S619" s="95" t="s">
        <v>4608</v>
      </c>
      <c r="T619" s="4" t="s">
        <v>4613</v>
      </c>
      <c r="U619" s="95" t="s">
        <v>71</v>
      </c>
      <c r="V619" s="95" t="s">
        <v>71</v>
      </c>
      <c r="W619" s="95" t="s">
        <v>71</v>
      </c>
      <c r="X619" s="95" t="s">
        <v>72</v>
      </c>
      <c r="Y619" s="95" t="s">
        <v>71</v>
      </c>
      <c r="Z619" s="95" t="s">
        <v>71</v>
      </c>
      <c r="AA619" s="95" t="s">
        <v>71</v>
      </c>
      <c r="AB619" s="95" t="s">
        <v>71</v>
      </c>
      <c r="AC619" s="95" t="s">
        <v>71</v>
      </c>
      <c r="AD619" s="95" t="s">
        <v>71</v>
      </c>
      <c r="AE619" s="95" t="s">
        <v>71</v>
      </c>
      <c r="AF619" s="95" t="s">
        <v>71</v>
      </c>
      <c r="AG619" s="95" t="s">
        <v>72</v>
      </c>
      <c r="AH619" s="95" t="s">
        <v>72</v>
      </c>
      <c r="AI619" s="95" t="s">
        <v>72</v>
      </c>
      <c r="AJ619" s="95" t="s">
        <v>72</v>
      </c>
      <c r="AK619" s="95" t="s">
        <v>71</v>
      </c>
    </row>
    <row r="620" spans="1:37" x14ac:dyDescent="0.2">
      <c r="A620" s="95" t="s">
        <v>97</v>
      </c>
      <c r="B620" s="95" t="s">
        <v>66</v>
      </c>
      <c r="C620" s="95" t="s">
        <v>4602</v>
      </c>
      <c r="F620" s="95">
        <v>1</v>
      </c>
      <c r="G620" s="250">
        <f>Table1[[#This Row],[R-Value per Inch]]</f>
        <v>6</v>
      </c>
      <c r="H620" s="250">
        <v>6</v>
      </c>
      <c r="I620" s="101">
        <f>1039/620</f>
        <v>1.6758064516129032</v>
      </c>
      <c r="S620" s="95" t="s">
        <v>4608</v>
      </c>
      <c r="T620" s="4" t="s">
        <v>4616</v>
      </c>
      <c r="U620" s="95" t="s">
        <v>71</v>
      </c>
      <c r="V620" s="95" t="s">
        <v>71</v>
      </c>
      <c r="W620" s="95" t="s">
        <v>71</v>
      </c>
      <c r="X620" s="95" t="s">
        <v>72</v>
      </c>
      <c r="Y620" s="95" t="s">
        <v>71</v>
      </c>
      <c r="Z620" s="95" t="s">
        <v>71</v>
      </c>
      <c r="AA620" s="95" t="s">
        <v>71</v>
      </c>
      <c r="AB620" s="95" t="s">
        <v>71</v>
      </c>
      <c r="AC620" s="95" t="s">
        <v>71</v>
      </c>
      <c r="AD620" s="95" t="s">
        <v>71</v>
      </c>
      <c r="AE620" s="95" t="s">
        <v>71</v>
      </c>
      <c r="AF620" s="95" t="s">
        <v>71</v>
      </c>
      <c r="AG620" s="95" t="s">
        <v>72</v>
      </c>
      <c r="AH620" s="95" t="s">
        <v>72</v>
      </c>
      <c r="AI620" s="95" t="s">
        <v>72</v>
      </c>
      <c r="AJ620" s="95" t="s">
        <v>72</v>
      </c>
      <c r="AK620" s="95" t="s">
        <v>71</v>
      </c>
    </row>
    <row r="621" spans="1:37" x14ac:dyDescent="0.2">
      <c r="A621" s="95" t="s">
        <v>97</v>
      </c>
      <c r="B621" s="95" t="s">
        <v>66</v>
      </c>
      <c r="C621" s="95" t="s">
        <v>4602</v>
      </c>
      <c r="F621" s="95">
        <v>1</v>
      </c>
      <c r="G621" s="250">
        <f>Table1[[#This Row],[R-Value per Inch]]</f>
        <v>6.6</v>
      </c>
      <c r="H621" s="250">
        <v>6.6</v>
      </c>
      <c r="I621" s="101">
        <f>599/200</f>
        <v>2.9950000000000001</v>
      </c>
      <c r="S621" s="95" t="s">
        <v>4608</v>
      </c>
      <c r="T621" s="4" t="s">
        <v>4614</v>
      </c>
      <c r="U621" s="95" t="s">
        <v>71</v>
      </c>
      <c r="V621" s="95" t="s">
        <v>71</v>
      </c>
      <c r="W621" s="95" t="s">
        <v>71</v>
      </c>
      <c r="X621" s="95" t="s">
        <v>72</v>
      </c>
      <c r="Y621" s="95" t="s">
        <v>71</v>
      </c>
      <c r="Z621" s="95" t="s">
        <v>71</v>
      </c>
      <c r="AA621" s="95" t="s">
        <v>71</v>
      </c>
      <c r="AB621" s="95" t="s">
        <v>71</v>
      </c>
      <c r="AC621" s="95" t="s">
        <v>71</v>
      </c>
      <c r="AD621" s="95" t="s">
        <v>71</v>
      </c>
      <c r="AE621" s="95" t="s">
        <v>71</v>
      </c>
      <c r="AF621" s="95" t="s">
        <v>71</v>
      </c>
      <c r="AG621" s="95" t="s">
        <v>72</v>
      </c>
      <c r="AH621" s="95" t="s">
        <v>72</v>
      </c>
      <c r="AI621" s="95" t="s">
        <v>72</v>
      </c>
      <c r="AJ621" s="95" t="s">
        <v>72</v>
      </c>
      <c r="AK621" s="95" t="s">
        <v>71</v>
      </c>
    </row>
    <row r="622" spans="1:37" x14ac:dyDescent="0.2">
      <c r="A622" s="95" t="s">
        <v>97</v>
      </c>
      <c r="B622" s="95" t="s">
        <v>66</v>
      </c>
      <c r="C622" s="95" t="s">
        <v>4602</v>
      </c>
      <c r="F622" s="95">
        <v>1</v>
      </c>
      <c r="G622" s="250">
        <f>Table1[[#This Row],[R-Value per Inch]]</f>
        <v>6</v>
      </c>
      <c r="H622" s="250">
        <v>6</v>
      </c>
      <c r="I622" s="101">
        <f>479/200</f>
        <v>2.395</v>
      </c>
      <c r="S622" s="95" t="s">
        <v>4608</v>
      </c>
      <c r="T622" s="4" t="s">
        <v>4615</v>
      </c>
      <c r="U622" s="95" t="s">
        <v>71</v>
      </c>
      <c r="V622" s="95" t="s">
        <v>71</v>
      </c>
      <c r="W622" s="95" t="s">
        <v>71</v>
      </c>
      <c r="X622" s="95" t="s">
        <v>72</v>
      </c>
      <c r="Y622" s="95" t="s">
        <v>71</v>
      </c>
      <c r="Z622" s="95" t="s">
        <v>71</v>
      </c>
      <c r="AA622" s="95" t="s">
        <v>71</v>
      </c>
      <c r="AB622" s="95" t="s">
        <v>71</v>
      </c>
      <c r="AC622" s="95" t="s">
        <v>71</v>
      </c>
      <c r="AD622" s="95" t="s">
        <v>71</v>
      </c>
      <c r="AE622" s="95" t="s">
        <v>71</v>
      </c>
      <c r="AF622" s="95" t="s">
        <v>71</v>
      </c>
      <c r="AG622" s="95" t="s">
        <v>72</v>
      </c>
      <c r="AH622" s="95" t="s">
        <v>72</v>
      </c>
      <c r="AI622" s="95" t="s">
        <v>72</v>
      </c>
      <c r="AJ622" s="95" t="s">
        <v>72</v>
      </c>
      <c r="AK622" s="95" t="s">
        <v>71</v>
      </c>
    </row>
    <row r="623" spans="1:37" x14ac:dyDescent="0.2">
      <c r="A623" s="95" t="s">
        <v>97</v>
      </c>
      <c r="B623" s="95" t="s">
        <v>66</v>
      </c>
      <c r="C623" s="95" t="s">
        <v>4602</v>
      </c>
      <c r="F623" s="95">
        <v>1</v>
      </c>
      <c r="G623" s="250">
        <f>Table1[[#This Row],[R-Value per Inch]]</f>
        <v>6.6</v>
      </c>
      <c r="H623" s="250">
        <v>6.6</v>
      </c>
      <c r="I623" s="101">
        <f>449/110</f>
        <v>4.081818181818182</v>
      </c>
      <c r="S623" s="95" t="s">
        <v>4608</v>
      </c>
      <c r="T623" s="4" t="s">
        <v>4617</v>
      </c>
      <c r="U623" s="95" t="s">
        <v>71</v>
      </c>
      <c r="V623" s="95" t="s">
        <v>71</v>
      </c>
      <c r="W623" s="95" t="s">
        <v>71</v>
      </c>
      <c r="X623" s="95" t="s">
        <v>72</v>
      </c>
      <c r="Y623" s="95" t="s">
        <v>71</v>
      </c>
      <c r="Z623" s="95" t="s">
        <v>71</v>
      </c>
      <c r="AA623" s="95" t="s">
        <v>71</v>
      </c>
      <c r="AB623" s="95" t="s">
        <v>71</v>
      </c>
      <c r="AC623" s="95" t="s">
        <v>71</v>
      </c>
      <c r="AD623" s="95" t="s">
        <v>71</v>
      </c>
      <c r="AE623" s="95" t="s">
        <v>71</v>
      </c>
      <c r="AF623" s="95" t="s">
        <v>71</v>
      </c>
      <c r="AG623" s="95" t="s">
        <v>72</v>
      </c>
      <c r="AH623" s="95" t="s">
        <v>72</v>
      </c>
      <c r="AI623" s="95" t="s">
        <v>72</v>
      </c>
      <c r="AJ623" s="95" t="s">
        <v>72</v>
      </c>
      <c r="AK623" s="95" t="s">
        <v>71</v>
      </c>
    </row>
    <row r="624" spans="1:37" x14ac:dyDescent="0.2">
      <c r="A624" s="95" t="s">
        <v>97</v>
      </c>
      <c r="B624" s="95" t="s">
        <v>66</v>
      </c>
      <c r="C624" s="95" t="s">
        <v>4602</v>
      </c>
      <c r="F624" s="95">
        <v>1</v>
      </c>
      <c r="G624" s="250">
        <f>Table1[[#This Row],[R-Value per Inch]]</f>
        <v>6</v>
      </c>
      <c r="H624" s="250">
        <v>6</v>
      </c>
      <c r="I624" s="101">
        <f>1107.59/620</f>
        <v>1.7864354838709675</v>
      </c>
      <c r="S624" s="95" t="s">
        <v>4608</v>
      </c>
      <c r="T624" s="95" t="s">
        <v>4619</v>
      </c>
      <c r="U624" s="95" t="s">
        <v>71</v>
      </c>
      <c r="V624" s="95" t="s">
        <v>71</v>
      </c>
      <c r="W624" s="95" t="s">
        <v>71</v>
      </c>
      <c r="X624" s="95" t="s">
        <v>72</v>
      </c>
      <c r="Y624" s="95" t="s">
        <v>71</v>
      </c>
      <c r="Z624" s="95" t="s">
        <v>71</v>
      </c>
      <c r="AA624" s="95" t="s">
        <v>71</v>
      </c>
      <c r="AB624" s="95" t="s">
        <v>71</v>
      </c>
      <c r="AC624" s="95" t="s">
        <v>71</v>
      </c>
      <c r="AD624" s="95" t="s">
        <v>71</v>
      </c>
      <c r="AE624" s="95" t="s">
        <v>71</v>
      </c>
      <c r="AF624" s="95" t="s">
        <v>71</v>
      </c>
      <c r="AG624" s="95" t="s">
        <v>72</v>
      </c>
      <c r="AH624" s="95" t="s">
        <v>72</v>
      </c>
      <c r="AI624" s="95" t="s">
        <v>72</v>
      </c>
      <c r="AJ624" s="95" t="s">
        <v>72</v>
      </c>
      <c r="AK624" s="95" t="s">
        <v>71</v>
      </c>
    </row>
    <row r="625" spans="1:37" x14ac:dyDescent="0.2">
      <c r="A625" s="95" t="s">
        <v>97</v>
      </c>
      <c r="B625" s="95" t="s">
        <v>66</v>
      </c>
      <c r="C625" s="95" t="s">
        <v>4602</v>
      </c>
      <c r="F625" s="95">
        <v>1</v>
      </c>
      <c r="G625" s="250">
        <f>Table1[[#This Row],[R-Value per Inch]]</f>
        <v>6.89</v>
      </c>
      <c r="H625" s="250">
        <v>6.89</v>
      </c>
      <c r="I625" s="101">
        <f>539/120</f>
        <v>4.4916666666666663</v>
      </c>
      <c r="S625" s="95" t="s">
        <v>4608</v>
      </c>
      <c r="T625" s="4" t="s">
        <v>4618</v>
      </c>
      <c r="U625" s="95" t="s">
        <v>71</v>
      </c>
      <c r="V625" s="95" t="s">
        <v>71</v>
      </c>
      <c r="W625" s="95" t="s">
        <v>71</v>
      </c>
      <c r="X625" s="95" t="s">
        <v>72</v>
      </c>
      <c r="Y625" s="95" t="s">
        <v>71</v>
      </c>
      <c r="Z625" s="95" t="s">
        <v>71</v>
      </c>
      <c r="AA625" s="95" t="s">
        <v>71</v>
      </c>
      <c r="AB625" s="95" t="s">
        <v>71</v>
      </c>
      <c r="AC625" s="95" t="s">
        <v>71</v>
      </c>
      <c r="AD625" s="95" t="s">
        <v>71</v>
      </c>
      <c r="AE625" s="95" t="s">
        <v>71</v>
      </c>
      <c r="AF625" s="95" t="s">
        <v>71</v>
      </c>
      <c r="AG625" s="95" t="s">
        <v>72</v>
      </c>
      <c r="AH625" s="95" t="s">
        <v>72</v>
      </c>
      <c r="AI625" s="95" t="s">
        <v>72</v>
      </c>
      <c r="AJ625" s="95" t="s">
        <v>72</v>
      </c>
      <c r="AK625" s="95" t="s">
        <v>71</v>
      </c>
    </row>
    <row r="626" spans="1:37" x14ac:dyDescent="0.2">
      <c r="A626" s="95" t="s">
        <v>97</v>
      </c>
      <c r="B626" s="95" t="s">
        <v>66</v>
      </c>
      <c r="C626" s="95" t="s">
        <v>4602</v>
      </c>
      <c r="F626" s="95">
        <v>1</v>
      </c>
      <c r="G626" s="250">
        <f>Table1[[#This Row],[R-Value per Inch]]</f>
        <v>7</v>
      </c>
      <c r="H626" s="250">
        <v>7</v>
      </c>
      <c r="I626" s="101">
        <f>399/200</f>
        <v>1.9950000000000001</v>
      </c>
      <c r="S626" s="95" t="s">
        <v>4620</v>
      </c>
      <c r="T626" s="4" t="s">
        <v>4621</v>
      </c>
      <c r="U626" s="95" t="s">
        <v>71</v>
      </c>
      <c r="V626" s="95" t="s">
        <v>71</v>
      </c>
      <c r="W626" s="95" t="s">
        <v>71</v>
      </c>
      <c r="X626" s="95" t="s">
        <v>72</v>
      </c>
      <c r="Y626" s="95" t="s">
        <v>71</v>
      </c>
      <c r="Z626" s="95" t="s">
        <v>71</v>
      </c>
      <c r="AA626" s="95" t="s">
        <v>71</v>
      </c>
      <c r="AB626" s="95" t="s">
        <v>71</v>
      </c>
      <c r="AC626" s="95" t="s">
        <v>71</v>
      </c>
      <c r="AD626" s="95" t="s">
        <v>71</v>
      </c>
      <c r="AE626" s="95" t="s">
        <v>71</v>
      </c>
      <c r="AF626" s="95" t="s">
        <v>71</v>
      </c>
      <c r="AG626" s="95" t="s">
        <v>72</v>
      </c>
      <c r="AH626" s="95" t="s">
        <v>72</v>
      </c>
      <c r="AI626" s="95" t="s">
        <v>72</v>
      </c>
      <c r="AJ626" s="95" t="s">
        <v>72</v>
      </c>
      <c r="AK626" s="95" t="s">
        <v>71</v>
      </c>
    </row>
    <row r="627" spans="1:37" x14ac:dyDescent="0.2">
      <c r="A627" s="95" t="s">
        <v>97</v>
      </c>
      <c r="B627" s="95" t="s">
        <v>66</v>
      </c>
      <c r="C627" s="95" t="s">
        <v>4602</v>
      </c>
      <c r="F627" s="95">
        <v>1</v>
      </c>
      <c r="G627" s="250">
        <f>Table1[[#This Row],[R-Value per Inch]]</f>
        <v>7</v>
      </c>
      <c r="H627" s="250">
        <v>7</v>
      </c>
      <c r="I627" s="101">
        <f>899/600</f>
        <v>1.4983333333333333</v>
      </c>
      <c r="S627" s="95" t="s">
        <v>4620</v>
      </c>
      <c r="T627" s="4" t="s">
        <v>4622</v>
      </c>
      <c r="U627" s="95" t="s">
        <v>71</v>
      </c>
      <c r="V627" s="95" t="s">
        <v>71</v>
      </c>
      <c r="W627" s="95" t="s">
        <v>71</v>
      </c>
      <c r="X627" s="95" t="s">
        <v>72</v>
      </c>
      <c r="Y627" s="95" t="s">
        <v>71</v>
      </c>
      <c r="Z627" s="95" t="s">
        <v>71</v>
      </c>
      <c r="AA627" s="95" t="s">
        <v>71</v>
      </c>
      <c r="AB627" s="95" t="s">
        <v>71</v>
      </c>
      <c r="AC627" s="95" t="s">
        <v>71</v>
      </c>
      <c r="AD627" s="95" t="s">
        <v>71</v>
      </c>
      <c r="AE627" s="95" t="s">
        <v>71</v>
      </c>
      <c r="AF627" s="95" t="s">
        <v>71</v>
      </c>
      <c r="AG627" s="95" t="s">
        <v>72</v>
      </c>
      <c r="AH627" s="95" t="s">
        <v>72</v>
      </c>
      <c r="AI627" s="95" t="s">
        <v>72</v>
      </c>
      <c r="AJ627" s="95" t="s">
        <v>72</v>
      </c>
      <c r="AK627" s="95" t="s">
        <v>71</v>
      </c>
    </row>
    <row r="628" spans="1:37" x14ac:dyDescent="0.2">
      <c r="A628" s="95" t="s">
        <v>97</v>
      </c>
      <c r="B628" s="95" t="s">
        <v>66</v>
      </c>
      <c r="C628" s="95" t="s">
        <v>4602</v>
      </c>
      <c r="F628" s="95">
        <v>1</v>
      </c>
      <c r="G628" s="250">
        <f>Table1[[#This Row],[R-Value per Inch]]</f>
        <v>6.6</v>
      </c>
      <c r="H628" s="250">
        <v>6.6</v>
      </c>
      <c r="I628" s="101">
        <f>702.88/200</f>
        <v>3.5144000000000002</v>
      </c>
      <c r="S628" s="95" t="s">
        <v>4620</v>
      </c>
      <c r="T628" s="4" t="s">
        <v>4623</v>
      </c>
      <c r="U628" s="95" t="s">
        <v>71</v>
      </c>
      <c r="V628" s="95" t="s">
        <v>71</v>
      </c>
      <c r="W628" s="95" t="s">
        <v>71</v>
      </c>
      <c r="X628" s="95" t="s">
        <v>72</v>
      </c>
      <c r="Y628" s="95" t="s">
        <v>71</v>
      </c>
      <c r="Z628" s="95" t="s">
        <v>71</v>
      </c>
      <c r="AA628" s="95" t="s">
        <v>71</v>
      </c>
      <c r="AB628" s="95" t="s">
        <v>71</v>
      </c>
      <c r="AC628" s="95" t="s">
        <v>71</v>
      </c>
      <c r="AD628" s="95" t="s">
        <v>71</v>
      </c>
      <c r="AE628" s="95" t="s">
        <v>71</v>
      </c>
      <c r="AF628" s="95" t="s">
        <v>71</v>
      </c>
      <c r="AG628" s="95" t="s">
        <v>72</v>
      </c>
      <c r="AH628" s="95" t="s">
        <v>72</v>
      </c>
      <c r="AI628" s="95" t="s">
        <v>72</v>
      </c>
      <c r="AJ628" s="95" t="s">
        <v>72</v>
      </c>
      <c r="AK628" s="95" t="s">
        <v>71</v>
      </c>
    </row>
    <row r="629" spans="1:37" x14ac:dyDescent="0.2">
      <c r="A629" s="95" t="s">
        <v>97</v>
      </c>
      <c r="B629" s="95" t="s">
        <v>66</v>
      </c>
      <c r="C629" s="95" t="s">
        <v>4602</v>
      </c>
      <c r="F629" s="95">
        <v>1</v>
      </c>
      <c r="G629" s="250">
        <f>Table1[[#This Row],[R-Value per Inch]]</f>
        <v>6.1</v>
      </c>
      <c r="H629" s="250">
        <v>6.1</v>
      </c>
      <c r="I629" s="101">
        <f>754/200</f>
        <v>3.77</v>
      </c>
      <c r="S629" s="95" t="s">
        <v>4620</v>
      </c>
      <c r="T629" s="4" t="s">
        <v>4624</v>
      </c>
      <c r="U629" s="95" t="s">
        <v>71</v>
      </c>
      <c r="V629" s="95" t="s">
        <v>71</v>
      </c>
      <c r="W629" s="95" t="s">
        <v>71</v>
      </c>
      <c r="X629" s="95" t="s">
        <v>72</v>
      </c>
      <c r="Y629" s="95" t="s">
        <v>71</v>
      </c>
      <c r="Z629" s="95" t="s">
        <v>71</v>
      </c>
      <c r="AA629" s="95" t="s">
        <v>71</v>
      </c>
      <c r="AB629" s="95" t="s">
        <v>71</v>
      </c>
      <c r="AC629" s="95" t="s">
        <v>71</v>
      </c>
      <c r="AD629" s="95" t="s">
        <v>71</v>
      </c>
      <c r="AE629" s="95" t="s">
        <v>71</v>
      </c>
      <c r="AF629" s="95" t="s">
        <v>71</v>
      </c>
      <c r="AG629" s="95" t="s">
        <v>72</v>
      </c>
      <c r="AH629" s="95" t="s">
        <v>72</v>
      </c>
      <c r="AI629" s="95" t="s">
        <v>72</v>
      </c>
      <c r="AJ629" s="95" t="s">
        <v>72</v>
      </c>
      <c r="AK629" s="95" t="s">
        <v>71</v>
      </c>
    </row>
    <row r="630" spans="1:37" x14ac:dyDescent="0.2">
      <c r="A630" s="95" t="s">
        <v>97</v>
      </c>
      <c r="B630" s="95" t="s">
        <v>66</v>
      </c>
      <c r="C630" s="95" t="s">
        <v>4602</v>
      </c>
      <c r="F630" s="95">
        <v>1</v>
      </c>
      <c r="G630" s="250">
        <f>Table1[[#This Row],[R-Value per Inch]]</f>
        <v>6.2</v>
      </c>
      <c r="H630" s="250">
        <v>6.2</v>
      </c>
      <c r="I630" s="101">
        <f>259/105</f>
        <v>2.4666666666666668</v>
      </c>
      <c r="S630" s="95" t="s">
        <v>2715</v>
      </c>
      <c r="T630" s="4" t="s">
        <v>4636</v>
      </c>
      <c r="U630" s="95" t="s">
        <v>71</v>
      </c>
      <c r="V630" s="95" t="s">
        <v>71</v>
      </c>
      <c r="W630" s="95" t="s">
        <v>71</v>
      </c>
      <c r="X630" s="95" t="s">
        <v>72</v>
      </c>
      <c r="Y630" s="95" t="s">
        <v>71</v>
      </c>
      <c r="Z630" s="95" t="s">
        <v>71</v>
      </c>
      <c r="AA630" s="95" t="s">
        <v>71</v>
      </c>
      <c r="AB630" s="95" t="s">
        <v>71</v>
      </c>
      <c r="AC630" s="95" t="s">
        <v>71</v>
      </c>
      <c r="AD630" s="95" t="s">
        <v>71</v>
      </c>
      <c r="AE630" s="95" t="s">
        <v>71</v>
      </c>
      <c r="AF630" s="95" t="s">
        <v>71</v>
      </c>
      <c r="AG630" s="95" t="s">
        <v>72</v>
      </c>
      <c r="AH630" s="95" t="s">
        <v>72</v>
      </c>
      <c r="AI630" s="95" t="s">
        <v>72</v>
      </c>
      <c r="AJ630" s="95" t="s">
        <v>72</v>
      </c>
      <c r="AK630" s="95" t="s">
        <v>71</v>
      </c>
    </row>
    <row r="631" spans="1:37" x14ac:dyDescent="0.2">
      <c r="A631" s="95" t="s">
        <v>97</v>
      </c>
      <c r="B631" s="95" t="s">
        <v>66</v>
      </c>
      <c r="C631" s="95" t="s">
        <v>4602</v>
      </c>
      <c r="F631" s="95">
        <v>1</v>
      </c>
      <c r="G631" s="250">
        <f>Table1[[#This Row],[R-Value per Inch]]</f>
        <v>6.2</v>
      </c>
      <c r="H631" s="250">
        <v>6.2</v>
      </c>
      <c r="I631" s="101">
        <f>389/205</f>
        <v>1.897560975609756</v>
      </c>
      <c r="S631" s="95" t="s">
        <v>2715</v>
      </c>
      <c r="T631" s="4" t="s">
        <v>4637</v>
      </c>
      <c r="U631" s="95" t="s">
        <v>71</v>
      </c>
      <c r="V631" s="95" t="s">
        <v>71</v>
      </c>
      <c r="W631" s="95" t="s">
        <v>71</v>
      </c>
      <c r="X631" s="95" t="s">
        <v>72</v>
      </c>
      <c r="Y631" s="95" t="s">
        <v>71</v>
      </c>
      <c r="Z631" s="95" t="s">
        <v>71</v>
      </c>
      <c r="AA631" s="95" t="s">
        <v>71</v>
      </c>
      <c r="AB631" s="95" t="s">
        <v>71</v>
      </c>
      <c r="AC631" s="95" t="s">
        <v>71</v>
      </c>
      <c r="AD631" s="95" t="s">
        <v>71</v>
      </c>
      <c r="AE631" s="95" t="s">
        <v>71</v>
      </c>
      <c r="AF631" s="95" t="s">
        <v>71</v>
      </c>
      <c r="AG631" s="95" t="s">
        <v>72</v>
      </c>
      <c r="AH631" s="95" t="s">
        <v>72</v>
      </c>
      <c r="AI631" s="95" t="s">
        <v>72</v>
      </c>
      <c r="AJ631" s="95" t="s">
        <v>72</v>
      </c>
      <c r="AK631" s="95" t="s">
        <v>71</v>
      </c>
    </row>
    <row r="632" spans="1:37" x14ac:dyDescent="0.2">
      <c r="A632" s="95" t="s">
        <v>97</v>
      </c>
      <c r="B632" s="95" t="s">
        <v>66</v>
      </c>
      <c r="C632" s="95" t="s">
        <v>4602</v>
      </c>
      <c r="F632" s="95">
        <v>1</v>
      </c>
      <c r="G632" s="250">
        <f>Table1[[#This Row],[R-Value per Inch]]</f>
        <v>6.2</v>
      </c>
      <c r="H632" s="250">
        <v>6.2</v>
      </c>
      <c r="I632" s="101">
        <f>799/605</f>
        <v>1.3206611570247935</v>
      </c>
      <c r="S632" s="95" t="s">
        <v>2715</v>
      </c>
      <c r="T632" s="4" t="s">
        <v>4638</v>
      </c>
      <c r="U632" s="95" t="s">
        <v>71</v>
      </c>
      <c r="V632" s="95" t="s">
        <v>71</v>
      </c>
      <c r="W632" s="95" t="s">
        <v>71</v>
      </c>
      <c r="X632" s="95" t="s">
        <v>72</v>
      </c>
      <c r="Y632" s="95" t="s">
        <v>71</v>
      </c>
      <c r="Z632" s="95" t="s">
        <v>71</v>
      </c>
      <c r="AA632" s="95" t="s">
        <v>71</v>
      </c>
      <c r="AB632" s="95" t="s">
        <v>71</v>
      </c>
      <c r="AC632" s="95" t="s">
        <v>71</v>
      </c>
      <c r="AD632" s="95" t="s">
        <v>71</v>
      </c>
      <c r="AE632" s="95" t="s">
        <v>71</v>
      </c>
      <c r="AF632" s="95" t="s">
        <v>71</v>
      </c>
      <c r="AG632" s="95" t="s">
        <v>72</v>
      </c>
      <c r="AH632" s="95" t="s">
        <v>72</v>
      </c>
      <c r="AI632" s="95" t="s">
        <v>72</v>
      </c>
      <c r="AJ632" s="95" t="s">
        <v>72</v>
      </c>
      <c r="AK632" s="95" t="s">
        <v>71</v>
      </c>
    </row>
    <row r="633" spans="1:37" x14ac:dyDescent="0.2">
      <c r="A633" s="95" t="s">
        <v>97</v>
      </c>
      <c r="B633" s="95" t="s">
        <v>66</v>
      </c>
      <c r="C633" s="95" t="s">
        <v>4602</v>
      </c>
      <c r="F633" s="95">
        <v>1</v>
      </c>
      <c r="G633" s="250">
        <f>Table1[[#This Row],[R-Value per Inch]]</f>
        <v>6.2</v>
      </c>
      <c r="H633" s="250">
        <v>6.2</v>
      </c>
      <c r="I633" s="101">
        <f>359/205</f>
        <v>1.751219512195122</v>
      </c>
      <c r="Q633" s="95" t="s">
        <v>4632</v>
      </c>
      <c r="S633" s="95" t="s">
        <v>2715</v>
      </c>
      <c r="T633" s="4" t="s">
        <v>4633</v>
      </c>
      <c r="U633" s="95" t="s">
        <v>71</v>
      </c>
      <c r="V633" s="95" t="s">
        <v>71</v>
      </c>
      <c r="W633" s="95" t="s">
        <v>71</v>
      </c>
      <c r="X633" s="95" t="s">
        <v>72</v>
      </c>
      <c r="Y633" s="95" t="s">
        <v>71</v>
      </c>
      <c r="Z633" s="95" t="s">
        <v>71</v>
      </c>
      <c r="AA633" s="95" t="s">
        <v>71</v>
      </c>
      <c r="AB633" s="95" t="s">
        <v>71</v>
      </c>
      <c r="AC633" s="95" t="s">
        <v>71</v>
      </c>
      <c r="AD633" s="95" t="s">
        <v>71</v>
      </c>
      <c r="AE633" s="95" t="s">
        <v>71</v>
      </c>
      <c r="AF633" s="95" t="s">
        <v>71</v>
      </c>
      <c r="AG633" s="95" t="s">
        <v>72</v>
      </c>
      <c r="AH633" s="95" t="s">
        <v>72</v>
      </c>
      <c r="AI633" s="95" t="s">
        <v>72</v>
      </c>
      <c r="AJ633" s="95" t="s">
        <v>72</v>
      </c>
      <c r="AK633" s="95" t="s">
        <v>71</v>
      </c>
    </row>
    <row r="634" spans="1:37" x14ac:dyDescent="0.2">
      <c r="A634" s="95" t="s">
        <v>97</v>
      </c>
      <c r="B634" s="95" t="s">
        <v>66</v>
      </c>
      <c r="C634" s="95" t="s">
        <v>4602</v>
      </c>
      <c r="F634" s="95">
        <v>1</v>
      </c>
      <c r="G634" s="250">
        <f>Table1[[#This Row],[R-Value per Inch]]</f>
        <v>6.2</v>
      </c>
      <c r="H634" s="250">
        <v>6.2</v>
      </c>
      <c r="I634" s="101">
        <f>739/605</f>
        <v>1.2214876033057851</v>
      </c>
      <c r="Q634" s="95" t="s">
        <v>4632</v>
      </c>
      <c r="S634" s="95" t="s">
        <v>2715</v>
      </c>
      <c r="T634" s="4" t="s">
        <v>4635</v>
      </c>
      <c r="U634" s="95" t="s">
        <v>71</v>
      </c>
      <c r="V634" s="95" t="s">
        <v>71</v>
      </c>
      <c r="W634" s="95" t="s">
        <v>71</v>
      </c>
      <c r="X634" s="95" t="s">
        <v>72</v>
      </c>
      <c r="Y634" s="95" t="s">
        <v>71</v>
      </c>
      <c r="Z634" s="95" t="s">
        <v>71</v>
      </c>
      <c r="AA634" s="95" t="s">
        <v>71</v>
      </c>
      <c r="AB634" s="95" t="s">
        <v>71</v>
      </c>
      <c r="AC634" s="95" t="s">
        <v>71</v>
      </c>
      <c r="AD634" s="95" t="s">
        <v>71</v>
      </c>
      <c r="AE634" s="95" t="s">
        <v>71</v>
      </c>
      <c r="AF634" s="95" t="s">
        <v>71</v>
      </c>
      <c r="AG634" s="95" t="s">
        <v>72</v>
      </c>
      <c r="AH634" s="95" t="s">
        <v>72</v>
      </c>
      <c r="AI634" s="95" t="s">
        <v>72</v>
      </c>
      <c r="AJ634" s="95" t="s">
        <v>72</v>
      </c>
      <c r="AK634" s="95" t="s">
        <v>71</v>
      </c>
    </row>
    <row r="635" spans="1:37" x14ac:dyDescent="0.2">
      <c r="A635" s="95" t="s">
        <v>97</v>
      </c>
      <c r="B635" s="95" t="s">
        <v>4639</v>
      </c>
      <c r="C635" s="95" t="s">
        <v>4602</v>
      </c>
      <c r="F635" s="95">
        <v>1</v>
      </c>
      <c r="G635" s="250">
        <f>Table1[[#This Row],[R-Value per Inch]]</f>
        <v>6.5</v>
      </c>
      <c r="H635" s="250">
        <v>6.5</v>
      </c>
      <c r="I635" s="101">
        <f>269/60</f>
        <v>4.4833333333333334</v>
      </c>
      <c r="Q635" s="95" t="s">
        <v>4640</v>
      </c>
      <c r="S635" s="95" t="s">
        <v>2715</v>
      </c>
      <c r="T635" s="4" t="s">
        <v>4642</v>
      </c>
      <c r="U635" s="95" t="s">
        <v>71</v>
      </c>
      <c r="V635" s="95" t="s">
        <v>71</v>
      </c>
      <c r="W635" s="95" t="s">
        <v>71</v>
      </c>
      <c r="X635" s="95" t="s">
        <v>72</v>
      </c>
      <c r="Y635" s="95" t="s">
        <v>71</v>
      </c>
      <c r="Z635" s="95" t="s">
        <v>71</v>
      </c>
      <c r="AA635" s="95" t="s">
        <v>71</v>
      </c>
      <c r="AB635" s="95" t="s">
        <v>71</v>
      </c>
      <c r="AC635" s="95" t="s">
        <v>71</v>
      </c>
      <c r="AD635" s="95" t="s">
        <v>71</v>
      </c>
      <c r="AE635" s="95" t="s">
        <v>71</v>
      </c>
      <c r="AF635" s="95" t="s">
        <v>71</v>
      </c>
      <c r="AG635" s="95" t="s">
        <v>72</v>
      </c>
      <c r="AH635" s="95" t="s">
        <v>72</v>
      </c>
      <c r="AI635" s="95" t="s">
        <v>72</v>
      </c>
      <c r="AJ635" s="95" t="s">
        <v>72</v>
      </c>
      <c r="AK635" s="95" t="s">
        <v>71</v>
      </c>
    </row>
    <row r="636" spans="1:37" x14ac:dyDescent="0.2">
      <c r="A636" s="95" t="s">
        <v>97</v>
      </c>
      <c r="B636" s="95" t="s">
        <v>4639</v>
      </c>
      <c r="C636" s="95" t="s">
        <v>4602</v>
      </c>
      <c r="F636" s="95">
        <v>1</v>
      </c>
      <c r="G636" s="250">
        <f>Table1[[#This Row],[R-Value per Inch]]</f>
        <v>6.5</v>
      </c>
      <c r="H636" s="250">
        <v>6.5</v>
      </c>
      <c r="I636" s="101">
        <f>859/340</f>
        <v>2.526470588235294</v>
      </c>
      <c r="Q636" s="95" t="s">
        <v>4640</v>
      </c>
      <c r="S636" s="95" t="s">
        <v>2715</v>
      </c>
      <c r="T636" s="4" t="s">
        <v>4643</v>
      </c>
      <c r="U636" s="95" t="s">
        <v>71</v>
      </c>
      <c r="V636" s="95" t="s">
        <v>71</v>
      </c>
      <c r="W636" s="95" t="s">
        <v>71</v>
      </c>
      <c r="X636" s="95" t="s">
        <v>72</v>
      </c>
      <c r="Y636" s="95" t="s">
        <v>71</v>
      </c>
      <c r="Z636" s="95" t="s">
        <v>71</v>
      </c>
      <c r="AA636" s="95" t="s">
        <v>71</v>
      </c>
      <c r="AB636" s="95" t="s">
        <v>71</v>
      </c>
      <c r="AC636" s="95" t="s">
        <v>71</v>
      </c>
      <c r="AD636" s="95" t="s">
        <v>71</v>
      </c>
      <c r="AE636" s="95" t="s">
        <v>71</v>
      </c>
      <c r="AF636" s="95" t="s">
        <v>71</v>
      </c>
      <c r="AG636" s="95" t="s">
        <v>72</v>
      </c>
      <c r="AH636" s="95" t="s">
        <v>72</v>
      </c>
      <c r="AI636" s="95" t="s">
        <v>72</v>
      </c>
      <c r="AJ636" s="95" t="s">
        <v>72</v>
      </c>
      <c r="AK636" s="95" t="s">
        <v>71</v>
      </c>
    </row>
    <row r="637" spans="1:37" x14ac:dyDescent="0.2">
      <c r="A637" s="95" t="s">
        <v>97</v>
      </c>
      <c r="B637" s="95" t="s">
        <v>66</v>
      </c>
      <c r="C637" s="95" t="s">
        <v>4602</v>
      </c>
      <c r="F637" s="95">
        <v>1</v>
      </c>
      <c r="G637" s="250">
        <f>Table1[[#This Row],[R-Value per Inch]]</f>
        <v>6.6</v>
      </c>
      <c r="H637" s="250">
        <v>6.6</v>
      </c>
      <c r="I637" s="101">
        <f>475/120</f>
        <v>3.9583333333333335</v>
      </c>
      <c r="S637" s="95" t="s">
        <v>4647</v>
      </c>
      <c r="T637" s="4" t="s">
        <v>4648</v>
      </c>
      <c r="U637" s="95" t="s">
        <v>71</v>
      </c>
      <c r="V637" s="95" t="s">
        <v>71</v>
      </c>
      <c r="W637" s="95" t="s">
        <v>71</v>
      </c>
      <c r="X637" s="95" t="s">
        <v>72</v>
      </c>
      <c r="Y637" s="95" t="s">
        <v>71</v>
      </c>
      <c r="Z637" s="95" t="s">
        <v>71</v>
      </c>
      <c r="AA637" s="95" t="s">
        <v>71</v>
      </c>
      <c r="AB637" s="95" t="s">
        <v>71</v>
      </c>
      <c r="AC637" s="95" t="s">
        <v>71</v>
      </c>
      <c r="AD637" s="95" t="s">
        <v>71</v>
      </c>
      <c r="AE637" s="95" t="s">
        <v>71</v>
      </c>
      <c r="AF637" s="95" t="s">
        <v>71</v>
      </c>
      <c r="AG637" s="95" t="s">
        <v>72</v>
      </c>
      <c r="AH637" s="95" t="s">
        <v>72</v>
      </c>
      <c r="AI637" s="95" t="s">
        <v>72</v>
      </c>
      <c r="AJ637" s="95" t="s">
        <v>72</v>
      </c>
      <c r="AK637" s="95" t="s">
        <v>71</v>
      </c>
    </row>
    <row r="638" spans="1:37" x14ac:dyDescent="0.2">
      <c r="A638" s="95" t="s">
        <v>97</v>
      </c>
      <c r="B638" s="95" t="s">
        <v>66</v>
      </c>
      <c r="C638" s="95" t="s">
        <v>4602</v>
      </c>
      <c r="F638" s="95">
        <v>1</v>
      </c>
      <c r="G638" s="250">
        <f>Table1[[#This Row],[R-Value per Inch]]</f>
        <v>6.6</v>
      </c>
      <c r="H638" s="250">
        <v>6.6</v>
      </c>
      <c r="I638" s="101">
        <f>389/200</f>
        <v>1.9450000000000001</v>
      </c>
      <c r="S638" s="95" t="s">
        <v>4647</v>
      </c>
      <c r="T638" s="4" t="s">
        <v>4649</v>
      </c>
      <c r="U638" s="95" t="s">
        <v>71</v>
      </c>
      <c r="V638" s="95" t="s">
        <v>71</v>
      </c>
      <c r="W638" s="95" t="s">
        <v>71</v>
      </c>
      <c r="X638" s="95" t="s">
        <v>72</v>
      </c>
      <c r="Y638" s="95" t="s">
        <v>71</v>
      </c>
      <c r="Z638" s="95" t="s">
        <v>71</v>
      </c>
      <c r="AA638" s="95" t="s">
        <v>71</v>
      </c>
      <c r="AB638" s="95" t="s">
        <v>71</v>
      </c>
      <c r="AC638" s="95" t="s">
        <v>71</v>
      </c>
      <c r="AD638" s="95" t="s">
        <v>71</v>
      </c>
      <c r="AE638" s="95" t="s">
        <v>71</v>
      </c>
      <c r="AF638" s="95" t="s">
        <v>71</v>
      </c>
      <c r="AG638" s="95" t="s">
        <v>72</v>
      </c>
      <c r="AH638" s="95" t="s">
        <v>72</v>
      </c>
      <c r="AI638" s="95" t="s">
        <v>72</v>
      </c>
      <c r="AJ638" s="95" t="s">
        <v>72</v>
      </c>
      <c r="AK638" s="95" t="s">
        <v>71</v>
      </c>
    </row>
    <row r="639" spans="1:37" x14ac:dyDescent="0.2">
      <c r="A639" s="95" t="s">
        <v>97</v>
      </c>
      <c r="B639" s="95" t="s">
        <v>66</v>
      </c>
      <c r="C639" s="95" t="s">
        <v>4602</v>
      </c>
      <c r="F639" s="95">
        <v>1</v>
      </c>
      <c r="G639" s="250">
        <f>Table1[[#This Row],[R-Value per Inch]]</f>
        <v>7</v>
      </c>
      <c r="H639" s="250">
        <v>7</v>
      </c>
      <c r="I639" s="101">
        <f>879/600</f>
        <v>1.4650000000000001</v>
      </c>
      <c r="S639" s="95" t="s">
        <v>4647</v>
      </c>
      <c r="T639" s="4" t="s">
        <v>4651</v>
      </c>
      <c r="U639" s="95" t="s">
        <v>71</v>
      </c>
      <c r="V639" s="95" t="s">
        <v>71</v>
      </c>
      <c r="W639" s="95" t="s">
        <v>71</v>
      </c>
      <c r="X639" s="95" t="s">
        <v>72</v>
      </c>
      <c r="Y639" s="95" t="s">
        <v>71</v>
      </c>
      <c r="Z639" s="95" t="s">
        <v>71</v>
      </c>
      <c r="AA639" s="95" t="s">
        <v>71</v>
      </c>
      <c r="AB639" s="95" t="s">
        <v>71</v>
      </c>
      <c r="AC639" s="95" t="s">
        <v>71</v>
      </c>
      <c r="AD639" s="95" t="s">
        <v>71</v>
      </c>
      <c r="AE639" s="95" t="s">
        <v>71</v>
      </c>
      <c r="AF639" s="95" t="s">
        <v>71</v>
      </c>
      <c r="AG639" s="95" t="s">
        <v>72</v>
      </c>
      <c r="AH639" s="95" t="s">
        <v>72</v>
      </c>
      <c r="AI639" s="95" t="s">
        <v>72</v>
      </c>
      <c r="AJ639" s="95" t="s">
        <v>72</v>
      </c>
      <c r="AK639" s="95" t="s">
        <v>71</v>
      </c>
    </row>
    <row r="640" spans="1:37" x14ac:dyDescent="0.2">
      <c r="A640" s="95" t="s">
        <v>97</v>
      </c>
      <c r="B640" s="95" t="s">
        <v>66</v>
      </c>
      <c r="C640" s="95" t="s">
        <v>4602</v>
      </c>
      <c r="F640" s="95">
        <v>1</v>
      </c>
      <c r="G640" s="250">
        <f>Table1[[#This Row],[R-Value per Inch]]</f>
        <v>6.6</v>
      </c>
      <c r="H640" s="250">
        <v>6.6</v>
      </c>
      <c r="I640" s="101">
        <f>269/110</f>
        <v>2.4454545454545453</v>
      </c>
      <c r="S640" s="95" t="s">
        <v>4647</v>
      </c>
      <c r="T640" s="4" t="s">
        <v>4653</v>
      </c>
      <c r="U640" s="95" t="s">
        <v>71</v>
      </c>
      <c r="V640" s="95" t="s">
        <v>71</v>
      </c>
      <c r="W640" s="95" t="s">
        <v>71</v>
      </c>
      <c r="X640" s="95" t="s">
        <v>72</v>
      </c>
      <c r="Y640" s="95" t="s">
        <v>71</v>
      </c>
      <c r="Z640" s="95" t="s">
        <v>71</v>
      </c>
      <c r="AA640" s="95" t="s">
        <v>71</v>
      </c>
      <c r="AB640" s="95" t="s">
        <v>71</v>
      </c>
      <c r="AC640" s="95" t="s">
        <v>71</v>
      </c>
      <c r="AD640" s="95" t="s">
        <v>71</v>
      </c>
      <c r="AE640" s="95" t="s">
        <v>71</v>
      </c>
      <c r="AF640" s="95" t="s">
        <v>71</v>
      </c>
      <c r="AG640" s="95" t="s">
        <v>72</v>
      </c>
      <c r="AH640" s="95" t="s">
        <v>72</v>
      </c>
      <c r="AI640" s="95" t="s">
        <v>72</v>
      </c>
      <c r="AJ640" s="95" t="s">
        <v>72</v>
      </c>
      <c r="AK640" s="95" t="s">
        <v>71</v>
      </c>
    </row>
    <row r="641" spans="1:37" x14ac:dyDescent="0.2">
      <c r="A641" s="95" t="s">
        <v>97</v>
      </c>
      <c r="B641" s="95" t="s">
        <v>66</v>
      </c>
      <c r="C641" s="95" t="s">
        <v>4602</v>
      </c>
      <c r="F641" s="95">
        <v>1</v>
      </c>
      <c r="G641" s="250">
        <f>Table1[[#This Row],[R-Value per Inch]]</f>
        <v>6.6</v>
      </c>
      <c r="H641" s="250">
        <v>6.6</v>
      </c>
      <c r="I641" s="101">
        <f>399/200</f>
        <v>1.9950000000000001</v>
      </c>
      <c r="S641" s="95" t="s">
        <v>4647</v>
      </c>
      <c r="T641" s="4" t="s">
        <v>4652</v>
      </c>
      <c r="U641" s="95" t="s">
        <v>71</v>
      </c>
      <c r="V641" s="95" t="s">
        <v>71</v>
      </c>
      <c r="W641" s="95" t="s">
        <v>71</v>
      </c>
      <c r="X641" s="95" t="s">
        <v>72</v>
      </c>
      <c r="Y641" s="95" t="s">
        <v>71</v>
      </c>
      <c r="Z641" s="95" t="s">
        <v>71</v>
      </c>
      <c r="AA641" s="95" t="s">
        <v>71</v>
      </c>
      <c r="AB641" s="95" t="s">
        <v>71</v>
      </c>
      <c r="AC641" s="95" t="s">
        <v>71</v>
      </c>
      <c r="AD641" s="95" t="s">
        <v>71</v>
      </c>
      <c r="AE641" s="95" t="s">
        <v>71</v>
      </c>
      <c r="AF641" s="95" t="s">
        <v>71</v>
      </c>
      <c r="AG641" s="95" t="s">
        <v>72</v>
      </c>
      <c r="AH641" s="95" t="s">
        <v>72</v>
      </c>
      <c r="AI641" s="95" t="s">
        <v>72</v>
      </c>
      <c r="AJ641" s="95" t="s">
        <v>72</v>
      </c>
      <c r="AK641" s="95" t="s">
        <v>71</v>
      </c>
    </row>
    <row r="642" spans="1:37" x14ac:dyDescent="0.2">
      <c r="A642" s="95" t="s">
        <v>97</v>
      </c>
      <c r="B642" s="95" t="s">
        <v>66</v>
      </c>
      <c r="C642" s="95" t="s">
        <v>4602</v>
      </c>
      <c r="F642" s="95">
        <v>1</v>
      </c>
      <c r="G642" s="250">
        <f>Table1[[#This Row],[R-Value per Inch]]</f>
        <v>6.6</v>
      </c>
      <c r="H642" s="250">
        <v>6.6</v>
      </c>
      <c r="I642" s="101">
        <f>799/600</f>
        <v>1.3316666666666668</v>
      </c>
      <c r="S642" s="95" t="s">
        <v>4647</v>
      </c>
      <c r="T642" s="4" t="s">
        <v>4655</v>
      </c>
      <c r="U642" s="95" t="s">
        <v>71</v>
      </c>
      <c r="V642" s="95" t="s">
        <v>71</v>
      </c>
      <c r="W642" s="95" t="s">
        <v>71</v>
      </c>
      <c r="X642" s="95" t="s">
        <v>72</v>
      </c>
      <c r="Y642" s="95" t="s">
        <v>71</v>
      </c>
      <c r="Z642" s="95" t="s">
        <v>71</v>
      </c>
      <c r="AA642" s="95" t="s">
        <v>71</v>
      </c>
      <c r="AB642" s="95" t="s">
        <v>71</v>
      </c>
      <c r="AC642" s="95" t="s">
        <v>71</v>
      </c>
      <c r="AD642" s="95" t="s">
        <v>71</v>
      </c>
      <c r="AE642" s="95" t="s">
        <v>71</v>
      </c>
      <c r="AF642" s="95" t="s">
        <v>71</v>
      </c>
      <c r="AG642" s="95" t="s">
        <v>72</v>
      </c>
      <c r="AH642" s="95" t="s">
        <v>72</v>
      </c>
      <c r="AI642" s="95" t="s">
        <v>72</v>
      </c>
      <c r="AJ642" s="95" t="s">
        <v>72</v>
      </c>
      <c r="AK642" s="95" t="s">
        <v>71</v>
      </c>
    </row>
    <row r="643" spans="1:37" x14ac:dyDescent="0.2">
      <c r="A643" s="95" t="s">
        <v>65</v>
      </c>
      <c r="B643" s="95" t="s">
        <v>66</v>
      </c>
      <c r="C643" s="95" t="s">
        <v>84</v>
      </c>
      <c r="D643" s="95" t="s">
        <v>81</v>
      </c>
      <c r="E643" s="95" t="s">
        <v>82</v>
      </c>
      <c r="F643" s="95">
        <v>1</v>
      </c>
      <c r="G643" s="95">
        <v>6</v>
      </c>
      <c r="H643" s="250">
        <v>6</v>
      </c>
      <c r="I643" s="101">
        <f>29.56/32</f>
        <v>0.92374999999999996</v>
      </c>
      <c r="S643" s="95" t="s">
        <v>321</v>
      </c>
      <c r="T643" s="4" t="s">
        <v>4761</v>
      </c>
      <c r="U643" s="95" t="s">
        <v>71</v>
      </c>
      <c r="V643" s="95" t="s">
        <v>71</v>
      </c>
      <c r="W643" s="95" t="s">
        <v>72</v>
      </c>
      <c r="X643" s="95" t="s">
        <v>71</v>
      </c>
      <c r="Y643" s="95" t="s">
        <v>72</v>
      </c>
      <c r="Z643" s="95" t="s">
        <v>71</v>
      </c>
      <c r="AA643" s="95" t="s">
        <v>72</v>
      </c>
      <c r="AB643" s="95" t="s">
        <v>72</v>
      </c>
      <c r="AC643" s="95" t="s">
        <v>72</v>
      </c>
      <c r="AD643" s="95" t="s">
        <v>72</v>
      </c>
      <c r="AE643" s="95" t="s">
        <v>71</v>
      </c>
      <c r="AF643" s="95" t="s">
        <v>72</v>
      </c>
      <c r="AG643" s="95" t="s">
        <v>71</v>
      </c>
      <c r="AH643" s="95" t="s">
        <v>71</v>
      </c>
      <c r="AI643" s="95" t="s">
        <v>71</v>
      </c>
      <c r="AK643" s="95" t="s">
        <v>71</v>
      </c>
    </row>
    <row r="644" spans="1:37" x14ac:dyDescent="0.2">
      <c r="A644" s="95" t="s">
        <v>65</v>
      </c>
      <c r="B644" s="95" t="s">
        <v>66</v>
      </c>
      <c r="C644" s="95" t="s">
        <v>84</v>
      </c>
      <c r="D644" s="95" t="s">
        <v>81</v>
      </c>
      <c r="E644" s="95" t="s">
        <v>82</v>
      </c>
      <c r="F644" s="95">
        <v>0.5</v>
      </c>
      <c r="G644" s="95">
        <v>2.7</v>
      </c>
      <c r="H644" s="250">
        <v>5.4</v>
      </c>
      <c r="I644" s="101">
        <f>19.92/32</f>
        <v>0.62250000000000005</v>
      </c>
      <c r="S644" s="95" t="s">
        <v>321</v>
      </c>
      <c r="T644" s="4" t="s">
        <v>4762</v>
      </c>
      <c r="U644" s="95" t="s">
        <v>71</v>
      </c>
      <c r="V644" s="95" t="s">
        <v>71</v>
      </c>
      <c r="W644" s="95" t="s">
        <v>72</v>
      </c>
      <c r="X644" s="95" t="s">
        <v>71</v>
      </c>
      <c r="Y644" s="95" t="s">
        <v>72</v>
      </c>
      <c r="Z644" s="95" t="s">
        <v>71</v>
      </c>
      <c r="AA644" s="95" t="s">
        <v>72</v>
      </c>
      <c r="AB644" s="95" t="s">
        <v>72</v>
      </c>
      <c r="AC644" s="95" t="s">
        <v>72</v>
      </c>
      <c r="AD644" s="95" t="s">
        <v>72</v>
      </c>
      <c r="AE644" s="95" t="s">
        <v>71</v>
      </c>
      <c r="AF644" s="95" t="s">
        <v>72</v>
      </c>
      <c r="AG644" s="95" t="s">
        <v>71</v>
      </c>
      <c r="AH644" s="95" t="s">
        <v>71</v>
      </c>
      <c r="AI644" s="95" t="s">
        <v>71</v>
      </c>
      <c r="AK644" s="95" t="s">
        <v>71</v>
      </c>
    </row>
    <row r="645" spans="1:37" x14ac:dyDescent="0.2">
      <c r="A645" s="95" t="s">
        <v>65</v>
      </c>
      <c r="B645" s="95" t="s">
        <v>66</v>
      </c>
      <c r="C645" s="95" t="s">
        <v>84</v>
      </c>
      <c r="D645" s="95" t="s">
        <v>81</v>
      </c>
      <c r="E645" s="95" t="s">
        <v>82</v>
      </c>
      <c r="F645" s="95">
        <v>0.75</v>
      </c>
      <c r="G645" s="95">
        <v>5</v>
      </c>
      <c r="H645" s="250">
        <v>6.67</v>
      </c>
      <c r="I645" s="101">
        <f>25.98/32</f>
        <v>0.81187500000000001</v>
      </c>
      <c r="S645" s="95" t="s">
        <v>321</v>
      </c>
      <c r="T645" s="4" t="s">
        <v>4764</v>
      </c>
      <c r="U645" s="95" t="s">
        <v>71</v>
      </c>
      <c r="V645" s="95" t="s">
        <v>71</v>
      </c>
      <c r="W645" s="95" t="s">
        <v>72</v>
      </c>
      <c r="X645" s="95" t="s">
        <v>71</v>
      </c>
      <c r="Y645" s="95" t="s">
        <v>72</v>
      </c>
      <c r="Z645" s="95" t="s">
        <v>71</v>
      </c>
      <c r="AA645" s="95" t="s">
        <v>72</v>
      </c>
      <c r="AB645" s="95" t="s">
        <v>72</v>
      </c>
      <c r="AC645" s="95" t="s">
        <v>72</v>
      </c>
      <c r="AD645" s="95" t="s">
        <v>72</v>
      </c>
      <c r="AE645" s="95" t="s">
        <v>71</v>
      </c>
      <c r="AF645" s="95" t="s">
        <v>72</v>
      </c>
      <c r="AG645" s="95" t="s">
        <v>71</v>
      </c>
      <c r="AH645" s="95" t="s">
        <v>71</v>
      </c>
      <c r="AI645" s="95" t="s">
        <v>71</v>
      </c>
      <c r="AK645" s="95" t="s">
        <v>71</v>
      </c>
    </row>
    <row r="646" spans="1:37" x14ac:dyDescent="0.2">
      <c r="A646" s="95" t="s">
        <v>65</v>
      </c>
      <c r="B646" s="95" t="s">
        <v>66</v>
      </c>
      <c r="C646" s="95" t="s">
        <v>84</v>
      </c>
      <c r="D646" s="95" t="s">
        <v>81</v>
      </c>
      <c r="E646" s="95" t="s">
        <v>82</v>
      </c>
      <c r="F646" s="95">
        <v>0.5</v>
      </c>
      <c r="G646" s="95">
        <v>3.2</v>
      </c>
      <c r="H646" s="250">
        <v>6.4</v>
      </c>
      <c r="I646" s="101">
        <f>2540.94/1536</f>
        <v>1.6542578125</v>
      </c>
      <c r="S646" s="95" t="s">
        <v>99</v>
      </c>
      <c r="T646" s="4" t="s">
        <v>4766</v>
      </c>
      <c r="U646" s="95" t="s">
        <v>71</v>
      </c>
      <c r="V646" s="95" t="s">
        <v>71</v>
      </c>
      <c r="W646" s="95" t="s">
        <v>72</v>
      </c>
      <c r="X646" s="95" t="s">
        <v>71</v>
      </c>
      <c r="Y646" s="95" t="s">
        <v>72</v>
      </c>
      <c r="Z646" s="95" t="s">
        <v>71</v>
      </c>
      <c r="AA646" s="95" t="s">
        <v>72</v>
      </c>
      <c r="AB646" s="95" t="s">
        <v>72</v>
      </c>
      <c r="AC646" s="95" t="s">
        <v>72</v>
      </c>
      <c r="AD646" s="95" t="s">
        <v>72</v>
      </c>
      <c r="AE646" s="95" t="s">
        <v>71</v>
      </c>
      <c r="AF646" s="95" t="s">
        <v>72</v>
      </c>
      <c r="AG646" s="95" t="s">
        <v>71</v>
      </c>
      <c r="AH646" s="95" t="s">
        <v>71</v>
      </c>
      <c r="AI646" s="95" t="s">
        <v>71</v>
      </c>
      <c r="AK646" s="95" t="s">
        <v>71</v>
      </c>
    </row>
    <row r="647" spans="1:37" x14ac:dyDescent="0.2">
      <c r="A647" s="95" t="s">
        <v>65</v>
      </c>
      <c r="B647" s="95" t="s">
        <v>66</v>
      </c>
      <c r="C647" s="95" t="s">
        <v>84</v>
      </c>
      <c r="D647" s="95" t="s">
        <v>81</v>
      </c>
      <c r="E647" s="95" t="s">
        <v>82</v>
      </c>
      <c r="F647" s="95">
        <v>0.75</v>
      </c>
      <c r="G647" s="95">
        <v>5</v>
      </c>
      <c r="H647" s="250">
        <f>5/0.75</f>
        <v>6.666666666666667</v>
      </c>
      <c r="I647" s="101">
        <f>1905.71/1920</f>
        <v>0.99255729166666673</v>
      </c>
      <c r="S647" s="95" t="s">
        <v>3561</v>
      </c>
      <c r="T647" s="4" t="s">
        <v>4768</v>
      </c>
      <c r="U647" s="95" t="s">
        <v>71</v>
      </c>
      <c r="V647" s="95" t="s">
        <v>71</v>
      </c>
      <c r="W647" s="95" t="s">
        <v>72</v>
      </c>
      <c r="X647" s="95" t="s">
        <v>71</v>
      </c>
      <c r="Y647" s="95" t="s">
        <v>72</v>
      </c>
      <c r="Z647" s="95" t="s">
        <v>71</v>
      </c>
      <c r="AA647" s="95" t="s">
        <v>72</v>
      </c>
      <c r="AB647" s="95" t="s">
        <v>72</v>
      </c>
      <c r="AC647" s="95" t="s">
        <v>72</v>
      </c>
      <c r="AD647" s="95" t="s">
        <v>72</v>
      </c>
      <c r="AE647" s="95" t="s">
        <v>71</v>
      </c>
      <c r="AF647" s="95" t="s">
        <v>72</v>
      </c>
      <c r="AG647" s="95" t="s">
        <v>71</v>
      </c>
      <c r="AH647" s="95" t="s">
        <v>71</v>
      </c>
      <c r="AI647" s="95" t="s">
        <v>71</v>
      </c>
      <c r="AK647" s="95" t="s">
        <v>71</v>
      </c>
    </row>
    <row r="648" spans="1:37" x14ac:dyDescent="0.2">
      <c r="A648" s="95" t="s">
        <v>65</v>
      </c>
      <c r="B648" s="95" t="s">
        <v>66</v>
      </c>
      <c r="C648" s="95" t="s">
        <v>84</v>
      </c>
      <c r="D648" s="95" t="s">
        <v>81</v>
      </c>
      <c r="E648" s="95" t="s">
        <v>82</v>
      </c>
      <c r="F648" s="95">
        <v>1</v>
      </c>
      <c r="G648" s="95">
        <v>6</v>
      </c>
      <c r="H648" s="250">
        <f>Table1[[#This Row],[R-value]]/Table1[[#This Row],[Thickness (in)]]</f>
        <v>6</v>
      </c>
      <c r="I648" s="101">
        <f>1584.94/1536</f>
        <v>1.0318619791666668</v>
      </c>
      <c r="S648" s="95" t="s">
        <v>3561</v>
      </c>
      <c r="T648" s="4" t="s">
        <v>4768</v>
      </c>
      <c r="U648" s="95" t="s">
        <v>71</v>
      </c>
      <c r="V648" s="95" t="s">
        <v>71</v>
      </c>
      <c r="W648" s="95" t="s">
        <v>72</v>
      </c>
      <c r="X648" s="95" t="s">
        <v>71</v>
      </c>
      <c r="Y648" s="95" t="s">
        <v>72</v>
      </c>
      <c r="Z648" s="95" t="s">
        <v>71</v>
      </c>
      <c r="AA648" s="95" t="s">
        <v>72</v>
      </c>
      <c r="AB648" s="95" t="s">
        <v>72</v>
      </c>
      <c r="AC648" s="95" t="s">
        <v>72</v>
      </c>
      <c r="AD648" s="95" t="s">
        <v>72</v>
      </c>
      <c r="AE648" s="95" t="s">
        <v>71</v>
      </c>
      <c r="AF648" s="95" t="s">
        <v>72</v>
      </c>
      <c r="AG648" s="95" t="s">
        <v>71</v>
      </c>
      <c r="AH648" s="95" t="s">
        <v>71</v>
      </c>
      <c r="AI648" s="95" t="s">
        <v>71</v>
      </c>
      <c r="AK648" s="95" t="s">
        <v>71</v>
      </c>
    </row>
    <row r="649" spans="1:37" x14ac:dyDescent="0.2">
      <c r="A649" s="95" t="s">
        <v>65</v>
      </c>
      <c r="B649" s="95" t="s">
        <v>66</v>
      </c>
      <c r="C649" s="95" t="s">
        <v>84</v>
      </c>
      <c r="D649" s="95" t="s">
        <v>81</v>
      </c>
      <c r="E649" s="95" t="s">
        <v>82</v>
      </c>
      <c r="F649" s="95">
        <v>1.5</v>
      </c>
      <c r="G649" s="95">
        <v>9.6</v>
      </c>
      <c r="H649" s="250">
        <f>Table1[[#This Row],[R-value]]/Table1[[#This Row],[Thickness (in)]]</f>
        <v>6.3999999999999995</v>
      </c>
      <c r="I649" s="101">
        <f>1309.88/1024</f>
        <v>1.2791796875000001</v>
      </c>
      <c r="S649" s="95" t="s">
        <v>3561</v>
      </c>
      <c r="T649" s="4" t="s">
        <v>4768</v>
      </c>
      <c r="U649" s="95" t="s">
        <v>71</v>
      </c>
      <c r="V649" s="95" t="s">
        <v>71</v>
      </c>
      <c r="W649" s="95" t="s">
        <v>72</v>
      </c>
      <c r="X649" s="95" t="s">
        <v>71</v>
      </c>
      <c r="Y649" s="95" t="s">
        <v>72</v>
      </c>
      <c r="Z649" s="95" t="s">
        <v>71</v>
      </c>
      <c r="AA649" s="95" t="s">
        <v>72</v>
      </c>
      <c r="AB649" s="95" t="s">
        <v>72</v>
      </c>
      <c r="AC649" s="95" t="s">
        <v>72</v>
      </c>
      <c r="AD649" s="95" t="s">
        <v>72</v>
      </c>
      <c r="AE649" s="95" t="s">
        <v>71</v>
      </c>
      <c r="AF649" s="95" t="s">
        <v>72</v>
      </c>
      <c r="AG649" s="95" t="s">
        <v>71</v>
      </c>
      <c r="AH649" s="95" t="s">
        <v>71</v>
      </c>
      <c r="AI649" s="95" t="s">
        <v>71</v>
      </c>
      <c r="AK649" s="95" t="s">
        <v>71</v>
      </c>
    </row>
    <row r="650" spans="1:37" x14ac:dyDescent="0.2">
      <c r="A650" s="95" t="s">
        <v>65</v>
      </c>
      <c r="B650" s="95" t="s">
        <v>66</v>
      </c>
      <c r="C650" s="95" t="s">
        <v>84</v>
      </c>
      <c r="D650" s="95" t="s">
        <v>81</v>
      </c>
      <c r="E650" s="95" t="s">
        <v>82</v>
      </c>
      <c r="F650" s="95">
        <v>2</v>
      </c>
      <c r="G650" s="95">
        <v>13.1</v>
      </c>
      <c r="H650" s="250">
        <f>Table1[[#This Row],[R-value]]/Table1[[#This Row],[Thickness (in)]]</f>
        <v>6.55</v>
      </c>
      <c r="I650" s="101">
        <f>1262.92/768</f>
        <v>1.6444270833333334</v>
      </c>
      <c r="S650" s="95" t="s">
        <v>3561</v>
      </c>
      <c r="T650" s="4" t="s">
        <v>4768</v>
      </c>
      <c r="U650" s="95" t="s">
        <v>71</v>
      </c>
      <c r="V650" s="95" t="s">
        <v>71</v>
      </c>
      <c r="W650" s="95" t="s">
        <v>72</v>
      </c>
      <c r="X650" s="95" t="s">
        <v>71</v>
      </c>
      <c r="Y650" s="95" t="s">
        <v>72</v>
      </c>
      <c r="Z650" s="95" t="s">
        <v>71</v>
      </c>
      <c r="AA650" s="95" t="s">
        <v>72</v>
      </c>
      <c r="AB650" s="95" t="s">
        <v>72</v>
      </c>
      <c r="AC650" s="95" t="s">
        <v>72</v>
      </c>
      <c r="AD650" s="95" t="s">
        <v>72</v>
      </c>
      <c r="AE650" s="95" t="s">
        <v>71</v>
      </c>
      <c r="AF650" s="95" t="s">
        <v>72</v>
      </c>
      <c r="AG650" s="95" t="s">
        <v>71</v>
      </c>
      <c r="AH650" s="95" t="s">
        <v>71</v>
      </c>
      <c r="AI650" s="95" t="s">
        <v>71</v>
      </c>
      <c r="AK650" s="95" t="s">
        <v>71</v>
      </c>
    </row>
    <row r="651" spans="1:37" x14ac:dyDescent="0.2">
      <c r="A651" s="95" t="s">
        <v>65</v>
      </c>
      <c r="B651" s="95" t="s">
        <v>66</v>
      </c>
      <c r="C651" s="95" t="s">
        <v>84</v>
      </c>
      <c r="D651" s="95" t="s">
        <v>81</v>
      </c>
      <c r="E651" s="95" t="s">
        <v>82</v>
      </c>
      <c r="F651" s="95">
        <v>2.5</v>
      </c>
      <c r="G651" s="95">
        <v>16.7</v>
      </c>
      <c r="H651" s="250">
        <f>Table1[[#This Row],[R-value]]/Table1[[#This Row],[Thickness (in)]]</f>
        <v>6.68</v>
      </c>
      <c r="I651" s="101">
        <f>7480.68/(608*6)</f>
        <v>2.0506250000000001</v>
      </c>
      <c r="S651" s="95" t="s">
        <v>3561</v>
      </c>
      <c r="T651" s="4" t="s">
        <v>4768</v>
      </c>
      <c r="U651" s="95" t="s">
        <v>71</v>
      </c>
      <c r="V651" s="95" t="s">
        <v>71</v>
      </c>
      <c r="W651" s="95" t="s">
        <v>72</v>
      </c>
      <c r="X651" s="95" t="s">
        <v>71</v>
      </c>
      <c r="Y651" s="95" t="s">
        <v>72</v>
      </c>
      <c r="Z651" s="95" t="s">
        <v>71</v>
      </c>
      <c r="AA651" s="95" t="s">
        <v>72</v>
      </c>
      <c r="AB651" s="95" t="s">
        <v>72</v>
      </c>
      <c r="AC651" s="95" t="s">
        <v>72</v>
      </c>
      <c r="AD651" s="95" t="s">
        <v>72</v>
      </c>
      <c r="AE651" s="95" t="s">
        <v>71</v>
      </c>
      <c r="AF651" s="95" t="s">
        <v>72</v>
      </c>
      <c r="AG651" s="95" t="s">
        <v>71</v>
      </c>
      <c r="AH651" s="95" t="s">
        <v>71</v>
      </c>
      <c r="AI651" s="95" t="s">
        <v>71</v>
      </c>
      <c r="AK651" s="95" t="s">
        <v>71</v>
      </c>
    </row>
    <row r="652" spans="1:37" x14ac:dyDescent="0.2">
      <c r="A652" s="95" t="s">
        <v>65</v>
      </c>
      <c r="B652" s="95" t="s">
        <v>66</v>
      </c>
      <c r="C652" s="95" t="s">
        <v>84</v>
      </c>
      <c r="D652" s="95" t="s">
        <v>81</v>
      </c>
      <c r="E652" s="95" t="s">
        <v>82</v>
      </c>
      <c r="F652" s="95">
        <v>3</v>
      </c>
      <c r="G652" s="95">
        <v>20.3</v>
      </c>
      <c r="H652" s="250">
        <f>Table1[[#This Row],[R-value]]/Table1[[#This Row],[Thickness (in)]]</f>
        <v>6.7666666666666666</v>
      </c>
      <c r="I652" s="101">
        <f>7502.07/(512*6)</f>
        <v>2.4420800781250001</v>
      </c>
      <c r="S652" s="95" t="s">
        <v>3561</v>
      </c>
      <c r="T652" s="4" t="s">
        <v>4768</v>
      </c>
      <c r="U652" s="95" t="s">
        <v>71</v>
      </c>
      <c r="V652" s="95" t="s">
        <v>71</v>
      </c>
      <c r="W652" s="95" t="s">
        <v>72</v>
      </c>
      <c r="X652" s="95" t="s">
        <v>71</v>
      </c>
      <c r="Y652" s="95" t="s">
        <v>72</v>
      </c>
      <c r="Z652" s="95" t="s">
        <v>71</v>
      </c>
      <c r="AA652" s="95" t="s">
        <v>72</v>
      </c>
      <c r="AB652" s="95" t="s">
        <v>72</v>
      </c>
      <c r="AC652" s="95" t="s">
        <v>72</v>
      </c>
      <c r="AD652" s="95" t="s">
        <v>72</v>
      </c>
      <c r="AE652" s="95" t="s">
        <v>71</v>
      </c>
      <c r="AF652" s="95" t="s">
        <v>72</v>
      </c>
      <c r="AG652" s="95" t="s">
        <v>71</v>
      </c>
      <c r="AH652" s="95" t="s">
        <v>71</v>
      </c>
      <c r="AI652" s="95" t="s">
        <v>71</v>
      </c>
      <c r="AK652" s="95" t="s">
        <v>71</v>
      </c>
    </row>
    <row r="653" spans="1:37" x14ac:dyDescent="0.2">
      <c r="A653" s="95" t="s">
        <v>65</v>
      </c>
      <c r="B653" s="95" t="s">
        <v>66</v>
      </c>
      <c r="C653" s="95" t="s">
        <v>84</v>
      </c>
      <c r="D653" s="95" t="s">
        <v>81</v>
      </c>
      <c r="E653" s="95" t="s">
        <v>82</v>
      </c>
      <c r="F653" s="95">
        <v>3.5</v>
      </c>
      <c r="G653" s="95">
        <v>23.9</v>
      </c>
      <c r="H653" s="250">
        <f>Table1[[#This Row],[R-value]]/Table1[[#This Row],[Thickness (in)]]</f>
        <v>6.8285714285714283</v>
      </c>
      <c r="I653" s="101">
        <f>7239.26/(416*6)</f>
        <v>2.9003445512820512</v>
      </c>
      <c r="S653" s="95" t="s">
        <v>3561</v>
      </c>
      <c r="T653" s="4" t="s">
        <v>4768</v>
      </c>
      <c r="U653" s="95" t="s">
        <v>71</v>
      </c>
      <c r="V653" s="95" t="s">
        <v>71</v>
      </c>
      <c r="W653" s="95" t="s">
        <v>72</v>
      </c>
      <c r="X653" s="95" t="s">
        <v>71</v>
      </c>
      <c r="Y653" s="95" t="s">
        <v>72</v>
      </c>
      <c r="Z653" s="95" t="s">
        <v>71</v>
      </c>
      <c r="AA653" s="95" t="s">
        <v>72</v>
      </c>
      <c r="AB653" s="95" t="s">
        <v>72</v>
      </c>
      <c r="AC653" s="95" t="s">
        <v>72</v>
      </c>
      <c r="AD653" s="95" t="s">
        <v>72</v>
      </c>
      <c r="AE653" s="95" t="s">
        <v>71</v>
      </c>
      <c r="AF653" s="95" t="s">
        <v>72</v>
      </c>
      <c r="AG653" s="95" t="s">
        <v>71</v>
      </c>
      <c r="AH653" s="95" t="s">
        <v>71</v>
      </c>
      <c r="AI653" s="95" t="s">
        <v>71</v>
      </c>
      <c r="AK653" s="95" t="s">
        <v>71</v>
      </c>
    </row>
    <row r="654" spans="1:37" x14ac:dyDescent="0.2">
      <c r="A654" s="95" t="s">
        <v>65</v>
      </c>
      <c r="B654" s="95" t="s">
        <v>66</v>
      </c>
      <c r="C654" s="95" t="s">
        <v>84</v>
      </c>
      <c r="D654" s="95" t="s">
        <v>81</v>
      </c>
      <c r="E654" s="95" t="s">
        <v>82</v>
      </c>
      <c r="F654" s="95">
        <v>4</v>
      </c>
      <c r="G654" s="95">
        <v>27.4</v>
      </c>
      <c r="H654" s="250">
        <f>Table1[[#This Row],[R-value]]/Table1[[#This Row],[Thickness (in)]]</f>
        <v>6.85</v>
      </c>
      <c r="I654" s="101">
        <f>7554/(384*6)</f>
        <v>3.2786458333333335</v>
      </c>
      <c r="S654" s="95" t="s">
        <v>3561</v>
      </c>
      <c r="T654" s="4" t="s">
        <v>4768</v>
      </c>
      <c r="U654" s="95" t="s">
        <v>71</v>
      </c>
      <c r="V654" s="95" t="s">
        <v>71</v>
      </c>
      <c r="W654" s="95" t="s">
        <v>72</v>
      </c>
      <c r="X654" s="95" t="s">
        <v>71</v>
      </c>
      <c r="Y654" s="95" t="s">
        <v>72</v>
      </c>
      <c r="Z654" s="95" t="s">
        <v>71</v>
      </c>
      <c r="AA654" s="95" t="s">
        <v>72</v>
      </c>
      <c r="AB654" s="95" t="s">
        <v>72</v>
      </c>
      <c r="AC654" s="95" t="s">
        <v>72</v>
      </c>
      <c r="AD654" s="95" t="s">
        <v>72</v>
      </c>
      <c r="AE654" s="95" t="s">
        <v>71</v>
      </c>
      <c r="AF654" s="95" t="s">
        <v>72</v>
      </c>
      <c r="AG654" s="95" t="s">
        <v>71</v>
      </c>
      <c r="AH654" s="95" t="s">
        <v>71</v>
      </c>
      <c r="AI654" s="95" t="s">
        <v>71</v>
      </c>
      <c r="AK654" s="95" t="s">
        <v>71</v>
      </c>
    </row>
    <row r="655" spans="1:37" x14ac:dyDescent="0.2">
      <c r="A655" s="95" t="s">
        <v>65</v>
      </c>
      <c r="B655" s="95" t="s">
        <v>66</v>
      </c>
      <c r="C655" s="95" t="s">
        <v>84</v>
      </c>
      <c r="D655" s="95" t="s">
        <v>81</v>
      </c>
      <c r="E655" s="95" t="s">
        <v>82</v>
      </c>
      <c r="F655" s="95">
        <v>4.5</v>
      </c>
      <c r="G655" s="95">
        <v>30</v>
      </c>
      <c r="H655" s="250">
        <f>Table1[[#This Row],[R-value]]/Table1[[#This Row],[Thickness (in)]]</f>
        <v>6.666666666666667</v>
      </c>
      <c r="I655" s="101">
        <f>7232/(6*320)</f>
        <v>3.7666666666666666</v>
      </c>
      <c r="S655" s="95" t="s">
        <v>3561</v>
      </c>
      <c r="T655" s="4" t="s">
        <v>4768</v>
      </c>
      <c r="U655" s="95" t="s">
        <v>71</v>
      </c>
      <c r="V655" s="95" t="s">
        <v>71</v>
      </c>
      <c r="W655" s="95" t="s">
        <v>72</v>
      </c>
      <c r="X655" s="95" t="s">
        <v>71</v>
      </c>
      <c r="Y655" s="95" t="s">
        <v>72</v>
      </c>
      <c r="Z655" s="95" t="s">
        <v>71</v>
      </c>
      <c r="AA655" s="95" t="s">
        <v>72</v>
      </c>
      <c r="AB655" s="95" t="s">
        <v>72</v>
      </c>
      <c r="AC655" s="95" t="s">
        <v>72</v>
      </c>
      <c r="AD655" s="95" t="s">
        <v>72</v>
      </c>
      <c r="AE655" s="95" t="s">
        <v>71</v>
      </c>
      <c r="AF655" s="95" t="s">
        <v>72</v>
      </c>
      <c r="AG655" s="95" t="s">
        <v>71</v>
      </c>
      <c r="AH655" s="95" t="s">
        <v>71</v>
      </c>
      <c r="AI655" s="95" t="s">
        <v>71</v>
      </c>
      <c r="AK655" s="95" t="s">
        <v>72</v>
      </c>
    </row>
    <row r="656" spans="1:37" x14ac:dyDescent="0.2">
      <c r="A656" s="95" t="s">
        <v>65</v>
      </c>
      <c r="B656" s="95" t="s">
        <v>66</v>
      </c>
      <c r="C656" s="95" t="s">
        <v>84</v>
      </c>
      <c r="D656" s="95" t="s">
        <v>81</v>
      </c>
      <c r="E656" s="95" t="s">
        <v>82</v>
      </c>
      <c r="F656" s="95">
        <v>0.5</v>
      </c>
      <c r="G656" s="95">
        <v>3.25</v>
      </c>
      <c r="H656" s="250">
        <v>6.5</v>
      </c>
      <c r="I656" s="101">
        <f>31.99/32</f>
        <v>0.99968749999999995</v>
      </c>
      <c r="Q656" s="95" t="s">
        <v>2648</v>
      </c>
      <c r="S656" s="95" t="s">
        <v>4771</v>
      </c>
      <c r="T656" s="4" t="s">
        <v>4770</v>
      </c>
      <c r="U656" s="95" t="s">
        <v>71</v>
      </c>
      <c r="V656" s="95" t="s">
        <v>71</v>
      </c>
      <c r="W656" s="95" t="s">
        <v>72</v>
      </c>
      <c r="X656" s="95" t="s">
        <v>71</v>
      </c>
      <c r="Y656" s="95" t="s">
        <v>72</v>
      </c>
      <c r="Z656" s="95" t="s">
        <v>71</v>
      </c>
      <c r="AA656" s="95" t="s">
        <v>72</v>
      </c>
      <c r="AB656" s="95" t="s">
        <v>72</v>
      </c>
      <c r="AC656" s="95" t="s">
        <v>72</v>
      </c>
      <c r="AD656" s="95" t="s">
        <v>72</v>
      </c>
      <c r="AE656" s="95" t="s">
        <v>71</v>
      </c>
      <c r="AF656" s="95" t="s">
        <v>72</v>
      </c>
      <c r="AG656" s="95" t="s">
        <v>71</v>
      </c>
      <c r="AH656" s="95" t="s">
        <v>71</v>
      </c>
      <c r="AI656" s="95" t="s">
        <v>71</v>
      </c>
      <c r="AK656" s="95" t="s">
        <v>72</v>
      </c>
    </row>
    <row r="657" spans="1:37" x14ac:dyDescent="0.2">
      <c r="A657" s="95" t="s">
        <v>65</v>
      </c>
      <c r="B657" s="95" t="s">
        <v>66</v>
      </c>
      <c r="C657" s="95" t="s">
        <v>84</v>
      </c>
      <c r="D657" s="95" t="s">
        <v>81</v>
      </c>
      <c r="E657" s="95" t="s">
        <v>82</v>
      </c>
      <c r="F657" s="95">
        <v>1</v>
      </c>
      <c r="G657" s="95">
        <v>6.5</v>
      </c>
      <c r="H657" s="250">
        <v>6.5</v>
      </c>
      <c r="I657" s="101">
        <f>43.99/32</f>
        <v>1.3746875000000001</v>
      </c>
      <c r="Q657" s="95" t="s">
        <v>2648</v>
      </c>
      <c r="S657" s="95" t="s">
        <v>4771</v>
      </c>
      <c r="T657" s="4" t="s">
        <v>4772</v>
      </c>
      <c r="U657" s="95" t="s">
        <v>71</v>
      </c>
      <c r="V657" s="95" t="s">
        <v>71</v>
      </c>
      <c r="W657" s="95" t="s">
        <v>72</v>
      </c>
      <c r="X657" s="95" t="s">
        <v>71</v>
      </c>
      <c r="Y657" s="95" t="s">
        <v>72</v>
      </c>
      <c r="Z657" s="95" t="s">
        <v>71</v>
      </c>
      <c r="AA657" s="95" t="s">
        <v>72</v>
      </c>
      <c r="AB657" s="95" t="s">
        <v>72</v>
      </c>
      <c r="AC657" s="95" t="s">
        <v>72</v>
      </c>
      <c r="AD657" s="95" t="s">
        <v>72</v>
      </c>
      <c r="AE657" s="95" t="s">
        <v>71</v>
      </c>
      <c r="AF657" s="95" t="s">
        <v>72</v>
      </c>
      <c r="AG657" s="95" t="s">
        <v>71</v>
      </c>
      <c r="AH657" s="95" t="s">
        <v>71</v>
      </c>
      <c r="AI657" s="95" t="s">
        <v>71</v>
      </c>
      <c r="AK657" s="95" t="s">
        <v>72</v>
      </c>
    </row>
    <row r="658" spans="1:37" x14ac:dyDescent="0.2">
      <c r="A658" s="95" t="s">
        <v>65</v>
      </c>
      <c r="B658" s="95" t="s">
        <v>66</v>
      </c>
      <c r="C658" s="95" t="s">
        <v>84</v>
      </c>
      <c r="D658" s="95" t="s">
        <v>81</v>
      </c>
      <c r="E658" s="95" t="s">
        <v>82</v>
      </c>
      <c r="F658" s="95">
        <v>1</v>
      </c>
      <c r="G658" s="95">
        <v>5.3</v>
      </c>
      <c r="H658" s="250">
        <v>5.3</v>
      </c>
      <c r="I658" s="101">
        <f>42.65/8</f>
        <v>5.3312499999999998</v>
      </c>
      <c r="Q658" s="95" t="s">
        <v>4788</v>
      </c>
      <c r="S658" s="95" t="s">
        <v>4773</v>
      </c>
      <c r="T658" s="4" t="s">
        <v>4774</v>
      </c>
      <c r="U658" s="95" t="s">
        <v>71</v>
      </c>
      <c r="V658" s="95" t="s">
        <v>71</v>
      </c>
      <c r="W658" s="95" t="s">
        <v>72</v>
      </c>
      <c r="X658" s="95" t="s">
        <v>71</v>
      </c>
      <c r="Y658" s="95" t="s">
        <v>72</v>
      </c>
      <c r="Z658" s="95" t="s">
        <v>71</v>
      </c>
      <c r="AA658" s="95" t="s">
        <v>72</v>
      </c>
      <c r="AB658" s="95" t="s">
        <v>72</v>
      </c>
      <c r="AC658" s="95" t="s">
        <v>72</v>
      </c>
      <c r="AD658" s="95" t="s">
        <v>72</v>
      </c>
      <c r="AE658" s="95" t="s">
        <v>71</v>
      </c>
      <c r="AF658" s="95" t="s">
        <v>72</v>
      </c>
      <c r="AG658" s="95" t="s">
        <v>71</v>
      </c>
      <c r="AH658" s="95" t="s">
        <v>71</v>
      </c>
      <c r="AI658" s="95" t="s">
        <v>71</v>
      </c>
      <c r="AK658" s="95" t="s">
        <v>72</v>
      </c>
    </row>
    <row r="659" spans="1:37" x14ac:dyDescent="0.2">
      <c r="A659" s="95" t="s">
        <v>65</v>
      </c>
      <c r="B659" s="95" t="s">
        <v>66</v>
      </c>
      <c r="C659" s="95" t="s">
        <v>84</v>
      </c>
      <c r="D659" s="95" t="s">
        <v>81</v>
      </c>
      <c r="E659" s="95" t="s">
        <v>82</v>
      </c>
      <c r="F659" s="95">
        <v>2</v>
      </c>
      <c r="G659" s="95">
        <v>10.5</v>
      </c>
      <c r="H659" s="250">
        <f>Table1[[#This Row],[R-value]]/Table1[[#This Row],[Thickness (in)]]</f>
        <v>5.25</v>
      </c>
      <c r="I659" s="101">
        <f>95.8/8</f>
        <v>11.975</v>
      </c>
      <c r="Q659" s="95" t="s">
        <v>4788</v>
      </c>
      <c r="S659" s="95" t="s">
        <v>4773</v>
      </c>
      <c r="T659" s="4" t="s">
        <v>4775</v>
      </c>
      <c r="U659" s="95" t="s">
        <v>71</v>
      </c>
      <c r="V659" s="95" t="s">
        <v>71</v>
      </c>
      <c r="W659" s="95" t="s">
        <v>72</v>
      </c>
      <c r="X659" s="95" t="s">
        <v>71</v>
      </c>
      <c r="Y659" s="95" t="s">
        <v>72</v>
      </c>
      <c r="Z659" s="95" t="s">
        <v>71</v>
      </c>
      <c r="AA659" s="95" t="s">
        <v>72</v>
      </c>
      <c r="AB659" s="95" t="s">
        <v>72</v>
      </c>
      <c r="AC659" s="95" t="s">
        <v>72</v>
      </c>
      <c r="AD659" s="95" t="s">
        <v>72</v>
      </c>
      <c r="AE659" s="95" t="s">
        <v>71</v>
      </c>
      <c r="AF659" s="95" t="s">
        <v>72</v>
      </c>
      <c r="AG659" s="95" t="s">
        <v>71</v>
      </c>
      <c r="AH659" s="95" t="s">
        <v>71</v>
      </c>
      <c r="AI659" s="95" t="s">
        <v>71</v>
      </c>
      <c r="AK659" s="95" t="s">
        <v>72</v>
      </c>
    </row>
    <row r="660" spans="1:37" x14ac:dyDescent="0.2">
      <c r="A660" s="95" t="s">
        <v>65</v>
      </c>
      <c r="B660" s="95" t="s">
        <v>66</v>
      </c>
      <c r="C660" s="95" t="s">
        <v>84</v>
      </c>
      <c r="D660" s="95" t="s">
        <v>81</v>
      </c>
      <c r="E660" s="95" t="s">
        <v>82</v>
      </c>
      <c r="F660" s="95">
        <v>1.5</v>
      </c>
      <c r="G660" s="95">
        <v>7.9</v>
      </c>
      <c r="H660" s="250">
        <f>Table1[[#This Row],[R-value]]/Table1[[#This Row],[Thickness (in)]]</f>
        <v>5.2666666666666666</v>
      </c>
      <c r="I660" s="101">
        <f>76.91/8</f>
        <v>9.6137499999999996</v>
      </c>
      <c r="Q660" s="95" t="s">
        <v>4789</v>
      </c>
      <c r="S660" s="95" t="s">
        <v>4773</v>
      </c>
      <c r="T660" s="4" t="s">
        <v>4776</v>
      </c>
      <c r="U660" s="95" t="s">
        <v>71</v>
      </c>
      <c r="V660" s="95" t="s">
        <v>71</v>
      </c>
      <c r="W660" s="95" t="s">
        <v>72</v>
      </c>
      <c r="X660" s="95" t="s">
        <v>71</v>
      </c>
      <c r="Y660" s="95" t="s">
        <v>72</v>
      </c>
      <c r="Z660" s="95" t="s">
        <v>71</v>
      </c>
      <c r="AA660" s="95" t="s">
        <v>72</v>
      </c>
      <c r="AB660" s="95" t="s">
        <v>72</v>
      </c>
      <c r="AC660" s="95" t="s">
        <v>72</v>
      </c>
      <c r="AD660" s="95" t="s">
        <v>72</v>
      </c>
      <c r="AE660" s="95" t="s">
        <v>71</v>
      </c>
      <c r="AF660" s="95" t="s">
        <v>72</v>
      </c>
      <c r="AG660" s="95" t="s">
        <v>71</v>
      </c>
      <c r="AH660" s="95" t="s">
        <v>71</v>
      </c>
      <c r="AI660" s="95" t="s">
        <v>71</v>
      </c>
      <c r="AK660" s="95" t="s">
        <v>72</v>
      </c>
    </row>
    <row r="661" spans="1:37" x14ac:dyDescent="0.2">
      <c r="A661" s="95" t="s">
        <v>65</v>
      </c>
      <c r="B661" s="95" t="s">
        <v>66</v>
      </c>
      <c r="C661" s="95" t="s">
        <v>84</v>
      </c>
      <c r="D661" s="95" t="s">
        <v>81</v>
      </c>
      <c r="E661" s="95" t="s">
        <v>82</v>
      </c>
      <c r="F661" s="95">
        <v>2</v>
      </c>
      <c r="G661" s="95">
        <v>10.5</v>
      </c>
      <c r="H661" s="250">
        <f>Table1[[#This Row],[R-value]]/Table1[[#This Row],[Thickness (in)]]</f>
        <v>5.25</v>
      </c>
      <c r="I661" s="101">
        <f>102.62/8</f>
        <v>12.827500000000001</v>
      </c>
      <c r="Q661" s="95" t="s">
        <v>4789</v>
      </c>
      <c r="S661" s="95" t="s">
        <v>4773</v>
      </c>
      <c r="T661" s="4" t="s">
        <v>4777</v>
      </c>
      <c r="U661" s="95" t="s">
        <v>71</v>
      </c>
      <c r="V661" s="95" t="s">
        <v>71</v>
      </c>
      <c r="W661" s="95" t="s">
        <v>72</v>
      </c>
      <c r="X661" s="95" t="s">
        <v>71</v>
      </c>
      <c r="Y661" s="95" t="s">
        <v>72</v>
      </c>
      <c r="Z661" s="95" t="s">
        <v>71</v>
      </c>
      <c r="AA661" s="95" t="s">
        <v>72</v>
      </c>
      <c r="AB661" s="95" t="s">
        <v>72</v>
      </c>
      <c r="AC661" s="95" t="s">
        <v>72</v>
      </c>
      <c r="AD661" s="95" t="s">
        <v>72</v>
      </c>
      <c r="AE661" s="95" t="s">
        <v>71</v>
      </c>
      <c r="AF661" s="95" t="s">
        <v>72</v>
      </c>
      <c r="AG661" s="95" t="s">
        <v>71</v>
      </c>
      <c r="AH661" s="95" t="s">
        <v>71</v>
      </c>
      <c r="AI661" s="95" t="s">
        <v>71</v>
      </c>
      <c r="AK661" s="95" t="s">
        <v>72</v>
      </c>
    </row>
    <row r="662" spans="1:37" x14ac:dyDescent="0.2">
      <c r="A662" s="95" t="s">
        <v>65</v>
      </c>
      <c r="B662" s="95" t="s">
        <v>66</v>
      </c>
      <c r="C662" s="95" t="s">
        <v>84</v>
      </c>
      <c r="D662" s="95" t="s">
        <v>81</v>
      </c>
      <c r="E662" s="95" t="s">
        <v>82</v>
      </c>
      <c r="F662" s="95">
        <v>1</v>
      </c>
      <c r="G662" s="95">
        <v>5.3</v>
      </c>
      <c r="H662" s="250">
        <f>Table1[[#This Row],[R-value]]/Table1[[#This Row],[Thickness (in)]]</f>
        <v>5.3</v>
      </c>
      <c r="I662" s="101">
        <f>46/8</f>
        <v>5.75</v>
      </c>
      <c r="Q662" s="95" t="s">
        <v>4789</v>
      </c>
      <c r="S662" s="95" t="s">
        <v>4773</v>
      </c>
      <c r="T662" s="95" t="s">
        <v>4778</v>
      </c>
      <c r="U662" s="95" t="s">
        <v>71</v>
      </c>
      <c r="V662" s="95" t="s">
        <v>71</v>
      </c>
      <c r="W662" s="95" t="s">
        <v>72</v>
      </c>
      <c r="X662" s="95" t="s">
        <v>71</v>
      </c>
      <c r="Y662" s="95" t="s">
        <v>72</v>
      </c>
      <c r="Z662" s="95" t="s">
        <v>71</v>
      </c>
      <c r="AA662" s="95" t="s">
        <v>72</v>
      </c>
      <c r="AB662" s="95" t="s">
        <v>72</v>
      </c>
      <c r="AC662" s="95" t="s">
        <v>72</v>
      </c>
      <c r="AD662" s="95" t="s">
        <v>72</v>
      </c>
      <c r="AE662" s="95" t="s">
        <v>71</v>
      </c>
      <c r="AF662" s="95" t="s">
        <v>72</v>
      </c>
      <c r="AG662" s="95" t="s">
        <v>71</v>
      </c>
      <c r="AH662" s="95" t="s">
        <v>71</v>
      </c>
      <c r="AI662" s="95" t="s">
        <v>71</v>
      </c>
      <c r="AK662" s="95" t="s">
        <v>72</v>
      </c>
    </row>
    <row r="663" spans="1:37" x14ac:dyDescent="0.2">
      <c r="A663" s="95" t="s">
        <v>65</v>
      </c>
      <c r="B663" s="95" t="s">
        <v>66</v>
      </c>
      <c r="C663" s="95" t="s">
        <v>84</v>
      </c>
      <c r="D663" s="95" t="s">
        <v>81</v>
      </c>
      <c r="E663" s="95" t="s">
        <v>82</v>
      </c>
      <c r="F663" s="95">
        <v>3</v>
      </c>
      <c r="G663" s="95">
        <v>15.8</v>
      </c>
      <c r="H663" s="250">
        <f>Table1[[#This Row],[R-value]]/Table1[[#This Row],[Thickness (in)]]</f>
        <v>5.2666666666666666</v>
      </c>
      <c r="I663" s="101">
        <f>150.86/8</f>
        <v>18.857500000000002</v>
      </c>
      <c r="Q663" s="95" t="s">
        <v>4789</v>
      </c>
      <c r="S663" s="95" t="s">
        <v>4773</v>
      </c>
      <c r="T663" s="4" t="s">
        <v>4779</v>
      </c>
      <c r="U663" s="95" t="s">
        <v>71</v>
      </c>
      <c r="V663" s="95" t="s">
        <v>71</v>
      </c>
      <c r="W663" s="95" t="s">
        <v>72</v>
      </c>
      <c r="X663" s="95" t="s">
        <v>71</v>
      </c>
      <c r="Y663" s="95" t="s">
        <v>72</v>
      </c>
      <c r="Z663" s="95" t="s">
        <v>71</v>
      </c>
      <c r="AA663" s="95" t="s">
        <v>72</v>
      </c>
      <c r="AB663" s="95" t="s">
        <v>72</v>
      </c>
      <c r="AC663" s="95" t="s">
        <v>72</v>
      </c>
      <c r="AD663" s="95" t="s">
        <v>72</v>
      </c>
      <c r="AE663" s="95" t="s">
        <v>71</v>
      </c>
      <c r="AF663" s="95" t="s">
        <v>72</v>
      </c>
      <c r="AG663" s="95" t="s">
        <v>71</v>
      </c>
      <c r="AH663" s="95" t="s">
        <v>71</v>
      </c>
      <c r="AI663" s="95" t="s">
        <v>71</v>
      </c>
      <c r="AK663" s="95" t="s">
        <v>72</v>
      </c>
    </row>
    <row r="664" spans="1:37" x14ac:dyDescent="0.2">
      <c r="A664" s="95" t="s">
        <v>65</v>
      </c>
      <c r="B664" s="95" t="s">
        <v>66</v>
      </c>
      <c r="C664" s="95" t="s">
        <v>84</v>
      </c>
      <c r="D664" s="95" t="s">
        <v>81</v>
      </c>
      <c r="E664" s="95" t="s">
        <v>82</v>
      </c>
      <c r="F664" s="95">
        <v>1</v>
      </c>
      <c r="G664" s="95">
        <v>5.3</v>
      </c>
      <c r="H664" s="250">
        <f>Table1[[#This Row],[R-value]]/Table1[[#This Row],[Thickness (in)]]</f>
        <v>5.3</v>
      </c>
      <c r="I664" s="101">
        <f>47.34/8</f>
        <v>5.9175000000000004</v>
      </c>
      <c r="Q664" s="95" t="s">
        <v>4790</v>
      </c>
      <c r="S664" s="95" t="s">
        <v>4773</v>
      </c>
      <c r="T664" s="4" t="s">
        <v>4780</v>
      </c>
      <c r="U664" s="95" t="s">
        <v>71</v>
      </c>
      <c r="V664" s="95" t="s">
        <v>71</v>
      </c>
      <c r="W664" s="95" t="s">
        <v>72</v>
      </c>
      <c r="X664" s="95" t="s">
        <v>71</v>
      </c>
      <c r="Y664" s="95" t="s">
        <v>72</v>
      </c>
      <c r="Z664" s="95" t="s">
        <v>71</v>
      </c>
      <c r="AA664" s="95" t="s">
        <v>72</v>
      </c>
      <c r="AB664" s="95" t="s">
        <v>72</v>
      </c>
      <c r="AC664" s="95" t="s">
        <v>72</v>
      </c>
      <c r="AD664" s="95" t="s">
        <v>72</v>
      </c>
      <c r="AE664" s="95" t="s">
        <v>71</v>
      </c>
      <c r="AF664" s="95" t="s">
        <v>72</v>
      </c>
      <c r="AG664" s="95" t="s">
        <v>71</v>
      </c>
      <c r="AH664" s="95" t="s">
        <v>71</v>
      </c>
      <c r="AI664" s="95" t="s">
        <v>71</v>
      </c>
      <c r="AK664" s="95" t="s">
        <v>72</v>
      </c>
    </row>
    <row r="665" spans="1:37" x14ac:dyDescent="0.2">
      <c r="A665" s="95" t="s">
        <v>65</v>
      </c>
      <c r="B665" s="95" t="s">
        <v>66</v>
      </c>
      <c r="C665" s="95" t="s">
        <v>84</v>
      </c>
      <c r="D665" s="95" t="s">
        <v>81</v>
      </c>
      <c r="E665" s="95" t="s">
        <v>82</v>
      </c>
      <c r="F665" s="95">
        <v>1.5</v>
      </c>
      <c r="G665" s="95">
        <v>7.9</v>
      </c>
      <c r="H665" s="250">
        <f>Table1[[#This Row],[R-value]]/Table1[[#This Row],[Thickness (in)]]</f>
        <v>5.2666666666666666</v>
      </c>
      <c r="I665" s="101">
        <f>70.88/8</f>
        <v>8.86</v>
      </c>
      <c r="Q665" s="95" t="s">
        <v>4790</v>
      </c>
      <c r="S665" s="95" t="s">
        <v>4773</v>
      </c>
      <c r="T665" s="4" t="s">
        <v>4781</v>
      </c>
      <c r="U665" s="95" t="s">
        <v>71</v>
      </c>
      <c r="V665" s="95" t="s">
        <v>71</v>
      </c>
      <c r="W665" s="95" t="s">
        <v>72</v>
      </c>
      <c r="X665" s="95" t="s">
        <v>71</v>
      </c>
      <c r="Y665" s="95" t="s">
        <v>72</v>
      </c>
      <c r="Z665" s="95" t="s">
        <v>71</v>
      </c>
      <c r="AA665" s="95" t="s">
        <v>72</v>
      </c>
      <c r="AB665" s="95" t="s">
        <v>72</v>
      </c>
      <c r="AC665" s="95" t="s">
        <v>72</v>
      </c>
      <c r="AD665" s="95" t="s">
        <v>72</v>
      </c>
      <c r="AE665" s="95" t="s">
        <v>71</v>
      </c>
      <c r="AF665" s="95" t="s">
        <v>72</v>
      </c>
      <c r="AG665" s="95" t="s">
        <v>71</v>
      </c>
      <c r="AH665" s="95" t="s">
        <v>71</v>
      </c>
      <c r="AI665" s="95" t="s">
        <v>71</v>
      </c>
      <c r="AK665" s="95" t="s">
        <v>72</v>
      </c>
    </row>
    <row r="666" spans="1:37" x14ac:dyDescent="0.2">
      <c r="A666" s="95" t="s">
        <v>65</v>
      </c>
      <c r="B666" s="95" t="s">
        <v>66</v>
      </c>
      <c r="C666" s="95" t="s">
        <v>84</v>
      </c>
      <c r="D666" s="95" t="s">
        <v>81</v>
      </c>
      <c r="E666" s="95" t="s">
        <v>82</v>
      </c>
      <c r="F666" s="95">
        <v>2</v>
      </c>
      <c r="G666" s="95">
        <v>10.5</v>
      </c>
      <c r="H666" s="250">
        <f>Table1[[#This Row],[R-value]]/Table1[[#This Row],[Thickness (in)]]</f>
        <v>5.25</v>
      </c>
      <c r="I666" s="101">
        <f>93.39/8</f>
        <v>11.67375</v>
      </c>
      <c r="Q666" s="95" t="s">
        <v>4790</v>
      </c>
      <c r="S666" s="95" t="s">
        <v>4773</v>
      </c>
      <c r="T666" s="4" t="s">
        <v>4782</v>
      </c>
      <c r="U666" s="95" t="s">
        <v>71</v>
      </c>
      <c r="V666" s="95" t="s">
        <v>71</v>
      </c>
      <c r="W666" s="95" t="s">
        <v>72</v>
      </c>
      <c r="X666" s="95" t="s">
        <v>71</v>
      </c>
      <c r="Y666" s="95" t="s">
        <v>72</v>
      </c>
      <c r="Z666" s="95" t="s">
        <v>71</v>
      </c>
      <c r="AA666" s="95" t="s">
        <v>72</v>
      </c>
      <c r="AB666" s="95" t="s">
        <v>72</v>
      </c>
      <c r="AC666" s="95" t="s">
        <v>72</v>
      </c>
      <c r="AD666" s="95" t="s">
        <v>72</v>
      </c>
      <c r="AE666" s="95" t="s">
        <v>71</v>
      </c>
      <c r="AF666" s="95" t="s">
        <v>72</v>
      </c>
      <c r="AG666" s="95" t="s">
        <v>71</v>
      </c>
      <c r="AH666" s="95" t="s">
        <v>71</v>
      </c>
      <c r="AI666" s="95" t="s">
        <v>71</v>
      </c>
      <c r="AK666" s="95" t="s">
        <v>72</v>
      </c>
    </row>
    <row r="667" spans="1:37" x14ac:dyDescent="0.2">
      <c r="A667" s="95" t="s">
        <v>65</v>
      </c>
      <c r="B667" s="95" t="s">
        <v>66</v>
      </c>
      <c r="C667" s="95" t="s">
        <v>84</v>
      </c>
      <c r="D667" s="95" t="s">
        <v>81</v>
      </c>
      <c r="E667" s="95" t="s">
        <v>82</v>
      </c>
      <c r="F667" s="95">
        <v>1.5</v>
      </c>
      <c r="G667" s="95">
        <v>7.9</v>
      </c>
      <c r="H667" s="250">
        <f>Table1[[#This Row],[R-value]]/Table1[[#This Row],[Thickness (in)]]</f>
        <v>5.2666666666666666</v>
      </c>
      <c r="I667" s="101">
        <f>68.88/8</f>
        <v>8.61</v>
      </c>
      <c r="Q667" s="95" t="s">
        <v>4788</v>
      </c>
      <c r="S667" s="95" t="s">
        <v>4773</v>
      </c>
      <c r="T667" s="4" t="s">
        <v>4783</v>
      </c>
      <c r="U667" s="95" t="s">
        <v>71</v>
      </c>
      <c r="V667" s="95" t="s">
        <v>71</v>
      </c>
      <c r="W667" s="95" t="s">
        <v>72</v>
      </c>
      <c r="X667" s="95" t="s">
        <v>71</v>
      </c>
      <c r="Y667" s="95" t="s">
        <v>72</v>
      </c>
      <c r="Z667" s="95" t="s">
        <v>71</v>
      </c>
      <c r="AA667" s="95" t="s">
        <v>72</v>
      </c>
      <c r="AB667" s="95" t="s">
        <v>72</v>
      </c>
      <c r="AC667" s="95" t="s">
        <v>72</v>
      </c>
      <c r="AD667" s="95" t="s">
        <v>72</v>
      </c>
      <c r="AE667" s="95" t="s">
        <v>71</v>
      </c>
      <c r="AF667" s="95" t="s">
        <v>72</v>
      </c>
      <c r="AG667" s="95" t="s">
        <v>71</v>
      </c>
      <c r="AH667" s="95" t="s">
        <v>71</v>
      </c>
      <c r="AI667" s="95" t="s">
        <v>71</v>
      </c>
      <c r="AK667" s="95" t="s">
        <v>72</v>
      </c>
    </row>
    <row r="668" spans="1:37" x14ac:dyDescent="0.2">
      <c r="A668" s="95" t="s">
        <v>65</v>
      </c>
      <c r="B668" s="95" t="s">
        <v>66</v>
      </c>
      <c r="C668" s="95" t="s">
        <v>84</v>
      </c>
      <c r="D668" s="95" t="s">
        <v>81</v>
      </c>
      <c r="E668" s="95" t="s">
        <v>82</v>
      </c>
      <c r="F668" s="95">
        <v>3</v>
      </c>
      <c r="G668" s="95">
        <v>15.8</v>
      </c>
      <c r="H668" s="250">
        <f>Table1[[#This Row],[R-value]]/Table1[[#This Row],[Thickness (in)]]</f>
        <v>5.2666666666666666</v>
      </c>
      <c r="I668" s="101">
        <f>143.61/8</f>
        <v>17.951250000000002</v>
      </c>
      <c r="Q668" s="95" t="s">
        <v>4788</v>
      </c>
      <c r="S668" s="95" t="s">
        <v>4773</v>
      </c>
      <c r="T668" s="4" t="s">
        <v>4784</v>
      </c>
      <c r="U668" s="95" t="s">
        <v>71</v>
      </c>
      <c r="V668" s="95" t="s">
        <v>71</v>
      </c>
      <c r="W668" s="95" t="s">
        <v>72</v>
      </c>
      <c r="X668" s="95" t="s">
        <v>71</v>
      </c>
      <c r="Y668" s="95" t="s">
        <v>72</v>
      </c>
      <c r="Z668" s="95" t="s">
        <v>71</v>
      </c>
      <c r="AA668" s="95" t="s">
        <v>72</v>
      </c>
      <c r="AB668" s="95" t="s">
        <v>72</v>
      </c>
      <c r="AC668" s="95" t="s">
        <v>72</v>
      </c>
      <c r="AD668" s="95" t="s">
        <v>72</v>
      </c>
      <c r="AE668" s="95" t="s">
        <v>71</v>
      </c>
      <c r="AF668" s="95" t="s">
        <v>72</v>
      </c>
      <c r="AG668" s="95" t="s">
        <v>71</v>
      </c>
      <c r="AH668" s="95" t="s">
        <v>71</v>
      </c>
      <c r="AI668" s="95" t="s">
        <v>71</v>
      </c>
      <c r="AK668" s="95" t="s">
        <v>72</v>
      </c>
    </row>
    <row r="669" spans="1:37" x14ac:dyDescent="0.2">
      <c r="A669" s="95" t="s">
        <v>65</v>
      </c>
      <c r="B669" s="95" t="s">
        <v>66</v>
      </c>
      <c r="C669" s="95" t="s">
        <v>84</v>
      </c>
      <c r="D669" s="95" t="s">
        <v>81</v>
      </c>
      <c r="E669" s="95" t="s">
        <v>82</v>
      </c>
      <c r="F669" s="95">
        <v>4</v>
      </c>
      <c r="G669" s="95">
        <v>21.1</v>
      </c>
      <c r="H669" s="250">
        <f>Table1[[#This Row],[R-value]]/Table1[[#This Row],[Thickness (in)]]</f>
        <v>5.2750000000000004</v>
      </c>
      <c r="I669" s="101">
        <f>189.02/8</f>
        <v>23.627500000000001</v>
      </c>
      <c r="Q669" s="95" t="s">
        <v>4788</v>
      </c>
      <c r="S669" s="95" t="s">
        <v>4773</v>
      </c>
      <c r="T669" s="4" t="s">
        <v>4785</v>
      </c>
      <c r="U669" s="95" t="s">
        <v>71</v>
      </c>
      <c r="V669" s="95" t="s">
        <v>71</v>
      </c>
      <c r="W669" s="95" t="s">
        <v>72</v>
      </c>
      <c r="X669" s="95" t="s">
        <v>71</v>
      </c>
      <c r="Y669" s="95" t="s">
        <v>72</v>
      </c>
      <c r="Z669" s="95" t="s">
        <v>71</v>
      </c>
      <c r="AA669" s="95" t="s">
        <v>72</v>
      </c>
      <c r="AB669" s="95" t="s">
        <v>72</v>
      </c>
      <c r="AC669" s="95" t="s">
        <v>72</v>
      </c>
      <c r="AD669" s="95" t="s">
        <v>72</v>
      </c>
      <c r="AE669" s="95" t="s">
        <v>71</v>
      </c>
      <c r="AF669" s="95" t="s">
        <v>72</v>
      </c>
      <c r="AG669" s="95" t="s">
        <v>71</v>
      </c>
      <c r="AH669" s="95" t="s">
        <v>71</v>
      </c>
      <c r="AI669" s="95" t="s">
        <v>71</v>
      </c>
      <c r="AK669" s="95" t="s">
        <v>72</v>
      </c>
    </row>
    <row r="670" spans="1:37" x14ac:dyDescent="0.2">
      <c r="A670" s="95" t="s">
        <v>65</v>
      </c>
      <c r="B670" s="95" t="s">
        <v>66</v>
      </c>
      <c r="C670" s="95" t="s">
        <v>84</v>
      </c>
      <c r="D670" s="95" t="s">
        <v>81</v>
      </c>
      <c r="E670" s="95" t="s">
        <v>82</v>
      </c>
      <c r="F670" s="95">
        <v>3</v>
      </c>
      <c r="G670" s="95">
        <v>15.8</v>
      </c>
      <c r="H670" s="250">
        <f>Table1[[#This Row],[R-value]]/Table1[[#This Row],[Thickness (in)]]</f>
        <v>5.2666666666666666</v>
      </c>
      <c r="I670" s="101">
        <f>155.57/8</f>
        <v>19.446249999999999</v>
      </c>
      <c r="Q670" s="95" t="s">
        <v>4790</v>
      </c>
      <c r="S670" s="95" t="s">
        <v>4773</v>
      </c>
      <c r="T670" s="4" t="s">
        <v>4786</v>
      </c>
      <c r="U670" s="95" t="s">
        <v>71</v>
      </c>
      <c r="V670" s="95" t="s">
        <v>71</v>
      </c>
      <c r="W670" s="95" t="s">
        <v>72</v>
      </c>
      <c r="X670" s="95" t="s">
        <v>71</v>
      </c>
      <c r="Y670" s="95" t="s">
        <v>72</v>
      </c>
      <c r="Z670" s="95" t="s">
        <v>71</v>
      </c>
      <c r="AA670" s="95" t="s">
        <v>72</v>
      </c>
      <c r="AB670" s="95" t="s">
        <v>72</v>
      </c>
      <c r="AC670" s="95" t="s">
        <v>72</v>
      </c>
      <c r="AD670" s="95" t="s">
        <v>72</v>
      </c>
      <c r="AE670" s="95" t="s">
        <v>71</v>
      </c>
      <c r="AF670" s="95" t="s">
        <v>72</v>
      </c>
      <c r="AG670" s="95" t="s">
        <v>71</v>
      </c>
      <c r="AH670" s="95" t="s">
        <v>71</v>
      </c>
      <c r="AI670" s="95" t="s">
        <v>71</v>
      </c>
      <c r="AK670" s="95" t="s">
        <v>72</v>
      </c>
    </row>
    <row r="671" spans="1:37" x14ac:dyDescent="0.2">
      <c r="A671" s="95" t="s">
        <v>65</v>
      </c>
      <c r="B671" s="95" t="s">
        <v>66</v>
      </c>
      <c r="C671" s="95" t="s">
        <v>84</v>
      </c>
      <c r="D671" s="95" t="s">
        <v>81</v>
      </c>
      <c r="E671" s="95" t="s">
        <v>82</v>
      </c>
      <c r="F671" s="95">
        <v>4</v>
      </c>
      <c r="G671" s="95">
        <v>21.1</v>
      </c>
      <c r="H671" s="250">
        <f>Table1[[#This Row],[R-value]]/Table1[[#This Row],[Thickness (in)]]</f>
        <v>5.2750000000000004</v>
      </c>
      <c r="I671" s="101">
        <f>181.41/8</f>
        <v>22.67625</v>
      </c>
      <c r="Q671" s="95" t="s">
        <v>4790</v>
      </c>
      <c r="S671" s="95" t="s">
        <v>4773</v>
      </c>
      <c r="T671" s="4" t="s">
        <v>4779</v>
      </c>
      <c r="U671" s="95" t="s">
        <v>71</v>
      </c>
      <c r="V671" s="95" t="s">
        <v>71</v>
      </c>
      <c r="W671" s="95" t="s">
        <v>72</v>
      </c>
      <c r="X671" s="95" t="s">
        <v>71</v>
      </c>
      <c r="Y671" s="95" t="s">
        <v>72</v>
      </c>
      <c r="Z671" s="95" t="s">
        <v>71</v>
      </c>
      <c r="AA671" s="95" t="s">
        <v>72</v>
      </c>
      <c r="AB671" s="95" t="s">
        <v>72</v>
      </c>
      <c r="AC671" s="95" t="s">
        <v>72</v>
      </c>
      <c r="AD671" s="95" t="s">
        <v>72</v>
      </c>
      <c r="AE671" s="95" t="s">
        <v>71</v>
      </c>
      <c r="AF671" s="95" t="s">
        <v>72</v>
      </c>
      <c r="AG671" s="95" t="s">
        <v>71</v>
      </c>
      <c r="AH671" s="95" t="s">
        <v>71</v>
      </c>
      <c r="AI671" s="95" t="s">
        <v>71</v>
      </c>
      <c r="AK671" s="95" t="s">
        <v>72</v>
      </c>
    </row>
    <row r="672" spans="1:37" x14ac:dyDescent="0.2">
      <c r="A672" s="95" t="s">
        <v>65</v>
      </c>
      <c r="B672" s="95" t="s">
        <v>66</v>
      </c>
      <c r="C672" s="95" t="s">
        <v>84</v>
      </c>
      <c r="D672" s="95" t="s">
        <v>81</v>
      </c>
      <c r="E672" s="95" t="s">
        <v>82</v>
      </c>
      <c r="F672" s="95">
        <v>4</v>
      </c>
      <c r="G672" s="95">
        <v>21.1</v>
      </c>
      <c r="H672" s="250">
        <f>Table1[[#This Row],[R-value]]/Table1[[#This Row],[Thickness (in)]]</f>
        <v>5.2750000000000004</v>
      </c>
      <c r="I672" s="101">
        <f>193.03/8</f>
        <v>24.12875</v>
      </c>
      <c r="Q672" s="95" t="s">
        <v>4789</v>
      </c>
      <c r="S672" s="95" t="s">
        <v>4773</v>
      </c>
      <c r="T672" s="4" t="s">
        <v>4787</v>
      </c>
      <c r="U672" s="95" t="s">
        <v>71</v>
      </c>
      <c r="V672" s="95" t="s">
        <v>71</v>
      </c>
      <c r="W672" s="95" t="s">
        <v>72</v>
      </c>
      <c r="X672" s="95" t="s">
        <v>71</v>
      </c>
      <c r="Y672" s="95" t="s">
        <v>72</v>
      </c>
      <c r="Z672" s="95" t="s">
        <v>71</v>
      </c>
      <c r="AA672" s="95" t="s">
        <v>72</v>
      </c>
      <c r="AB672" s="95" t="s">
        <v>72</v>
      </c>
      <c r="AC672" s="95" t="s">
        <v>72</v>
      </c>
      <c r="AD672" s="95" t="s">
        <v>72</v>
      </c>
      <c r="AE672" s="95" t="s">
        <v>71</v>
      </c>
      <c r="AF672" s="95" t="s">
        <v>72</v>
      </c>
      <c r="AG672" s="95" t="s">
        <v>71</v>
      </c>
      <c r="AH672" s="95" t="s">
        <v>71</v>
      </c>
      <c r="AI672" s="95" t="s">
        <v>71</v>
      </c>
      <c r="AK672" s="95" t="s">
        <v>72</v>
      </c>
    </row>
    <row r="673" spans="1:37" x14ac:dyDescent="0.2">
      <c r="A673" s="95" t="s">
        <v>65</v>
      </c>
      <c r="B673" s="95" t="s">
        <v>66</v>
      </c>
      <c r="C673" s="95" t="s">
        <v>84</v>
      </c>
      <c r="D673" s="95" t="s">
        <v>81</v>
      </c>
      <c r="E673" s="95" t="s">
        <v>82</v>
      </c>
      <c r="F673" s="95">
        <v>0.5</v>
      </c>
      <c r="G673" s="95">
        <v>2.7</v>
      </c>
      <c r="H673" s="250">
        <f>Table1[[#This Row],[R-value]]/Table1[[#This Row],[Thickness (in)]]</f>
        <v>5.4</v>
      </c>
      <c r="I673" s="101">
        <f>17.69/32</f>
        <v>0.55281250000000004</v>
      </c>
      <c r="S673" s="95" t="s">
        <v>3435</v>
      </c>
      <c r="T673" s="4" t="s">
        <v>4791</v>
      </c>
      <c r="U673" s="95" t="s">
        <v>71</v>
      </c>
      <c r="V673" s="95" t="s">
        <v>71</v>
      </c>
      <c r="W673" s="95" t="s">
        <v>72</v>
      </c>
      <c r="X673" s="95" t="s">
        <v>71</v>
      </c>
      <c r="Y673" s="95" t="s">
        <v>72</v>
      </c>
      <c r="Z673" s="95" t="s">
        <v>71</v>
      </c>
      <c r="AA673" s="95" t="s">
        <v>72</v>
      </c>
      <c r="AB673" s="95" t="s">
        <v>72</v>
      </c>
      <c r="AC673" s="95" t="s">
        <v>72</v>
      </c>
      <c r="AD673" s="95" t="s">
        <v>72</v>
      </c>
      <c r="AE673" s="95" t="s">
        <v>71</v>
      </c>
      <c r="AF673" s="95" t="s">
        <v>72</v>
      </c>
      <c r="AG673" s="95" t="s">
        <v>71</v>
      </c>
      <c r="AH673" s="95" t="s">
        <v>71</v>
      </c>
      <c r="AI673" s="95" t="s">
        <v>71</v>
      </c>
      <c r="AK673" s="95" t="s">
        <v>72</v>
      </c>
    </row>
    <row r="674" spans="1:37" x14ac:dyDescent="0.2">
      <c r="A674" s="95" t="s">
        <v>65</v>
      </c>
      <c r="B674" s="95" t="s">
        <v>66</v>
      </c>
      <c r="C674" s="95" t="s">
        <v>84</v>
      </c>
      <c r="D674" s="95" t="s">
        <v>81</v>
      </c>
      <c r="E674" s="95" t="s">
        <v>82</v>
      </c>
      <c r="F674" s="95">
        <v>2</v>
      </c>
      <c r="G674" s="95">
        <v>11.4</v>
      </c>
      <c r="H674" s="250">
        <f>Table1[[#This Row],[R-value]]/Table1[[#This Row],[Thickness (in)]]</f>
        <v>5.7</v>
      </c>
      <c r="I674" s="101">
        <f>44.49/32</f>
        <v>1.3903125000000001</v>
      </c>
      <c r="S674" s="95" t="s">
        <v>3435</v>
      </c>
      <c r="T674" s="4" t="s">
        <v>4792</v>
      </c>
      <c r="U674" s="95" t="s">
        <v>71</v>
      </c>
      <c r="V674" s="95" t="s">
        <v>71</v>
      </c>
      <c r="W674" s="95" t="s">
        <v>72</v>
      </c>
      <c r="X674" s="95" t="s">
        <v>71</v>
      </c>
      <c r="Y674" s="95" t="s">
        <v>72</v>
      </c>
      <c r="Z674" s="95" t="s">
        <v>71</v>
      </c>
      <c r="AA674" s="95" t="s">
        <v>72</v>
      </c>
      <c r="AB674" s="95" t="s">
        <v>72</v>
      </c>
      <c r="AC674" s="95" t="s">
        <v>72</v>
      </c>
      <c r="AD674" s="95" t="s">
        <v>72</v>
      </c>
      <c r="AE674" s="95" t="s">
        <v>71</v>
      </c>
      <c r="AF674" s="95" t="s">
        <v>72</v>
      </c>
      <c r="AG674" s="95" t="s">
        <v>71</v>
      </c>
      <c r="AH674" s="95" t="s">
        <v>71</v>
      </c>
      <c r="AI674" s="95" t="s">
        <v>71</v>
      </c>
      <c r="AK674" s="95" t="s">
        <v>72</v>
      </c>
    </row>
    <row r="675" spans="1:37" x14ac:dyDescent="0.2">
      <c r="A675" s="95" t="s">
        <v>65</v>
      </c>
      <c r="B675" s="95" t="s">
        <v>66</v>
      </c>
      <c r="C675" s="95" t="s">
        <v>84</v>
      </c>
      <c r="D675" s="95" t="s">
        <v>81</v>
      </c>
      <c r="E675" s="95" t="s">
        <v>82</v>
      </c>
      <c r="F675" s="95">
        <v>1.55</v>
      </c>
      <c r="G675" s="95">
        <v>9.6</v>
      </c>
      <c r="H675" s="250">
        <f>Table1[[#This Row],[R-value]]/Table1[[#This Row],[Thickness (in)]]</f>
        <v>6.193548387096774</v>
      </c>
      <c r="I675" s="101">
        <f>51.6/32</f>
        <v>1.6125</v>
      </c>
      <c r="Q675" s="95" t="s">
        <v>4793</v>
      </c>
      <c r="S675" s="95" t="s">
        <v>3435</v>
      </c>
      <c r="T675" s="4" t="s">
        <v>4794</v>
      </c>
      <c r="U675" s="95" t="s">
        <v>71</v>
      </c>
      <c r="V675" s="95" t="s">
        <v>71</v>
      </c>
      <c r="W675" s="95" t="s">
        <v>72</v>
      </c>
      <c r="X675" s="95" t="s">
        <v>71</v>
      </c>
      <c r="Y675" s="95" t="s">
        <v>72</v>
      </c>
      <c r="Z675" s="95" t="s">
        <v>71</v>
      </c>
      <c r="AA675" s="95" t="s">
        <v>72</v>
      </c>
      <c r="AB675" s="95" t="s">
        <v>72</v>
      </c>
      <c r="AC675" s="95" t="s">
        <v>72</v>
      </c>
      <c r="AD675" s="95" t="s">
        <v>72</v>
      </c>
      <c r="AE675" s="95" t="s">
        <v>71</v>
      </c>
      <c r="AF675" s="95" t="s">
        <v>72</v>
      </c>
      <c r="AG675" s="95" t="s">
        <v>71</v>
      </c>
      <c r="AH675" s="95" t="s">
        <v>71</v>
      </c>
      <c r="AI675" s="95" t="s">
        <v>71</v>
      </c>
      <c r="AK675" s="95" t="s">
        <v>71</v>
      </c>
    </row>
    <row r="676" spans="1:37" x14ac:dyDescent="0.2">
      <c r="A676" s="95" t="s">
        <v>65</v>
      </c>
      <c r="B676" s="95" t="s">
        <v>66</v>
      </c>
      <c r="C676" s="95" t="s">
        <v>84</v>
      </c>
      <c r="D676" s="95" t="s">
        <v>81</v>
      </c>
      <c r="E676" s="95" t="s">
        <v>82</v>
      </c>
      <c r="F676" s="95">
        <v>0.5</v>
      </c>
      <c r="G676" s="95">
        <v>3.2</v>
      </c>
      <c r="H676" s="250">
        <f>Table1[[#This Row],[R-value]]/Table1[[#This Row],[Thickness (in)]]</f>
        <v>6.4</v>
      </c>
      <c r="I676" s="101">
        <f>30.88/32</f>
        <v>0.96499999999999997</v>
      </c>
      <c r="S676" s="95" t="s">
        <v>4594</v>
      </c>
      <c r="T676" s="4" t="s">
        <v>4595</v>
      </c>
      <c r="U676" s="95" t="s">
        <v>71</v>
      </c>
      <c r="V676" s="95" t="s">
        <v>71</v>
      </c>
      <c r="W676" s="95" t="s">
        <v>72</v>
      </c>
      <c r="X676" s="95" t="s">
        <v>71</v>
      </c>
      <c r="Y676" s="95" t="s">
        <v>72</v>
      </c>
      <c r="Z676" s="95" t="s">
        <v>71</v>
      </c>
      <c r="AA676" s="95" t="s">
        <v>72</v>
      </c>
      <c r="AB676" s="95" t="s">
        <v>72</v>
      </c>
      <c r="AC676" s="95" t="s">
        <v>72</v>
      </c>
      <c r="AD676" s="95" t="s">
        <v>72</v>
      </c>
      <c r="AE676" s="95" t="s">
        <v>71</v>
      </c>
      <c r="AF676" s="95" t="s">
        <v>72</v>
      </c>
      <c r="AG676" s="95" t="s">
        <v>71</v>
      </c>
      <c r="AH676" s="95" t="s">
        <v>71</v>
      </c>
      <c r="AI676" s="95" t="s">
        <v>71</v>
      </c>
      <c r="AK676" s="95" t="s">
        <v>71</v>
      </c>
    </row>
    <row r="677" spans="1:37" x14ac:dyDescent="0.2">
      <c r="A677" s="95" t="s">
        <v>65</v>
      </c>
      <c r="B677" s="95" t="s">
        <v>66</v>
      </c>
      <c r="C677" s="95" t="s">
        <v>84</v>
      </c>
      <c r="D677" s="95" t="s">
        <v>81</v>
      </c>
      <c r="E677" s="95" t="s">
        <v>82</v>
      </c>
      <c r="F677" s="95">
        <v>0.75</v>
      </c>
      <c r="G677" s="95">
        <v>5</v>
      </c>
      <c r="H677" s="250">
        <f>Table1[[#This Row],[R-value]]/Table1[[#This Row],[Thickness (in)]]</f>
        <v>6.666666666666667</v>
      </c>
      <c r="I677" s="101">
        <f>39.88/32</f>
        <v>1.2462500000000001</v>
      </c>
      <c r="S677" s="95" t="s">
        <v>4594</v>
      </c>
      <c r="T677" s="4" t="s">
        <v>4595</v>
      </c>
      <c r="U677" s="95" t="s">
        <v>71</v>
      </c>
      <c r="V677" s="95" t="s">
        <v>71</v>
      </c>
      <c r="W677" s="95" t="s">
        <v>72</v>
      </c>
      <c r="X677" s="95" t="s">
        <v>71</v>
      </c>
      <c r="Y677" s="95" t="s">
        <v>72</v>
      </c>
      <c r="Z677" s="95" t="s">
        <v>71</v>
      </c>
      <c r="AA677" s="95" t="s">
        <v>72</v>
      </c>
      <c r="AB677" s="95" t="s">
        <v>72</v>
      </c>
      <c r="AC677" s="95" t="s">
        <v>72</v>
      </c>
      <c r="AD677" s="95" t="s">
        <v>72</v>
      </c>
      <c r="AE677" s="95" t="s">
        <v>71</v>
      </c>
      <c r="AF677" s="95" t="s">
        <v>72</v>
      </c>
      <c r="AG677" s="95" t="s">
        <v>71</v>
      </c>
      <c r="AH677" s="95" t="s">
        <v>71</v>
      </c>
      <c r="AI677" s="95" t="s">
        <v>71</v>
      </c>
      <c r="AK677" s="95" t="s">
        <v>71</v>
      </c>
    </row>
    <row r="678" spans="1:37" x14ac:dyDescent="0.2">
      <c r="A678" s="95" t="s">
        <v>65</v>
      </c>
      <c r="B678" s="95" t="s">
        <v>66</v>
      </c>
      <c r="C678" s="95" t="s">
        <v>84</v>
      </c>
      <c r="D678" s="95" t="s">
        <v>81</v>
      </c>
      <c r="E678" s="95" t="s">
        <v>82</v>
      </c>
      <c r="F678" s="95">
        <v>1</v>
      </c>
      <c r="G678" s="95">
        <v>6</v>
      </c>
      <c r="H678" s="250">
        <f>Table1[[#This Row],[R-value]]/Table1[[#This Row],[Thickness (in)]]</f>
        <v>6</v>
      </c>
      <c r="I678" s="101">
        <f>39.88/32</f>
        <v>1.2462500000000001</v>
      </c>
      <c r="S678" s="95" t="s">
        <v>4594</v>
      </c>
      <c r="T678" s="4" t="s">
        <v>4595</v>
      </c>
      <c r="U678" s="95" t="s">
        <v>71</v>
      </c>
      <c r="V678" s="95" t="s">
        <v>71</v>
      </c>
      <c r="W678" s="95" t="s">
        <v>72</v>
      </c>
      <c r="X678" s="95" t="s">
        <v>71</v>
      </c>
      <c r="Y678" s="95" t="s">
        <v>72</v>
      </c>
      <c r="Z678" s="95" t="s">
        <v>71</v>
      </c>
      <c r="AA678" s="95" t="s">
        <v>72</v>
      </c>
      <c r="AB678" s="95" t="s">
        <v>72</v>
      </c>
      <c r="AC678" s="95" t="s">
        <v>72</v>
      </c>
      <c r="AD678" s="95" t="s">
        <v>72</v>
      </c>
      <c r="AE678" s="95" t="s">
        <v>71</v>
      </c>
      <c r="AF678" s="95" t="s">
        <v>72</v>
      </c>
      <c r="AG678" s="95" t="s">
        <v>71</v>
      </c>
      <c r="AH678" s="95" t="s">
        <v>71</v>
      </c>
      <c r="AI678" s="95" t="s">
        <v>71</v>
      </c>
      <c r="AK678" s="95" t="s">
        <v>71</v>
      </c>
    </row>
    <row r="679" spans="1:37" x14ac:dyDescent="0.2">
      <c r="A679" s="95" t="s">
        <v>65</v>
      </c>
      <c r="B679" s="95" t="s">
        <v>66</v>
      </c>
      <c r="C679" s="95" t="s">
        <v>84</v>
      </c>
      <c r="D679" s="95" t="s">
        <v>81</v>
      </c>
      <c r="E679" s="95" t="s">
        <v>82</v>
      </c>
      <c r="F679" s="95">
        <v>1.5</v>
      </c>
      <c r="G679" s="95">
        <v>9.6</v>
      </c>
      <c r="H679" s="250">
        <f>Table1[[#This Row],[R-value]]/Table1[[#This Row],[Thickness (in)]]</f>
        <v>6.3999999999999995</v>
      </c>
      <c r="I679" s="101">
        <f>50.88/32</f>
        <v>1.59</v>
      </c>
      <c r="S679" s="95" t="s">
        <v>4594</v>
      </c>
      <c r="T679" s="4" t="s">
        <v>4595</v>
      </c>
      <c r="U679" s="95" t="s">
        <v>71</v>
      </c>
      <c r="V679" s="95" t="s">
        <v>71</v>
      </c>
      <c r="W679" s="95" t="s">
        <v>72</v>
      </c>
      <c r="X679" s="95" t="s">
        <v>71</v>
      </c>
      <c r="Y679" s="95" t="s">
        <v>72</v>
      </c>
      <c r="Z679" s="95" t="s">
        <v>71</v>
      </c>
      <c r="AA679" s="95" t="s">
        <v>72</v>
      </c>
      <c r="AB679" s="95" t="s">
        <v>72</v>
      </c>
      <c r="AC679" s="95" t="s">
        <v>72</v>
      </c>
      <c r="AD679" s="95" t="s">
        <v>72</v>
      </c>
      <c r="AE679" s="95" t="s">
        <v>71</v>
      </c>
      <c r="AF679" s="95" t="s">
        <v>72</v>
      </c>
      <c r="AG679" s="95" t="s">
        <v>71</v>
      </c>
      <c r="AH679" s="95" t="s">
        <v>71</v>
      </c>
      <c r="AI679" s="95" t="s">
        <v>71</v>
      </c>
      <c r="AK679" s="95" t="s">
        <v>71</v>
      </c>
    </row>
    <row r="680" spans="1:37" x14ac:dyDescent="0.2">
      <c r="A680" s="95" t="s">
        <v>65</v>
      </c>
      <c r="B680" s="95" t="s">
        <v>66</v>
      </c>
      <c r="C680" s="95" t="s">
        <v>84</v>
      </c>
      <c r="D680" s="95" t="s">
        <v>81</v>
      </c>
      <c r="E680" s="95" t="s">
        <v>82</v>
      </c>
      <c r="F680" s="95">
        <v>2</v>
      </c>
      <c r="G680" s="95">
        <v>13.1</v>
      </c>
      <c r="H680" s="250">
        <f>Table1[[#This Row],[R-value]]/Table1[[#This Row],[Thickness (in)]]</f>
        <v>6.55</v>
      </c>
      <c r="I680" s="101">
        <f>65.88/32</f>
        <v>2.0587499999999999</v>
      </c>
      <c r="S680" s="95" t="s">
        <v>4594</v>
      </c>
      <c r="T680" s="4" t="s">
        <v>4595</v>
      </c>
      <c r="U680" s="95" t="s">
        <v>71</v>
      </c>
      <c r="V680" s="95" t="s">
        <v>71</v>
      </c>
      <c r="W680" s="95" t="s">
        <v>72</v>
      </c>
      <c r="X680" s="95" t="s">
        <v>71</v>
      </c>
      <c r="Y680" s="95" t="s">
        <v>72</v>
      </c>
      <c r="Z680" s="95" t="s">
        <v>71</v>
      </c>
      <c r="AA680" s="95" t="s">
        <v>72</v>
      </c>
      <c r="AB680" s="95" t="s">
        <v>72</v>
      </c>
      <c r="AC680" s="95" t="s">
        <v>72</v>
      </c>
      <c r="AD680" s="95" t="s">
        <v>72</v>
      </c>
      <c r="AE680" s="95" t="s">
        <v>71</v>
      </c>
      <c r="AF680" s="95" t="s">
        <v>72</v>
      </c>
      <c r="AG680" s="95" t="s">
        <v>71</v>
      </c>
      <c r="AH680" s="95" t="s">
        <v>71</v>
      </c>
      <c r="AI680" s="95" t="s">
        <v>71</v>
      </c>
      <c r="AK680" s="95" t="s">
        <v>71</v>
      </c>
    </row>
    <row r="681" spans="1:37" x14ac:dyDescent="0.2">
      <c r="A681" s="95" t="s">
        <v>65</v>
      </c>
      <c r="B681" s="95" t="s">
        <v>66</v>
      </c>
      <c r="C681" s="95" t="s">
        <v>84</v>
      </c>
      <c r="D681" s="95" t="s">
        <v>81</v>
      </c>
      <c r="E681" s="95" t="s">
        <v>82</v>
      </c>
      <c r="F681" s="95">
        <v>3.1</v>
      </c>
      <c r="G681" s="95">
        <v>21</v>
      </c>
      <c r="H681" s="250">
        <f>Table1[[#This Row],[R-value]]/Table1[[#This Row],[Thickness (in)]]</f>
        <v>6.774193548387097</v>
      </c>
      <c r="I681" s="101">
        <f>106.88/32</f>
        <v>3.34</v>
      </c>
      <c r="S681" s="95" t="s">
        <v>4594</v>
      </c>
      <c r="T681" s="4" t="s">
        <v>4595</v>
      </c>
      <c r="U681" s="95" t="s">
        <v>71</v>
      </c>
      <c r="V681" s="95" t="s">
        <v>71</v>
      </c>
      <c r="W681" s="95" t="s">
        <v>72</v>
      </c>
      <c r="X681" s="95" t="s">
        <v>71</v>
      </c>
      <c r="Y681" s="95" t="s">
        <v>72</v>
      </c>
      <c r="Z681" s="95" t="s">
        <v>71</v>
      </c>
      <c r="AA681" s="95" t="s">
        <v>72</v>
      </c>
      <c r="AB681" s="95" t="s">
        <v>72</v>
      </c>
      <c r="AC681" s="95" t="s">
        <v>72</v>
      </c>
      <c r="AD681" s="95" t="s">
        <v>72</v>
      </c>
      <c r="AE681" s="95" t="s">
        <v>71</v>
      </c>
      <c r="AF681" s="95" t="s">
        <v>72</v>
      </c>
      <c r="AG681" s="95" t="s">
        <v>71</v>
      </c>
      <c r="AH681" s="95" t="s">
        <v>71</v>
      </c>
      <c r="AI681" s="95" t="s">
        <v>71</v>
      </c>
      <c r="AK681" s="95" t="s">
        <v>71</v>
      </c>
    </row>
    <row r="682" spans="1:37" x14ac:dyDescent="0.2">
      <c r="A682" s="95" t="s">
        <v>65</v>
      </c>
      <c r="B682" s="95" t="s">
        <v>66</v>
      </c>
      <c r="C682" s="95" t="s">
        <v>84</v>
      </c>
      <c r="D682" s="95" t="s">
        <v>81</v>
      </c>
      <c r="E682" s="95" t="s">
        <v>82</v>
      </c>
      <c r="F682" s="95">
        <v>4.5</v>
      </c>
      <c r="G682" s="95">
        <v>31</v>
      </c>
      <c r="H682" s="250">
        <f>Table1[[#This Row],[R-value]]/Table1[[#This Row],[Thickness (in)]]</f>
        <v>6.8888888888888893</v>
      </c>
      <c r="I682" s="101">
        <f>164.88/32</f>
        <v>5.1524999999999999</v>
      </c>
      <c r="S682" s="95" t="s">
        <v>4594</v>
      </c>
      <c r="T682" s="4" t="s">
        <v>4595</v>
      </c>
      <c r="U682" s="95" t="s">
        <v>71</v>
      </c>
      <c r="V682" s="95" t="s">
        <v>71</v>
      </c>
      <c r="W682" s="95" t="s">
        <v>72</v>
      </c>
      <c r="X682" s="95" t="s">
        <v>71</v>
      </c>
      <c r="Y682" s="95" t="s">
        <v>72</v>
      </c>
      <c r="Z682" s="95" t="s">
        <v>71</v>
      </c>
      <c r="AA682" s="95" t="s">
        <v>72</v>
      </c>
      <c r="AB682" s="95" t="s">
        <v>72</v>
      </c>
      <c r="AC682" s="95" t="s">
        <v>72</v>
      </c>
      <c r="AD682" s="95" t="s">
        <v>72</v>
      </c>
      <c r="AE682" s="95" t="s">
        <v>71</v>
      </c>
      <c r="AF682" s="95" t="s">
        <v>72</v>
      </c>
      <c r="AG682" s="95" t="s">
        <v>71</v>
      </c>
      <c r="AH682" s="95" t="s">
        <v>71</v>
      </c>
      <c r="AI682" s="95" t="s">
        <v>71</v>
      </c>
      <c r="AK682" s="95" t="s">
        <v>71</v>
      </c>
    </row>
    <row r="683" spans="1:37" x14ac:dyDescent="0.2">
      <c r="A683" s="95" t="s">
        <v>65</v>
      </c>
      <c r="B683" s="95" t="s">
        <v>66</v>
      </c>
      <c r="C683" s="95" t="s">
        <v>84</v>
      </c>
      <c r="D683" s="95" t="s">
        <v>81</v>
      </c>
      <c r="E683" s="95" t="s">
        <v>82</v>
      </c>
      <c r="F683" s="95">
        <v>1</v>
      </c>
      <c r="G683" s="95">
        <v>6.5</v>
      </c>
      <c r="H683" s="250">
        <f>Table1[[#This Row],[R-value]]/Table1[[#This Row],[Thickness (in)]]</f>
        <v>6.5</v>
      </c>
      <c r="I683" s="101">
        <f>63.2/32</f>
        <v>1.9750000000000001</v>
      </c>
      <c r="Q683" s="95" t="s">
        <v>2648</v>
      </c>
      <c r="S683" s="95" t="s">
        <v>3564</v>
      </c>
      <c r="T683" s="4" t="s">
        <v>4795</v>
      </c>
      <c r="U683" s="95" t="s">
        <v>71</v>
      </c>
      <c r="V683" s="95" t="s">
        <v>71</v>
      </c>
      <c r="W683" s="95" t="s">
        <v>72</v>
      </c>
      <c r="X683" s="95" t="s">
        <v>71</v>
      </c>
      <c r="Y683" s="95" t="s">
        <v>72</v>
      </c>
      <c r="Z683" s="95" t="s">
        <v>71</v>
      </c>
      <c r="AA683" s="95" t="s">
        <v>72</v>
      </c>
      <c r="AB683" s="95" t="s">
        <v>72</v>
      </c>
      <c r="AC683" s="95" t="s">
        <v>72</v>
      </c>
      <c r="AD683" s="95" t="s">
        <v>72</v>
      </c>
      <c r="AE683" s="95" t="s">
        <v>71</v>
      </c>
      <c r="AF683" s="95" t="s">
        <v>72</v>
      </c>
      <c r="AG683" s="95" t="s">
        <v>71</v>
      </c>
      <c r="AH683" s="95" t="s">
        <v>71</v>
      </c>
      <c r="AI683" s="95" t="s">
        <v>71</v>
      </c>
      <c r="AK683" s="95" t="s">
        <v>71</v>
      </c>
    </row>
    <row r="684" spans="1:37" x14ac:dyDescent="0.2">
      <c r="A684" s="95" t="s">
        <v>65</v>
      </c>
      <c r="B684" s="95" t="s">
        <v>66</v>
      </c>
      <c r="C684" s="95" t="s">
        <v>84</v>
      </c>
      <c r="D684" s="95" t="s">
        <v>81</v>
      </c>
      <c r="E684" s="95" t="s">
        <v>82</v>
      </c>
      <c r="F684" s="95">
        <v>1.5</v>
      </c>
      <c r="G684" s="95">
        <v>9.8000000000000007</v>
      </c>
      <c r="H684" s="250">
        <f>Table1[[#This Row],[R-value]]/Table1[[#This Row],[Thickness (in)]]</f>
        <v>6.5333333333333341</v>
      </c>
      <c r="I684" s="101">
        <f>73.376/32</f>
        <v>2.2930000000000001</v>
      </c>
      <c r="Q684" s="95" t="s">
        <v>2648</v>
      </c>
      <c r="S684" s="95" t="s">
        <v>3564</v>
      </c>
      <c r="T684" s="4" t="s">
        <v>4796</v>
      </c>
      <c r="U684" s="95" t="s">
        <v>71</v>
      </c>
      <c r="V684" s="95" t="s">
        <v>71</v>
      </c>
      <c r="W684" s="95" t="s">
        <v>72</v>
      </c>
      <c r="X684" s="95" t="s">
        <v>71</v>
      </c>
      <c r="Y684" s="95" t="s">
        <v>72</v>
      </c>
      <c r="Z684" s="95" t="s">
        <v>71</v>
      </c>
      <c r="AA684" s="95" t="s">
        <v>72</v>
      </c>
      <c r="AB684" s="95" t="s">
        <v>72</v>
      </c>
      <c r="AC684" s="95" t="s">
        <v>72</v>
      </c>
      <c r="AD684" s="95" t="s">
        <v>72</v>
      </c>
      <c r="AE684" s="95" t="s">
        <v>71</v>
      </c>
      <c r="AF684" s="95" t="s">
        <v>72</v>
      </c>
      <c r="AG684" s="95" t="s">
        <v>71</v>
      </c>
      <c r="AH684" s="95" t="s">
        <v>71</v>
      </c>
      <c r="AI684" s="95" t="s">
        <v>71</v>
      </c>
      <c r="AK684" s="95" t="s">
        <v>71</v>
      </c>
    </row>
    <row r="685" spans="1:37" x14ac:dyDescent="0.2">
      <c r="A685" s="95" t="s">
        <v>65</v>
      </c>
      <c r="B685" s="95" t="s">
        <v>66</v>
      </c>
      <c r="C685" s="95" t="s">
        <v>84</v>
      </c>
      <c r="D685" s="95" t="s">
        <v>81</v>
      </c>
      <c r="E685" s="95" t="s">
        <v>82</v>
      </c>
      <c r="F685" s="95">
        <v>0.5</v>
      </c>
      <c r="G685" s="95">
        <v>3</v>
      </c>
      <c r="H685" s="250">
        <f>Table1[[#This Row],[R-value]]/Table1[[#This Row],[Thickness (in)]]</f>
        <v>6</v>
      </c>
      <c r="I685" s="101">
        <f>35.328/32</f>
        <v>1.1040000000000001</v>
      </c>
      <c r="S685" s="95" t="s">
        <v>3564</v>
      </c>
      <c r="T685" s="4" t="s">
        <v>4797</v>
      </c>
      <c r="U685" s="95" t="s">
        <v>71</v>
      </c>
      <c r="V685" s="95" t="s">
        <v>71</v>
      </c>
      <c r="W685" s="95" t="s">
        <v>72</v>
      </c>
      <c r="X685" s="95" t="s">
        <v>71</v>
      </c>
      <c r="Y685" s="95" t="s">
        <v>72</v>
      </c>
      <c r="Z685" s="95" t="s">
        <v>71</v>
      </c>
      <c r="AA685" s="95" t="s">
        <v>72</v>
      </c>
      <c r="AB685" s="95" t="s">
        <v>72</v>
      </c>
      <c r="AC685" s="95" t="s">
        <v>72</v>
      </c>
      <c r="AD685" s="95" t="s">
        <v>72</v>
      </c>
      <c r="AE685" s="95" t="s">
        <v>71</v>
      </c>
      <c r="AF685" s="95" t="s">
        <v>72</v>
      </c>
      <c r="AG685" s="95" t="s">
        <v>71</v>
      </c>
      <c r="AH685" s="95" t="s">
        <v>71</v>
      </c>
      <c r="AI685" s="95" t="s">
        <v>71</v>
      </c>
      <c r="AK685" s="95" t="s">
        <v>71</v>
      </c>
    </row>
    <row r="686" spans="1:37" x14ac:dyDescent="0.2">
      <c r="A686" s="95" t="s">
        <v>65</v>
      </c>
      <c r="B686" s="95" t="s">
        <v>66</v>
      </c>
      <c r="C686" s="95" t="s">
        <v>84</v>
      </c>
      <c r="D686" s="95" t="s">
        <v>81</v>
      </c>
      <c r="E686" s="95" t="s">
        <v>82</v>
      </c>
      <c r="F686" s="95">
        <v>2</v>
      </c>
      <c r="G686" s="95">
        <v>13</v>
      </c>
      <c r="H686" s="250">
        <f>Table1[[#This Row],[R-value]]/Table1[[#This Row],[Thickness (in)]]</f>
        <v>6.5</v>
      </c>
      <c r="I686" s="101">
        <f>75.136/32</f>
        <v>2.3479999999999999</v>
      </c>
      <c r="S686" s="95" t="s">
        <v>3564</v>
      </c>
      <c r="T686" s="4" t="s">
        <v>4798</v>
      </c>
      <c r="U686" s="95" t="s">
        <v>71</v>
      </c>
      <c r="V686" s="95" t="s">
        <v>71</v>
      </c>
      <c r="W686" s="95" t="s">
        <v>72</v>
      </c>
      <c r="X686" s="95" t="s">
        <v>71</v>
      </c>
      <c r="Y686" s="95" t="s">
        <v>72</v>
      </c>
      <c r="Z686" s="95" t="s">
        <v>71</v>
      </c>
      <c r="AA686" s="95" t="s">
        <v>72</v>
      </c>
      <c r="AB686" s="95" t="s">
        <v>72</v>
      </c>
      <c r="AC686" s="95" t="s">
        <v>72</v>
      </c>
      <c r="AD686" s="95" t="s">
        <v>72</v>
      </c>
      <c r="AE686" s="95" t="s">
        <v>71</v>
      </c>
      <c r="AF686" s="95" t="s">
        <v>72</v>
      </c>
      <c r="AG686" s="95" t="s">
        <v>71</v>
      </c>
      <c r="AH686" s="95" t="s">
        <v>71</v>
      </c>
      <c r="AI686" s="95" t="s">
        <v>71</v>
      </c>
      <c r="AK686" s="95" t="s">
        <v>71</v>
      </c>
    </row>
    <row r="687" spans="1:37" x14ac:dyDescent="0.2">
      <c r="A687" s="95" t="s">
        <v>65</v>
      </c>
      <c r="B687" s="95" t="s">
        <v>66</v>
      </c>
      <c r="C687" s="95" t="s">
        <v>84</v>
      </c>
      <c r="D687" s="95" t="s">
        <v>81</v>
      </c>
      <c r="E687" s="95" t="s">
        <v>82</v>
      </c>
      <c r="F687" s="95">
        <v>0.75</v>
      </c>
      <c r="G687" s="95">
        <v>5</v>
      </c>
      <c r="H687" s="250">
        <f>Table1[[#This Row],[R-value]]/Table1[[#This Row],[Thickness (in)]]</f>
        <v>6.666666666666667</v>
      </c>
      <c r="I687" s="101">
        <f>40.96/32</f>
        <v>1.28</v>
      </c>
      <c r="S687" s="95" t="s">
        <v>3564</v>
      </c>
      <c r="T687" s="4" t="s">
        <v>4799</v>
      </c>
      <c r="U687" s="95" t="s">
        <v>71</v>
      </c>
      <c r="V687" s="95" t="s">
        <v>71</v>
      </c>
      <c r="W687" s="95" t="s">
        <v>72</v>
      </c>
      <c r="X687" s="95" t="s">
        <v>71</v>
      </c>
      <c r="Y687" s="95" t="s">
        <v>72</v>
      </c>
      <c r="Z687" s="95" t="s">
        <v>71</v>
      </c>
      <c r="AA687" s="95" t="s">
        <v>72</v>
      </c>
      <c r="AB687" s="95" t="s">
        <v>72</v>
      </c>
      <c r="AC687" s="95" t="s">
        <v>72</v>
      </c>
      <c r="AD687" s="95" t="s">
        <v>72</v>
      </c>
      <c r="AE687" s="95" t="s">
        <v>71</v>
      </c>
      <c r="AF687" s="95" t="s">
        <v>72</v>
      </c>
      <c r="AG687" s="95" t="s">
        <v>71</v>
      </c>
      <c r="AH687" s="95" t="s">
        <v>71</v>
      </c>
      <c r="AI687" s="95" t="s">
        <v>71</v>
      </c>
      <c r="AK687" s="95" t="s">
        <v>71</v>
      </c>
    </row>
    <row r="688" spans="1:37" x14ac:dyDescent="0.2">
      <c r="A688" s="95" t="s">
        <v>65</v>
      </c>
      <c r="B688" s="95" t="s">
        <v>66</v>
      </c>
      <c r="C688" s="95" t="s">
        <v>84</v>
      </c>
      <c r="D688" s="95" t="s">
        <v>81</v>
      </c>
      <c r="E688" s="95" t="s">
        <v>82</v>
      </c>
      <c r="F688" s="95">
        <v>0.5</v>
      </c>
      <c r="G688" s="95">
        <v>3.2</v>
      </c>
      <c r="H688" s="250">
        <f>Table1[[#This Row],[R-value]]/Table1[[#This Row],[Thickness (in)]]</f>
        <v>6.4</v>
      </c>
      <c r="I688" s="101">
        <f>20.99/32</f>
        <v>0.65593749999999995</v>
      </c>
      <c r="S688" s="95" t="s">
        <v>4800</v>
      </c>
      <c r="T688" s="4" t="s">
        <v>4801</v>
      </c>
      <c r="U688" s="95" t="s">
        <v>71</v>
      </c>
      <c r="V688" s="95" t="s">
        <v>71</v>
      </c>
      <c r="W688" s="95" t="s">
        <v>72</v>
      </c>
      <c r="X688" s="95" t="s">
        <v>71</v>
      </c>
      <c r="Y688" s="95" t="s">
        <v>72</v>
      </c>
      <c r="Z688" s="95" t="s">
        <v>71</v>
      </c>
      <c r="AA688" s="95" t="s">
        <v>72</v>
      </c>
      <c r="AB688" s="95" t="s">
        <v>72</v>
      </c>
      <c r="AC688" s="95" t="s">
        <v>72</v>
      </c>
      <c r="AD688" s="95" t="s">
        <v>72</v>
      </c>
      <c r="AE688" s="95" t="s">
        <v>71</v>
      </c>
      <c r="AF688" s="95" t="s">
        <v>72</v>
      </c>
      <c r="AG688" s="95" t="s">
        <v>71</v>
      </c>
      <c r="AH688" s="95" t="s">
        <v>71</v>
      </c>
      <c r="AI688" s="95" t="s">
        <v>71</v>
      </c>
      <c r="AK688" s="95" t="s">
        <v>71</v>
      </c>
    </row>
    <row r="689" spans="1:37" x14ac:dyDescent="0.2">
      <c r="A689" s="95" t="s">
        <v>65</v>
      </c>
      <c r="B689" s="95" t="s">
        <v>66</v>
      </c>
      <c r="C689" s="95" t="s">
        <v>84</v>
      </c>
      <c r="D689" s="95" t="s">
        <v>81</v>
      </c>
      <c r="E689" s="95" t="s">
        <v>82</v>
      </c>
      <c r="F689" s="95">
        <v>0.75</v>
      </c>
      <c r="G689" s="95">
        <v>5</v>
      </c>
      <c r="H689" s="250">
        <f>Table1[[#This Row],[R-value]]/Table1[[#This Row],[Thickness (in)]]</f>
        <v>6.666666666666667</v>
      </c>
      <c r="I689" s="101">
        <f>31.99/32</f>
        <v>0.99968749999999995</v>
      </c>
      <c r="S689" s="95" t="s">
        <v>4800</v>
      </c>
      <c r="T689" s="4" t="s">
        <v>4801</v>
      </c>
      <c r="U689" s="95" t="s">
        <v>71</v>
      </c>
      <c r="V689" s="95" t="s">
        <v>71</v>
      </c>
      <c r="W689" s="95" t="s">
        <v>72</v>
      </c>
      <c r="X689" s="95" t="s">
        <v>71</v>
      </c>
      <c r="Y689" s="95" t="s">
        <v>72</v>
      </c>
      <c r="Z689" s="95" t="s">
        <v>71</v>
      </c>
      <c r="AA689" s="95" t="s">
        <v>72</v>
      </c>
      <c r="AB689" s="95" t="s">
        <v>72</v>
      </c>
      <c r="AC689" s="95" t="s">
        <v>72</v>
      </c>
      <c r="AD689" s="95" t="s">
        <v>72</v>
      </c>
      <c r="AE689" s="95" t="s">
        <v>71</v>
      </c>
      <c r="AF689" s="95" t="s">
        <v>72</v>
      </c>
      <c r="AG689" s="95" t="s">
        <v>71</v>
      </c>
      <c r="AH689" s="95" t="s">
        <v>71</v>
      </c>
      <c r="AI689" s="95" t="s">
        <v>71</v>
      </c>
      <c r="AK689" s="95" t="s">
        <v>71</v>
      </c>
    </row>
    <row r="690" spans="1:37" x14ac:dyDescent="0.2">
      <c r="A690" s="95" t="s">
        <v>65</v>
      </c>
      <c r="B690" s="95" t="s">
        <v>66</v>
      </c>
      <c r="C690" s="95" t="s">
        <v>84</v>
      </c>
      <c r="D690" s="95" t="s">
        <v>81</v>
      </c>
      <c r="E690" s="95" t="s">
        <v>82</v>
      </c>
      <c r="F690" s="95">
        <v>1</v>
      </c>
      <c r="G690" s="95">
        <v>6</v>
      </c>
      <c r="H690" s="250">
        <f>Table1[[#This Row],[R-value]]/Table1[[#This Row],[Thickness (in)]]</f>
        <v>6</v>
      </c>
      <c r="I690" s="95">
        <f>31.92/32</f>
        <v>0.99750000000000005</v>
      </c>
      <c r="Q690" s="95" t="s">
        <v>4802</v>
      </c>
      <c r="S690" s="95" t="s">
        <v>4596</v>
      </c>
      <c r="T690" s="4" t="s">
        <v>4803</v>
      </c>
      <c r="U690" s="95" t="s">
        <v>71</v>
      </c>
      <c r="V690" s="95" t="s">
        <v>71</v>
      </c>
      <c r="W690" s="95" t="s">
        <v>72</v>
      </c>
      <c r="X690" s="95" t="s">
        <v>71</v>
      </c>
      <c r="Y690" s="95" t="s">
        <v>72</v>
      </c>
      <c r="Z690" s="95" t="s">
        <v>71</v>
      </c>
      <c r="AA690" s="95" t="s">
        <v>72</v>
      </c>
      <c r="AB690" s="95" t="s">
        <v>72</v>
      </c>
      <c r="AC690" s="95" t="s">
        <v>72</v>
      </c>
      <c r="AD690" s="95" t="s">
        <v>72</v>
      </c>
      <c r="AE690" s="95" t="s">
        <v>71</v>
      </c>
      <c r="AF690" s="95" t="s">
        <v>72</v>
      </c>
      <c r="AG690" s="95" t="s">
        <v>71</v>
      </c>
      <c r="AH690" s="95" t="s">
        <v>71</v>
      </c>
      <c r="AI690" s="95" t="s">
        <v>71</v>
      </c>
      <c r="AK690" s="95" t="s">
        <v>72</v>
      </c>
    </row>
    <row r="691" spans="1:37" x14ac:dyDescent="0.2">
      <c r="A691" s="95" t="s">
        <v>65</v>
      </c>
      <c r="B691" s="95" t="s">
        <v>66</v>
      </c>
      <c r="C691" s="95" t="s">
        <v>84</v>
      </c>
      <c r="D691" s="95" t="s">
        <v>81</v>
      </c>
      <c r="E691" s="95" t="s">
        <v>82</v>
      </c>
      <c r="F691" s="95">
        <v>0.5</v>
      </c>
      <c r="G691" s="95">
        <v>2.7</v>
      </c>
      <c r="H691" s="250">
        <f>Table1[[#This Row],[R-value]]/Table1[[#This Row],[Thickness (in)]]</f>
        <v>5.4</v>
      </c>
      <c r="I691" s="95">
        <f>21.51/32</f>
        <v>0.67218750000000005</v>
      </c>
      <c r="Q691" s="95" t="s">
        <v>4802</v>
      </c>
      <c r="S691" s="95" t="s">
        <v>4596</v>
      </c>
      <c r="U691" s="95" t="s">
        <v>71</v>
      </c>
      <c r="V691" s="95" t="s">
        <v>71</v>
      </c>
      <c r="W691" s="95" t="s">
        <v>72</v>
      </c>
      <c r="X691" s="95" t="s">
        <v>71</v>
      </c>
      <c r="Y691" s="95" t="s">
        <v>72</v>
      </c>
      <c r="Z691" s="95" t="s">
        <v>71</v>
      </c>
      <c r="AA691" s="95" t="s">
        <v>72</v>
      </c>
      <c r="AB691" s="95" t="s">
        <v>72</v>
      </c>
      <c r="AC691" s="95" t="s">
        <v>72</v>
      </c>
      <c r="AD691" s="95" t="s">
        <v>72</v>
      </c>
      <c r="AE691" s="95" t="s">
        <v>71</v>
      </c>
      <c r="AF691" s="95" t="s">
        <v>72</v>
      </c>
      <c r="AG691" s="95" t="s">
        <v>71</v>
      </c>
      <c r="AH691" s="95" t="s">
        <v>71</v>
      </c>
      <c r="AI691" s="95" t="s">
        <v>71</v>
      </c>
      <c r="AK691" s="95" t="s">
        <v>72</v>
      </c>
    </row>
    <row r="692" spans="1:37" x14ac:dyDescent="0.2">
      <c r="A692" s="95" t="s">
        <v>97</v>
      </c>
      <c r="C692" s="95" t="s">
        <v>4602</v>
      </c>
      <c r="F692" s="95">
        <v>2</v>
      </c>
      <c r="G692" s="95">
        <v>12.88</v>
      </c>
    </row>
    <row r="693" spans="1:37" x14ac:dyDescent="0.2">
      <c r="A693" s="95" t="s">
        <v>97</v>
      </c>
      <c r="C693" s="95" t="s">
        <v>4602</v>
      </c>
      <c r="F693" s="95">
        <v>2</v>
      </c>
      <c r="G693" s="95">
        <v>12</v>
      </c>
    </row>
    <row r="694" spans="1:37" x14ac:dyDescent="0.2">
      <c r="A694" s="95" t="s">
        <v>97</v>
      </c>
      <c r="C694" s="95" t="s">
        <v>4602</v>
      </c>
      <c r="F694" s="95">
        <v>2</v>
      </c>
      <c r="G694" s="95">
        <v>13.6</v>
      </c>
    </row>
    <row r="695" spans="1:37" x14ac:dyDescent="0.2">
      <c r="A695" s="95" t="s">
        <v>97</v>
      </c>
      <c r="C695" s="95" t="s">
        <v>4602</v>
      </c>
      <c r="F695" s="95">
        <v>2</v>
      </c>
      <c r="G695" s="95">
        <v>11</v>
      </c>
    </row>
    <row r="696" spans="1:37" x14ac:dyDescent="0.2">
      <c r="A696" s="95" t="s">
        <v>97</v>
      </c>
      <c r="C696" s="95" t="s">
        <v>4602</v>
      </c>
      <c r="F696" s="95">
        <v>2</v>
      </c>
      <c r="G696" s="95">
        <v>13.6</v>
      </c>
    </row>
    <row r="697" spans="1:37" x14ac:dyDescent="0.2">
      <c r="A697" s="95" t="s">
        <v>97</v>
      </c>
      <c r="C697" s="95" t="s">
        <v>4602</v>
      </c>
      <c r="F697" s="95">
        <v>2</v>
      </c>
      <c r="G697" s="95">
        <v>13.6</v>
      </c>
    </row>
    <row r="698" spans="1:37" x14ac:dyDescent="0.2">
      <c r="A698" s="95" t="s">
        <v>97</v>
      </c>
      <c r="C698" s="95" t="s">
        <v>4602</v>
      </c>
      <c r="F698" s="95">
        <v>2</v>
      </c>
      <c r="G698" s="95">
        <v>13.6</v>
      </c>
    </row>
    <row r="699" spans="1:37" x14ac:dyDescent="0.2">
      <c r="A699" s="95" t="s">
        <v>97</v>
      </c>
      <c r="C699" s="95" t="s">
        <v>4602</v>
      </c>
      <c r="F699" s="95">
        <v>2</v>
      </c>
      <c r="G699" s="95">
        <v>13.6</v>
      </c>
    </row>
    <row r="700" spans="1:37" x14ac:dyDescent="0.2">
      <c r="A700" s="95" t="s">
        <v>97</v>
      </c>
      <c r="C700" s="95" t="s">
        <v>4602</v>
      </c>
      <c r="F700" s="95">
        <v>2</v>
      </c>
      <c r="G700" s="95">
        <v>12</v>
      </c>
    </row>
    <row r="701" spans="1:37" x14ac:dyDescent="0.2">
      <c r="A701" s="95" t="s">
        <v>97</v>
      </c>
      <c r="C701" s="95" t="s">
        <v>4602</v>
      </c>
      <c r="F701" s="95">
        <v>2</v>
      </c>
      <c r="G701" s="95">
        <v>12</v>
      </c>
    </row>
    <row r="702" spans="1:37" x14ac:dyDescent="0.2">
      <c r="A702" s="95" t="s">
        <v>97</v>
      </c>
      <c r="C702" s="95" t="s">
        <v>4602</v>
      </c>
      <c r="F702" s="95">
        <v>2</v>
      </c>
      <c r="G702" s="95">
        <v>14</v>
      </c>
    </row>
    <row r="703" spans="1:37" x14ac:dyDescent="0.2">
      <c r="A703" s="95" t="s">
        <v>97</v>
      </c>
      <c r="C703" s="95" t="s">
        <v>4602</v>
      </c>
      <c r="F703" s="95">
        <v>2</v>
      </c>
      <c r="G703" s="95">
        <v>12</v>
      </c>
    </row>
    <row r="704" spans="1:37" x14ac:dyDescent="0.2">
      <c r="A704" s="95" t="s">
        <v>97</v>
      </c>
      <c r="C704" s="95" t="s">
        <v>4602</v>
      </c>
      <c r="F704" s="95">
        <v>2</v>
      </c>
      <c r="G704" s="95">
        <v>13.2</v>
      </c>
    </row>
    <row r="705" spans="1:7" x14ac:dyDescent="0.2">
      <c r="A705" s="95" t="s">
        <v>97</v>
      </c>
      <c r="C705" s="95" t="s">
        <v>4602</v>
      </c>
      <c r="F705" s="95">
        <v>2</v>
      </c>
      <c r="G705" s="95">
        <v>10.96</v>
      </c>
    </row>
    <row r="706" spans="1:7" x14ac:dyDescent="0.2">
      <c r="A706" s="95" t="s">
        <v>97</v>
      </c>
      <c r="C706" s="95" t="s">
        <v>4602</v>
      </c>
      <c r="F706" s="95">
        <v>2</v>
      </c>
      <c r="G706" s="95">
        <v>10.96</v>
      </c>
    </row>
    <row r="707" spans="1:7" x14ac:dyDescent="0.2">
      <c r="A707" s="95" t="s">
        <v>97</v>
      </c>
      <c r="C707" s="95" t="s">
        <v>4602</v>
      </c>
      <c r="F707" s="95">
        <v>2</v>
      </c>
      <c r="G707" s="95">
        <v>12</v>
      </c>
    </row>
    <row r="708" spans="1:7" x14ac:dyDescent="0.2">
      <c r="A708" s="95" t="s">
        <v>97</v>
      </c>
      <c r="C708" s="95" t="s">
        <v>4602</v>
      </c>
      <c r="F708" s="95">
        <v>2</v>
      </c>
      <c r="G708" s="95">
        <v>13.2</v>
      </c>
    </row>
    <row r="709" spans="1:7" x14ac:dyDescent="0.2">
      <c r="A709" s="95" t="s">
        <v>97</v>
      </c>
      <c r="C709" s="95" t="s">
        <v>4602</v>
      </c>
      <c r="F709" s="95">
        <v>2</v>
      </c>
      <c r="G709" s="95">
        <v>12</v>
      </c>
    </row>
    <row r="710" spans="1:7" x14ac:dyDescent="0.2">
      <c r="A710" s="95" t="s">
        <v>97</v>
      </c>
      <c r="C710" s="95" t="s">
        <v>4602</v>
      </c>
      <c r="F710" s="95">
        <v>2</v>
      </c>
      <c r="G710" s="95">
        <v>13.2</v>
      </c>
    </row>
    <row r="711" spans="1:7" x14ac:dyDescent="0.2">
      <c r="A711" s="95" t="s">
        <v>97</v>
      </c>
      <c r="C711" s="95" t="s">
        <v>4602</v>
      </c>
      <c r="F711" s="95">
        <v>2</v>
      </c>
      <c r="G711" s="95">
        <v>12</v>
      </c>
    </row>
    <row r="712" spans="1:7" x14ac:dyDescent="0.2">
      <c r="A712" s="95" t="s">
        <v>97</v>
      </c>
      <c r="C712" s="95" t="s">
        <v>4602</v>
      </c>
      <c r="F712" s="95">
        <v>2</v>
      </c>
      <c r="G712" s="95">
        <v>13.78</v>
      </c>
    </row>
    <row r="713" spans="1:7" x14ac:dyDescent="0.2">
      <c r="A713" s="95" t="s">
        <v>97</v>
      </c>
      <c r="C713" s="95" t="s">
        <v>4602</v>
      </c>
      <c r="F713" s="95">
        <v>2</v>
      </c>
      <c r="G713" s="95">
        <v>14</v>
      </c>
    </row>
    <row r="714" spans="1:7" x14ac:dyDescent="0.2">
      <c r="A714" s="95" t="s">
        <v>97</v>
      </c>
      <c r="C714" s="95" t="s">
        <v>4602</v>
      </c>
      <c r="F714" s="95">
        <v>2</v>
      </c>
      <c r="G714" s="95">
        <v>14</v>
      </c>
    </row>
    <row r="715" spans="1:7" x14ac:dyDescent="0.2">
      <c r="A715" s="95" t="s">
        <v>97</v>
      </c>
      <c r="C715" s="95" t="s">
        <v>4602</v>
      </c>
      <c r="F715" s="95">
        <v>2</v>
      </c>
      <c r="G715" s="95">
        <v>13.2</v>
      </c>
    </row>
    <row r="716" spans="1:7" x14ac:dyDescent="0.2">
      <c r="A716" s="95" t="s">
        <v>97</v>
      </c>
      <c r="C716" s="95" t="s">
        <v>4602</v>
      </c>
      <c r="F716" s="95">
        <v>2</v>
      </c>
      <c r="G716" s="95">
        <v>12.2</v>
      </c>
    </row>
    <row r="717" spans="1:7" x14ac:dyDescent="0.2">
      <c r="A717" s="95" t="s">
        <v>97</v>
      </c>
      <c r="C717" s="95" t="s">
        <v>4602</v>
      </c>
      <c r="F717" s="95">
        <v>2</v>
      </c>
      <c r="G717" s="95">
        <v>12.4</v>
      </c>
    </row>
    <row r="718" spans="1:7" x14ac:dyDescent="0.2">
      <c r="A718" s="95" t="s">
        <v>97</v>
      </c>
      <c r="C718" s="95" t="s">
        <v>4602</v>
      </c>
      <c r="F718" s="95">
        <v>2</v>
      </c>
      <c r="G718" s="95">
        <v>12.4</v>
      </c>
    </row>
    <row r="719" spans="1:7" x14ac:dyDescent="0.2">
      <c r="A719" s="95" t="s">
        <v>97</v>
      </c>
      <c r="C719" s="95" t="s">
        <v>4602</v>
      </c>
      <c r="F719" s="95">
        <v>2</v>
      </c>
      <c r="G719" s="95">
        <v>12.4</v>
      </c>
    </row>
    <row r="720" spans="1:7" x14ac:dyDescent="0.2">
      <c r="A720" s="95" t="s">
        <v>97</v>
      </c>
      <c r="C720" s="95" t="s">
        <v>4602</v>
      </c>
      <c r="F720" s="95">
        <v>2</v>
      </c>
      <c r="G720" s="95">
        <v>12.4</v>
      </c>
    </row>
    <row r="721" spans="1:37" x14ac:dyDescent="0.2">
      <c r="A721" s="95" t="s">
        <v>97</v>
      </c>
      <c r="C721" s="95" t="s">
        <v>4602</v>
      </c>
      <c r="F721" s="95">
        <v>2</v>
      </c>
      <c r="G721" s="95">
        <v>12.4</v>
      </c>
    </row>
    <row r="722" spans="1:37" x14ac:dyDescent="0.2">
      <c r="A722" s="95" t="s">
        <v>97</v>
      </c>
      <c r="C722" s="95" t="s">
        <v>4602</v>
      </c>
      <c r="F722" s="95">
        <v>2</v>
      </c>
      <c r="G722" s="95">
        <v>13</v>
      </c>
    </row>
    <row r="723" spans="1:37" x14ac:dyDescent="0.2">
      <c r="A723" s="95" t="s">
        <v>97</v>
      </c>
      <c r="C723" s="95" t="s">
        <v>4602</v>
      </c>
      <c r="F723" s="95">
        <v>2</v>
      </c>
      <c r="G723" s="95">
        <v>13</v>
      </c>
    </row>
    <row r="724" spans="1:37" x14ac:dyDescent="0.2">
      <c r="A724" s="95" t="s">
        <v>97</v>
      </c>
      <c r="C724" s="95" t="s">
        <v>4602</v>
      </c>
      <c r="F724" s="95">
        <v>2</v>
      </c>
      <c r="G724" s="95">
        <v>13.2</v>
      </c>
    </row>
    <row r="725" spans="1:37" x14ac:dyDescent="0.2">
      <c r="A725" s="95" t="s">
        <v>97</v>
      </c>
      <c r="C725" s="95" t="s">
        <v>4602</v>
      </c>
      <c r="F725" s="95">
        <v>2</v>
      </c>
      <c r="G725" s="95">
        <v>13.2</v>
      </c>
    </row>
    <row r="726" spans="1:37" x14ac:dyDescent="0.2">
      <c r="A726" s="95" t="s">
        <v>97</v>
      </c>
      <c r="C726" s="95" t="s">
        <v>4602</v>
      </c>
      <c r="F726" s="95">
        <v>2</v>
      </c>
      <c r="G726" s="95">
        <v>14</v>
      </c>
    </row>
    <row r="727" spans="1:37" x14ac:dyDescent="0.2">
      <c r="A727" s="95" t="s">
        <v>97</v>
      </c>
      <c r="C727" s="95" t="s">
        <v>4602</v>
      </c>
      <c r="F727" s="95">
        <v>2</v>
      </c>
      <c r="G727" s="95">
        <v>13.2</v>
      </c>
    </row>
    <row r="728" spans="1:37" x14ac:dyDescent="0.2">
      <c r="A728" s="95" t="s">
        <v>97</v>
      </c>
      <c r="C728" s="95" t="s">
        <v>4602</v>
      </c>
      <c r="F728" s="95">
        <v>2</v>
      </c>
      <c r="G728" s="95">
        <v>13.2</v>
      </c>
    </row>
    <row r="729" spans="1:37" x14ac:dyDescent="0.2">
      <c r="A729" s="95" t="s">
        <v>97</v>
      </c>
      <c r="C729" s="95" t="s">
        <v>4602</v>
      </c>
      <c r="F729" s="95">
        <v>2</v>
      </c>
      <c r="G729" s="95">
        <v>13.2</v>
      </c>
    </row>
    <row r="730" spans="1:37" x14ac:dyDescent="0.2">
      <c r="A730" s="95" t="s">
        <v>97</v>
      </c>
      <c r="C730" s="95" t="s">
        <v>4602</v>
      </c>
      <c r="F730" s="95">
        <v>2</v>
      </c>
      <c r="G730" s="95">
        <v>12.88</v>
      </c>
      <c r="I730" s="95">
        <v>3.89</v>
      </c>
      <c r="AJ730" s="95" t="s">
        <v>71</v>
      </c>
      <c r="AK730" s="95" t="s">
        <v>71</v>
      </c>
    </row>
    <row r="731" spans="1:37" x14ac:dyDescent="0.2">
      <c r="A731" s="95" t="s">
        <v>97</v>
      </c>
      <c r="C731" s="95" t="s">
        <v>4602</v>
      </c>
      <c r="F731" s="95">
        <v>2</v>
      </c>
      <c r="G731" s="95">
        <v>12</v>
      </c>
      <c r="I731" s="95">
        <v>3.89</v>
      </c>
      <c r="AJ731" s="95" t="s">
        <v>71</v>
      </c>
      <c r="AK731" s="95" t="s">
        <v>71</v>
      </c>
    </row>
    <row r="732" spans="1:37" x14ac:dyDescent="0.2">
      <c r="A732" s="95" t="s">
        <v>97</v>
      </c>
      <c r="C732" s="95" t="s">
        <v>4602</v>
      </c>
      <c r="F732" s="95">
        <v>2</v>
      </c>
      <c r="G732" s="95">
        <v>13.6</v>
      </c>
      <c r="I732" s="95">
        <v>3.331630769230769</v>
      </c>
      <c r="AJ732" s="95" t="s">
        <v>71</v>
      </c>
      <c r="AK732" s="95" t="s">
        <v>71</v>
      </c>
    </row>
    <row r="733" spans="1:37" x14ac:dyDescent="0.2">
      <c r="A733" s="95" t="s">
        <v>97</v>
      </c>
      <c r="C733" s="95" t="s">
        <v>4602</v>
      </c>
      <c r="F733" s="95">
        <v>2</v>
      </c>
      <c r="G733" s="95">
        <v>11</v>
      </c>
      <c r="I733" s="95">
        <v>4.4138095238095234</v>
      </c>
      <c r="AJ733" s="95" t="s">
        <v>71</v>
      </c>
      <c r="AK733" s="95" t="s">
        <v>71</v>
      </c>
    </row>
    <row r="734" spans="1:37" x14ac:dyDescent="0.2">
      <c r="A734" s="95" t="s">
        <v>97</v>
      </c>
      <c r="C734" s="95" t="s">
        <v>4602</v>
      </c>
      <c r="F734" s="95">
        <v>2</v>
      </c>
      <c r="G734" s="95">
        <v>13.6</v>
      </c>
      <c r="I734" s="95">
        <v>3.3292307692307692</v>
      </c>
      <c r="AJ734" s="95" t="s">
        <v>71</v>
      </c>
      <c r="AK734" s="95" t="s">
        <v>71</v>
      </c>
    </row>
    <row r="735" spans="1:37" x14ac:dyDescent="0.2">
      <c r="A735" s="95" t="s">
        <v>97</v>
      </c>
      <c r="C735" s="95" t="s">
        <v>4602</v>
      </c>
      <c r="F735" s="95">
        <v>2</v>
      </c>
      <c r="G735" s="95">
        <v>13.6</v>
      </c>
      <c r="I735" s="95">
        <v>4.3428571428571425</v>
      </c>
      <c r="AJ735" s="95" t="s">
        <v>71</v>
      </c>
      <c r="AK735" s="95" t="s">
        <v>71</v>
      </c>
    </row>
    <row r="736" spans="1:37" x14ac:dyDescent="0.2">
      <c r="A736" s="95" t="s">
        <v>97</v>
      </c>
      <c r="C736" s="95" t="s">
        <v>4602</v>
      </c>
      <c r="F736" s="95">
        <v>2</v>
      </c>
      <c r="G736" s="95">
        <v>13.6</v>
      </c>
      <c r="I736" s="95">
        <v>10.163333333333332</v>
      </c>
      <c r="AJ736" s="95" t="s">
        <v>71</v>
      </c>
      <c r="AK736" s="95" t="s">
        <v>71</v>
      </c>
    </row>
    <row r="737" spans="1:37" x14ac:dyDescent="0.2">
      <c r="A737" s="95" t="s">
        <v>97</v>
      </c>
      <c r="C737" s="95" t="s">
        <v>4602</v>
      </c>
      <c r="F737" s="95">
        <v>2</v>
      </c>
      <c r="G737" s="95">
        <v>13.6</v>
      </c>
      <c r="I737" s="95">
        <v>3.242064516129032</v>
      </c>
      <c r="AJ737" s="95" t="s">
        <v>71</v>
      </c>
      <c r="AK737" s="95" t="s">
        <v>71</v>
      </c>
    </row>
    <row r="738" spans="1:37" x14ac:dyDescent="0.2">
      <c r="A738" s="95" t="s">
        <v>97</v>
      </c>
      <c r="C738" s="95" t="s">
        <v>4602</v>
      </c>
      <c r="F738" s="95">
        <v>2</v>
      </c>
      <c r="G738" s="95">
        <v>12</v>
      </c>
      <c r="I738" s="95">
        <v>3.3731999999999998</v>
      </c>
      <c r="AJ738" s="95" t="s">
        <v>71</v>
      </c>
      <c r="AK738" s="95" t="s">
        <v>71</v>
      </c>
    </row>
    <row r="739" spans="1:37" x14ac:dyDescent="0.2">
      <c r="A739" s="95" t="s">
        <v>97</v>
      </c>
      <c r="C739" s="95" t="s">
        <v>4602</v>
      </c>
      <c r="F739" s="95">
        <v>2</v>
      </c>
      <c r="G739" s="95">
        <v>12</v>
      </c>
      <c r="I739" s="95">
        <v>4.7523809523809524</v>
      </c>
      <c r="AJ739" s="95" t="s">
        <v>71</v>
      </c>
      <c r="AK739" s="95" t="s">
        <v>71</v>
      </c>
    </row>
    <row r="740" spans="1:37" x14ac:dyDescent="0.2">
      <c r="A740" s="95" t="s">
        <v>97</v>
      </c>
      <c r="C740" s="95" t="s">
        <v>4602</v>
      </c>
      <c r="F740" s="95">
        <v>2</v>
      </c>
      <c r="G740" s="95">
        <v>14</v>
      </c>
      <c r="I740" s="95">
        <v>4.1999000000000004</v>
      </c>
      <c r="AJ740" s="95" t="s">
        <v>71</v>
      </c>
      <c r="AK740" s="95" t="s">
        <v>71</v>
      </c>
    </row>
    <row r="741" spans="1:37" x14ac:dyDescent="0.2">
      <c r="A741" s="95" t="s">
        <v>97</v>
      </c>
      <c r="C741" s="95" t="s">
        <v>4602</v>
      </c>
      <c r="F741" s="95">
        <v>2</v>
      </c>
      <c r="G741" s="95">
        <v>12</v>
      </c>
      <c r="I741" s="95">
        <v>3.5335076923076927</v>
      </c>
      <c r="AJ741" s="95" t="s">
        <v>71</v>
      </c>
      <c r="AK741" s="95" t="s">
        <v>71</v>
      </c>
    </row>
    <row r="742" spans="1:37" x14ac:dyDescent="0.2">
      <c r="A742" s="95" t="s">
        <v>97</v>
      </c>
      <c r="C742" s="95" t="s">
        <v>4602</v>
      </c>
      <c r="F742" s="95">
        <v>2</v>
      </c>
      <c r="G742" s="95">
        <v>13.2</v>
      </c>
      <c r="I742" s="95">
        <v>3.6633333333333336</v>
      </c>
      <c r="AJ742" s="95" t="s">
        <v>71</v>
      </c>
      <c r="AK742" s="95" t="s">
        <v>71</v>
      </c>
    </row>
    <row r="743" spans="1:37" x14ac:dyDescent="0.2">
      <c r="A743" s="95" t="s">
        <v>97</v>
      </c>
      <c r="C743" s="95" t="s">
        <v>4602</v>
      </c>
      <c r="F743" s="95">
        <v>2</v>
      </c>
      <c r="G743" s="95">
        <v>10.96</v>
      </c>
      <c r="I743" s="95">
        <v>4.71</v>
      </c>
      <c r="AJ743" s="95" t="s">
        <v>71</v>
      </c>
      <c r="AK743" s="95" t="s">
        <v>71</v>
      </c>
    </row>
    <row r="744" spans="1:37" x14ac:dyDescent="0.2">
      <c r="A744" s="95" t="s">
        <v>97</v>
      </c>
      <c r="C744" s="95" t="s">
        <v>4602</v>
      </c>
      <c r="F744" s="95">
        <v>2</v>
      </c>
      <c r="G744" s="95">
        <v>10.96</v>
      </c>
      <c r="I744" s="95">
        <v>4.7110000000000003</v>
      </c>
      <c r="AJ744" s="95" t="s">
        <v>71</v>
      </c>
      <c r="AK744" s="95" t="s">
        <v>71</v>
      </c>
    </row>
    <row r="745" spans="1:37" x14ac:dyDescent="0.2">
      <c r="A745" s="95" t="s">
        <v>97</v>
      </c>
      <c r="C745" s="95" t="s">
        <v>4602</v>
      </c>
      <c r="F745" s="95">
        <v>2</v>
      </c>
      <c r="G745" s="95">
        <v>12</v>
      </c>
      <c r="I745" s="95">
        <v>3.3516129032258064</v>
      </c>
      <c r="AJ745" s="95" t="s">
        <v>71</v>
      </c>
      <c r="AK745" s="95" t="s">
        <v>71</v>
      </c>
    </row>
    <row r="746" spans="1:37" x14ac:dyDescent="0.2">
      <c r="A746" s="95" t="s">
        <v>97</v>
      </c>
      <c r="C746" s="95" t="s">
        <v>4602</v>
      </c>
      <c r="F746" s="95">
        <v>2</v>
      </c>
      <c r="G746" s="95">
        <v>13.2</v>
      </c>
      <c r="I746" s="95">
        <v>5.99</v>
      </c>
      <c r="AJ746" s="95" t="s">
        <v>71</v>
      </c>
      <c r="AK746" s="95" t="s">
        <v>71</v>
      </c>
    </row>
    <row r="747" spans="1:37" x14ac:dyDescent="0.2">
      <c r="A747" s="95" t="s">
        <v>97</v>
      </c>
      <c r="C747" s="95" t="s">
        <v>4602</v>
      </c>
      <c r="F747" s="95">
        <v>2</v>
      </c>
      <c r="G747" s="95">
        <v>12</v>
      </c>
      <c r="I747" s="95">
        <v>4.79</v>
      </c>
      <c r="AJ747" s="95" t="s">
        <v>71</v>
      </c>
      <c r="AK747" s="95" t="s">
        <v>71</v>
      </c>
    </row>
    <row r="748" spans="1:37" x14ac:dyDescent="0.2">
      <c r="A748" s="95" t="s">
        <v>97</v>
      </c>
      <c r="C748" s="95" t="s">
        <v>4602</v>
      </c>
      <c r="F748" s="95">
        <v>2</v>
      </c>
      <c r="G748" s="95">
        <v>13.2</v>
      </c>
      <c r="I748" s="95">
        <v>8.163636363636364</v>
      </c>
      <c r="AJ748" s="95" t="s">
        <v>71</v>
      </c>
      <c r="AK748" s="95" t="s">
        <v>71</v>
      </c>
    </row>
    <row r="749" spans="1:37" x14ac:dyDescent="0.2">
      <c r="A749" s="95" t="s">
        <v>97</v>
      </c>
      <c r="C749" s="95" t="s">
        <v>4602</v>
      </c>
      <c r="F749" s="95">
        <v>2</v>
      </c>
      <c r="G749" s="95">
        <v>12</v>
      </c>
      <c r="I749" s="95">
        <v>3.572870967741935</v>
      </c>
      <c r="AJ749" s="95" t="s">
        <v>71</v>
      </c>
      <c r="AK749" s="95" t="s">
        <v>71</v>
      </c>
    </row>
    <row r="750" spans="1:37" x14ac:dyDescent="0.2">
      <c r="A750" s="95" t="s">
        <v>97</v>
      </c>
      <c r="C750" s="95" t="s">
        <v>4602</v>
      </c>
      <c r="F750" s="95">
        <v>2</v>
      </c>
      <c r="G750" s="95">
        <v>13.78</v>
      </c>
      <c r="I750" s="95">
        <v>8.9833333333333325</v>
      </c>
      <c r="AJ750" s="95" t="s">
        <v>71</v>
      </c>
      <c r="AK750" s="95" t="s">
        <v>71</v>
      </c>
    </row>
    <row r="751" spans="1:37" x14ac:dyDescent="0.2">
      <c r="A751" s="95" t="s">
        <v>97</v>
      </c>
      <c r="C751" s="95" t="s">
        <v>4602</v>
      </c>
      <c r="F751" s="95">
        <v>2</v>
      </c>
      <c r="G751" s="95">
        <v>14</v>
      </c>
      <c r="I751" s="95">
        <v>3.99</v>
      </c>
      <c r="AJ751" s="95" t="s">
        <v>71</v>
      </c>
      <c r="AK751" s="95" t="s">
        <v>71</v>
      </c>
    </row>
    <row r="752" spans="1:37" x14ac:dyDescent="0.2">
      <c r="A752" s="95" t="s">
        <v>97</v>
      </c>
      <c r="C752" s="95" t="s">
        <v>4602</v>
      </c>
      <c r="F752" s="95">
        <v>2</v>
      </c>
      <c r="G752" s="95">
        <v>14</v>
      </c>
      <c r="I752" s="95">
        <v>2.9966666666666666</v>
      </c>
      <c r="AJ752" s="95" t="s">
        <v>71</v>
      </c>
      <c r="AK752" s="95" t="s">
        <v>71</v>
      </c>
    </row>
    <row r="753" spans="1:37" x14ac:dyDescent="0.2">
      <c r="A753" s="95" t="s">
        <v>97</v>
      </c>
      <c r="C753" s="95" t="s">
        <v>4602</v>
      </c>
      <c r="F753" s="95">
        <v>2</v>
      </c>
      <c r="G753" s="95">
        <v>13.2</v>
      </c>
      <c r="I753" s="95">
        <v>7.0288000000000004</v>
      </c>
      <c r="AJ753" s="95" t="s">
        <v>71</v>
      </c>
      <c r="AK753" s="95" t="s">
        <v>71</v>
      </c>
    </row>
    <row r="754" spans="1:37" x14ac:dyDescent="0.2">
      <c r="A754" s="95" t="s">
        <v>97</v>
      </c>
      <c r="C754" s="95" t="s">
        <v>4602</v>
      </c>
      <c r="F754" s="95">
        <v>2</v>
      </c>
      <c r="G754" s="95">
        <v>12.2</v>
      </c>
      <c r="I754" s="95">
        <v>7.54</v>
      </c>
      <c r="AJ754" s="95" t="s">
        <v>71</v>
      </c>
      <c r="AK754" s="95" t="s">
        <v>71</v>
      </c>
    </row>
    <row r="755" spans="1:37" x14ac:dyDescent="0.2">
      <c r="A755" s="95" t="s">
        <v>97</v>
      </c>
      <c r="C755" s="95" t="s">
        <v>4602</v>
      </c>
      <c r="F755" s="95">
        <v>2</v>
      </c>
      <c r="G755" s="95">
        <v>12.4</v>
      </c>
      <c r="I755" s="95">
        <v>4.9333333333333336</v>
      </c>
      <c r="AJ755" s="95" t="s">
        <v>71</v>
      </c>
      <c r="AK755" s="95" t="s">
        <v>71</v>
      </c>
    </row>
    <row r="756" spans="1:37" x14ac:dyDescent="0.2">
      <c r="A756" s="95" t="s">
        <v>97</v>
      </c>
      <c r="C756" s="95" t="s">
        <v>4602</v>
      </c>
      <c r="F756" s="95">
        <v>2</v>
      </c>
      <c r="G756" s="95">
        <v>12.4</v>
      </c>
      <c r="I756" s="95">
        <v>3.795121951219512</v>
      </c>
      <c r="AJ756" s="95" t="s">
        <v>71</v>
      </c>
      <c r="AK756" s="95" t="s">
        <v>71</v>
      </c>
    </row>
    <row r="757" spans="1:37" x14ac:dyDescent="0.2">
      <c r="A757" s="95" t="s">
        <v>97</v>
      </c>
      <c r="C757" s="95" t="s">
        <v>4602</v>
      </c>
      <c r="F757" s="95">
        <v>2</v>
      </c>
      <c r="G757" s="95">
        <v>12.4</v>
      </c>
      <c r="I757" s="95">
        <v>2.641322314049587</v>
      </c>
      <c r="AJ757" s="95" t="s">
        <v>71</v>
      </c>
      <c r="AK757" s="95" t="s">
        <v>71</v>
      </c>
    </row>
    <row r="758" spans="1:37" x14ac:dyDescent="0.2">
      <c r="A758" s="95" t="s">
        <v>97</v>
      </c>
      <c r="C758" s="95" t="s">
        <v>4602</v>
      </c>
      <c r="F758" s="95">
        <v>2</v>
      </c>
      <c r="G758" s="95">
        <v>12.4</v>
      </c>
      <c r="I758" s="95">
        <v>3.5024390243902439</v>
      </c>
      <c r="AJ758" s="95" t="s">
        <v>71</v>
      </c>
      <c r="AK758" s="95" t="s">
        <v>71</v>
      </c>
    </row>
    <row r="759" spans="1:37" x14ac:dyDescent="0.2">
      <c r="A759" s="95" t="s">
        <v>97</v>
      </c>
      <c r="C759" s="95" t="s">
        <v>4602</v>
      </c>
      <c r="F759" s="95">
        <v>2</v>
      </c>
      <c r="G759" s="95">
        <v>12.4</v>
      </c>
      <c r="I759" s="95">
        <v>2.4429752066115702</v>
      </c>
      <c r="AJ759" s="95" t="s">
        <v>71</v>
      </c>
      <c r="AK759" s="95" t="s">
        <v>71</v>
      </c>
    </row>
    <row r="760" spans="1:37" x14ac:dyDescent="0.2">
      <c r="A760" s="95" t="s">
        <v>97</v>
      </c>
      <c r="C760" s="95" t="s">
        <v>4602</v>
      </c>
      <c r="F760" s="95">
        <v>2</v>
      </c>
      <c r="G760" s="95">
        <v>13</v>
      </c>
      <c r="I760" s="95">
        <v>8.9666666666666668</v>
      </c>
      <c r="AJ760" s="95" t="s">
        <v>71</v>
      </c>
      <c r="AK760" s="95" t="s">
        <v>71</v>
      </c>
    </row>
    <row r="761" spans="1:37" x14ac:dyDescent="0.2">
      <c r="A761" s="95" t="s">
        <v>97</v>
      </c>
      <c r="C761" s="95" t="s">
        <v>4602</v>
      </c>
      <c r="F761" s="95">
        <v>2</v>
      </c>
      <c r="G761" s="95">
        <v>13</v>
      </c>
      <c r="I761" s="95">
        <v>5.052941176470588</v>
      </c>
      <c r="AJ761" s="95" t="s">
        <v>71</v>
      </c>
      <c r="AK761" s="95" t="s">
        <v>71</v>
      </c>
    </row>
    <row r="762" spans="1:37" x14ac:dyDescent="0.2">
      <c r="A762" s="95" t="s">
        <v>97</v>
      </c>
      <c r="C762" s="95" t="s">
        <v>4602</v>
      </c>
      <c r="F762" s="95">
        <v>2</v>
      </c>
      <c r="G762" s="95">
        <v>13.2</v>
      </c>
      <c r="I762" s="95">
        <v>7.916666666666667</v>
      </c>
      <c r="AJ762" s="95" t="s">
        <v>71</v>
      </c>
      <c r="AK762" s="95" t="s">
        <v>71</v>
      </c>
    </row>
    <row r="763" spans="1:37" x14ac:dyDescent="0.2">
      <c r="A763" s="95" t="s">
        <v>97</v>
      </c>
      <c r="C763" s="95" t="s">
        <v>4602</v>
      </c>
      <c r="F763" s="95">
        <v>2</v>
      </c>
      <c r="G763" s="95">
        <v>13.2</v>
      </c>
      <c r="I763" s="95">
        <v>3.89</v>
      </c>
      <c r="AJ763" s="95" t="s">
        <v>71</v>
      </c>
      <c r="AK763" s="95" t="s">
        <v>71</v>
      </c>
    </row>
    <row r="764" spans="1:37" x14ac:dyDescent="0.2">
      <c r="A764" s="95" t="s">
        <v>97</v>
      </c>
      <c r="C764" s="95" t="s">
        <v>4602</v>
      </c>
      <c r="F764" s="95">
        <v>2</v>
      </c>
      <c r="G764" s="95">
        <v>14</v>
      </c>
      <c r="I764" s="95">
        <v>2.93</v>
      </c>
      <c r="AJ764" s="95" t="s">
        <v>71</v>
      </c>
      <c r="AK764" s="95" t="s">
        <v>71</v>
      </c>
    </row>
    <row r="765" spans="1:37" x14ac:dyDescent="0.2">
      <c r="A765" s="95" t="s">
        <v>97</v>
      </c>
      <c r="C765" s="95" t="s">
        <v>4602</v>
      </c>
      <c r="F765" s="95">
        <v>2</v>
      </c>
      <c r="G765" s="95">
        <v>13.2</v>
      </c>
      <c r="I765" s="95">
        <v>4.8909090909090907</v>
      </c>
      <c r="AJ765" s="95" t="s">
        <v>71</v>
      </c>
      <c r="AK765" s="95" t="s">
        <v>71</v>
      </c>
    </row>
    <row r="766" spans="1:37" x14ac:dyDescent="0.2">
      <c r="A766" s="95" t="s">
        <v>97</v>
      </c>
      <c r="C766" s="95" t="s">
        <v>4602</v>
      </c>
      <c r="F766" s="95">
        <v>2</v>
      </c>
      <c r="G766" s="95">
        <v>13.2</v>
      </c>
      <c r="I766" s="95">
        <v>3.99</v>
      </c>
      <c r="AJ766" s="95" t="s">
        <v>71</v>
      </c>
      <c r="AK766" s="95" t="s">
        <v>71</v>
      </c>
    </row>
    <row r="767" spans="1:37" x14ac:dyDescent="0.2">
      <c r="A767" s="95" t="s">
        <v>97</v>
      </c>
      <c r="C767" s="95" t="s">
        <v>4602</v>
      </c>
      <c r="F767" s="95">
        <v>2</v>
      </c>
      <c r="G767" s="95">
        <v>13.2</v>
      </c>
      <c r="I767" s="95">
        <v>2.6633333333333336</v>
      </c>
      <c r="AJ767" s="95" t="s">
        <v>71</v>
      </c>
      <c r="AK767" s="95" t="s">
        <v>71</v>
      </c>
    </row>
    <row r="768" spans="1:37" x14ac:dyDescent="0.2">
      <c r="A768" s="95" t="s">
        <v>97</v>
      </c>
      <c r="C768" s="95" t="s">
        <v>4602</v>
      </c>
      <c r="F768" s="95">
        <v>3</v>
      </c>
      <c r="G768" s="95">
        <v>19.32</v>
      </c>
      <c r="I768" s="95">
        <v>5.835</v>
      </c>
      <c r="AJ768" s="95" t="s">
        <v>71</v>
      </c>
      <c r="AK768" s="95" t="s">
        <v>71</v>
      </c>
    </row>
    <row r="769" spans="1:37" x14ac:dyDescent="0.2">
      <c r="A769" s="95" t="s">
        <v>97</v>
      </c>
      <c r="C769" s="95" t="s">
        <v>4602</v>
      </c>
      <c r="F769" s="95">
        <v>3</v>
      </c>
      <c r="G769" s="95">
        <v>18</v>
      </c>
      <c r="I769" s="95">
        <v>5.835</v>
      </c>
      <c r="AJ769" s="95" t="s">
        <v>71</v>
      </c>
      <c r="AK769" s="95" t="s">
        <v>71</v>
      </c>
    </row>
    <row r="770" spans="1:37" x14ac:dyDescent="0.2">
      <c r="A770" s="95" t="s">
        <v>97</v>
      </c>
      <c r="C770" s="95" t="s">
        <v>4602</v>
      </c>
      <c r="F770" s="95">
        <v>3</v>
      </c>
      <c r="G770" s="95">
        <v>20.399999999999999</v>
      </c>
      <c r="I770" s="95">
        <v>4.9974461538461536</v>
      </c>
      <c r="AJ770" s="95" t="s">
        <v>71</v>
      </c>
      <c r="AK770" s="95" t="s">
        <v>71</v>
      </c>
    </row>
    <row r="771" spans="1:37" x14ac:dyDescent="0.2">
      <c r="A771" s="95" t="s">
        <v>97</v>
      </c>
      <c r="C771" s="95" t="s">
        <v>4602</v>
      </c>
      <c r="F771" s="95">
        <v>3</v>
      </c>
      <c r="G771" s="95">
        <v>16.5</v>
      </c>
      <c r="I771" s="95">
        <v>6.6207142857142856</v>
      </c>
      <c r="AJ771" s="95" t="s">
        <v>71</v>
      </c>
      <c r="AK771" s="95" t="s">
        <v>71</v>
      </c>
    </row>
    <row r="772" spans="1:37" x14ac:dyDescent="0.2">
      <c r="A772" s="95" t="s">
        <v>97</v>
      </c>
      <c r="C772" s="95" t="s">
        <v>4602</v>
      </c>
      <c r="F772" s="95">
        <v>3</v>
      </c>
      <c r="G772" s="95">
        <v>20.399999999999999</v>
      </c>
      <c r="I772" s="95">
        <v>4.993846153846154</v>
      </c>
      <c r="AJ772" s="95" t="s">
        <v>71</v>
      </c>
      <c r="AK772" s="95" t="s">
        <v>71</v>
      </c>
    </row>
    <row r="773" spans="1:37" x14ac:dyDescent="0.2">
      <c r="A773" s="95" t="s">
        <v>97</v>
      </c>
      <c r="C773" s="95" t="s">
        <v>4602</v>
      </c>
      <c r="F773" s="95">
        <v>3</v>
      </c>
      <c r="G773" s="95">
        <v>20.399999999999999</v>
      </c>
      <c r="I773" s="95">
        <v>6.5142857142857142</v>
      </c>
      <c r="AJ773" s="95" t="s">
        <v>71</v>
      </c>
      <c r="AK773" s="95" t="s">
        <v>71</v>
      </c>
    </row>
    <row r="774" spans="1:37" x14ac:dyDescent="0.2">
      <c r="A774" s="95" t="s">
        <v>97</v>
      </c>
      <c r="C774" s="95" t="s">
        <v>4602</v>
      </c>
      <c r="F774" s="95">
        <v>3</v>
      </c>
      <c r="G774" s="95">
        <v>20.399999999999999</v>
      </c>
      <c r="I774" s="95">
        <v>15.244999999999997</v>
      </c>
      <c r="AJ774" s="95" t="s">
        <v>71</v>
      </c>
      <c r="AK774" s="95" t="s">
        <v>71</v>
      </c>
    </row>
    <row r="775" spans="1:37" x14ac:dyDescent="0.2">
      <c r="A775" s="95" t="s">
        <v>97</v>
      </c>
      <c r="C775" s="95" t="s">
        <v>4602</v>
      </c>
      <c r="F775" s="95">
        <v>3</v>
      </c>
      <c r="G775" s="95">
        <v>20.399999999999999</v>
      </c>
      <c r="I775" s="95">
        <v>4.863096774193548</v>
      </c>
      <c r="AJ775" s="95" t="s">
        <v>71</v>
      </c>
      <c r="AK775" s="95" t="s">
        <v>71</v>
      </c>
    </row>
    <row r="776" spans="1:37" x14ac:dyDescent="0.2">
      <c r="A776" s="95" t="s">
        <v>97</v>
      </c>
      <c r="C776" s="95" t="s">
        <v>4602</v>
      </c>
      <c r="F776" s="95">
        <v>3</v>
      </c>
      <c r="G776" s="95">
        <v>18</v>
      </c>
      <c r="I776" s="95">
        <v>5.0597999999999992</v>
      </c>
      <c r="AJ776" s="95" t="s">
        <v>71</v>
      </c>
      <c r="AK776" s="95" t="s">
        <v>71</v>
      </c>
    </row>
    <row r="777" spans="1:37" x14ac:dyDescent="0.2">
      <c r="A777" s="95" t="s">
        <v>97</v>
      </c>
      <c r="C777" s="95" t="s">
        <v>4602</v>
      </c>
      <c r="F777" s="95">
        <v>3</v>
      </c>
      <c r="G777" s="95">
        <v>18</v>
      </c>
      <c r="I777" s="95">
        <v>7.1285714285714281</v>
      </c>
      <c r="AJ777" s="95" t="s">
        <v>71</v>
      </c>
      <c r="AK777" s="95" t="s">
        <v>71</v>
      </c>
    </row>
    <row r="778" spans="1:37" x14ac:dyDescent="0.2">
      <c r="A778" s="95" t="s">
        <v>97</v>
      </c>
      <c r="C778" s="95" t="s">
        <v>4602</v>
      </c>
      <c r="F778" s="95">
        <v>3</v>
      </c>
      <c r="G778" s="95">
        <v>21</v>
      </c>
      <c r="I778" s="95">
        <v>6.2998500000000011</v>
      </c>
      <c r="AJ778" s="95" t="s">
        <v>71</v>
      </c>
      <c r="AK778" s="95" t="s">
        <v>71</v>
      </c>
    </row>
    <row r="779" spans="1:37" x14ac:dyDescent="0.2">
      <c r="A779" s="95" t="s">
        <v>97</v>
      </c>
      <c r="C779" s="95" t="s">
        <v>4602</v>
      </c>
      <c r="F779" s="95">
        <v>3</v>
      </c>
      <c r="G779" s="95">
        <v>18</v>
      </c>
      <c r="I779" s="95">
        <v>5.3002615384615392</v>
      </c>
      <c r="AJ779" s="95" t="s">
        <v>71</v>
      </c>
      <c r="AK779" s="95" t="s">
        <v>71</v>
      </c>
    </row>
    <row r="780" spans="1:37" x14ac:dyDescent="0.2">
      <c r="A780" s="95" t="s">
        <v>97</v>
      </c>
      <c r="C780" s="95" t="s">
        <v>4602</v>
      </c>
      <c r="F780" s="95">
        <v>3</v>
      </c>
      <c r="G780" s="95">
        <v>19.799999999999997</v>
      </c>
      <c r="I780" s="95">
        <v>5.4950000000000001</v>
      </c>
      <c r="AJ780" s="95" t="s">
        <v>71</v>
      </c>
      <c r="AK780" s="95" t="s">
        <v>71</v>
      </c>
    </row>
    <row r="781" spans="1:37" x14ac:dyDescent="0.2">
      <c r="A781" s="95" t="s">
        <v>97</v>
      </c>
      <c r="C781" s="95" t="s">
        <v>4602</v>
      </c>
      <c r="F781" s="95">
        <v>3</v>
      </c>
      <c r="G781" s="95">
        <v>16.440000000000001</v>
      </c>
      <c r="I781" s="95">
        <v>7.0649999999999995</v>
      </c>
      <c r="AJ781" s="95" t="s">
        <v>71</v>
      </c>
      <c r="AK781" s="95" t="s">
        <v>71</v>
      </c>
    </row>
    <row r="782" spans="1:37" x14ac:dyDescent="0.2">
      <c r="A782" s="95" t="s">
        <v>97</v>
      </c>
      <c r="C782" s="95" t="s">
        <v>4602</v>
      </c>
      <c r="F782" s="95">
        <v>3</v>
      </c>
      <c r="G782" s="95">
        <v>16.440000000000001</v>
      </c>
      <c r="I782" s="95">
        <v>7.0665000000000004</v>
      </c>
      <c r="AJ782" s="95" t="s">
        <v>71</v>
      </c>
      <c r="AK782" s="95" t="s">
        <v>71</v>
      </c>
    </row>
    <row r="783" spans="1:37" x14ac:dyDescent="0.2">
      <c r="A783" s="95" t="s">
        <v>97</v>
      </c>
      <c r="C783" s="95" t="s">
        <v>4602</v>
      </c>
      <c r="F783" s="95">
        <v>3</v>
      </c>
      <c r="G783" s="95">
        <v>18</v>
      </c>
      <c r="I783" s="95">
        <v>5.0274193548387096</v>
      </c>
      <c r="AJ783" s="95" t="s">
        <v>71</v>
      </c>
      <c r="AK783" s="95" t="s">
        <v>71</v>
      </c>
    </row>
    <row r="784" spans="1:37" x14ac:dyDescent="0.2">
      <c r="A784" s="95" t="s">
        <v>97</v>
      </c>
      <c r="C784" s="95" t="s">
        <v>4602</v>
      </c>
      <c r="F784" s="95">
        <v>3</v>
      </c>
      <c r="G784" s="95">
        <v>19.799999999999997</v>
      </c>
      <c r="I784" s="95">
        <v>8.9849999999999994</v>
      </c>
      <c r="AJ784" s="95" t="s">
        <v>71</v>
      </c>
      <c r="AK784" s="95" t="s">
        <v>71</v>
      </c>
    </row>
    <row r="785" spans="1:37" x14ac:dyDescent="0.2">
      <c r="A785" s="95" t="s">
        <v>97</v>
      </c>
      <c r="C785" s="95" t="s">
        <v>4602</v>
      </c>
      <c r="F785" s="95">
        <v>3</v>
      </c>
      <c r="G785" s="95">
        <v>18</v>
      </c>
      <c r="I785" s="95">
        <v>7.1850000000000005</v>
      </c>
      <c r="AJ785" s="95" t="s">
        <v>71</v>
      </c>
      <c r="AK785" s="95" t="s">
        <v>71</v>
      </c>
    </row>
    <row r="786" spans="1:37" x14ac:dyDescent="0.2">
      <c r="A786" s="95" t="s">
        <v>97</v>
      </c>
      <c r="C786" s="95" t="s">
        <v>4602</v>
      </c>
      <c r="F786" s="95">
        <v>3</v>
      </c>
      <c r="G786" s="95">
        <v>19.799999999999997</v>
      </c>
      <c r="I786" s="95">
        <v>12.245454545454546</v>
      </c>
      <c r="AJ786" s="95" t="s">
        <v>71</v>
      </c>
      <c r="AK786" s="95" t="s">
        <v>71</v>
      </c>
    </row>
    <row r="787" spans="1:37" x14ac:dyDescent="0.2">
      <c r="A787" s="95" t="s">
        <v>97</v>
      </c>
      <c r="C787" s="95" t="s">
        <v>4602</v>
      </c>
      <c r="F787" s="95">
        <v>3</v>
      </c>
      <c r="G787" s="95">
        <v>18</v>
      </c>
      <c r="I787" s="95">
        <v>5.3593064516129028</v>
      </c>
      <c r="AJ787" s="95" t="s">
        <v>71</v>
      </c>
      <c r="AK787" s="95" t="s">
        <v>71</v>
      </c>
    </row>
    <row r="788" spans="1:37" x14ac:dyDescent="0.2">
      <c r="A788" s="95" t="s">
        <v>97</v>
      </c>
      <c r="C788" s="95" t="s">
        <v>4602</v>
      </c>
      <c r="F788" s="95">
        <v>3</v>
      </c>
      <c r="G788" s="95">
        <v>20.669999999999998</v>
      </c>
      <c r="I788" s="95">
        <v>13.474999999999998</v>
      </c>
      <c r="AJ788" s="95" t="s">
        <v>71</v>
      </c>
      <c r="AK788" s="95" t="s">
        <v>71</v>
      </c>
    </row>
    <row r="789" spans="1:37" x14ac:dyDescent="0.2">
      <c r="A789" s="95" t="s">
        <v>97</v>
      </c>
      <c r="C789" s="95" t="s">
        <v>4602</v>
      </c>
      <c r="F789" s="95">
        <v>3</v>
      </c>
      <c r="G789" s="95">
        <v>21</v>
      </c>
      <c r="I789" s="95">
        <v>5.9850000000000003</v>
      </c>
      <c r="AJ789" s="95" t="s">
        <v>71</v>
      </c>
      <c r="AK789" s="95" t="s">
        <v>71</v>
      </c>
    </row>
    <row r="790" spans="1:37" x14ac:dyDescent="0.2">
      <c r="A790" s="95" t="s">
        <v>97</v>
      </c>
      <c r="C790" s="95" t="s">
        <v>4602</v>
      </c>
      <c r="F790" s="95">
        <v>3</v>
      </c>
      <c r="G790" s="95">
        <v>21</v>
      </c>
      <c r="I790" s="95">
        <v>4.4950000000000001</v>
      </c>
      <c r="AJ790" s="95" t="s">
        <v>71</v>
      </c>
      <c r="AK790" s="95" t="s">
        <v>71</v>
      </c>
    </row>
    <row r="791" spans="1:37" x14ac:dyDescent="0.2">
      <c r="A791" s="95" t="s">
        <v>97</v>
      </c>
      <c r="C791" s="95" t="s">
        <v>4602</v>
      </c>
      <c r="F791" s="95">
        <v>3</v>
      </c>
      <c r="G791" s="95">
        <v>19.799999999999997</v>
      </c>
      <c r="I791" s="95">
        <v>10.543200000000001</v>
      </c>
      <c r="AJ791" s="95" t="s">
        <v>71</v>
      </c>
      <c r="AK791" s="95" t="s">
        <v>71</v>
      </c>
    </row>
    <row r="792" spans="1:37" x14ac:dyDescent="0.2">
      <c r="A792" s="95" t="s">
        <v>97</v>
      </c>
      <c r="C792" s="95" t="s">
        <v>4602</v>
      </c>
      <c r="F792" s="95">
        <v>3</v>
      </c>
      <c r="G792" s="95">
        <v>18.299999999999997</v>
      </c>
      <c r="I792" s="95">
        <v>11.31</v>
      </c>
      <c r="AJ792" s="95" t="s">
        <v>71</v>
      </c>
      <c r="AK792" s="95" t="s">
        <v>71</v>
      </c>
    </row>
    <row r="793" spans="1:37" x14ac:dyDescent="0.2">
      <c r="A793" s="95" t="s">
        <v>97</v>
      </c>
      <c r="C793" s="95" t="s">
        <v>4602</v>
      </c>
      <c r="F793" s="95">
        <v>3</v>
      </c>
      <c r="G793" s="95">
        <v>18.600000000000001</v>
      </c>
      <c r="I793" s="95">
        <v>7.4</v>
      </c>
      <c r="AJ793" s="95" t="s">
        <v>71</v>
      </c>
      <c r="AK793" s="95" t="s">
        <v>71</v>
      </c>
    </row>
    <row r="794" spans="1:37" x14ac:dyDescent="0.2">
      <c r="A794" s="95" t="s">
        <v>97</v>
      </c>
      <c r="C794" s="95" t="s">
        <v>4602</v>
      </c>
      <c r="F794" s="95">
        <v>3</v>
      </c>
      <c r="G794" s="95">
        <v>18.600000000000001</v>
      </c>
      <c r="I794" s="95">
        <v>5.692682926829268</v>
      </c>
      <c r="AJ794" s="95" t="s">
        <v>71</v>
      </c>
      <c r="AK794" s="95" t="s">
        <v>71</v>
      </c>
    </row>
    <row r="795" spans="1:37" x14ac:dyDescent="0.2">
      <c r="A795" s="95" t="s">
        <v>97</v>
      </c>
      <c r="C795" s="95" t="s">
        <v>4602</v>
      </c>
      <c r="F795" s="95">
        <v>3</v>
      </c>
      <c r="G795" s="95">
        <v>18.600000000000001</v>
      </c>
      <c r="I795" s="95">
        <v>3.9619834710743804</v>
      </c>
      <c r="AJ795" s="95" t="s">
        <v>71</v>
      </c>
      <c r="AK795" s="95" t="s">
        <v>71</v>
      </c>
    </row>
    <row r="796" spans="1:37" x14ac:dyDescent="0.2">
      <c r="A796" s="95" t="s">
        <v>97</v>
      </c>
      <c r="C796" s="95" t="s">
        <v>4602</v>
      </c>
      <c r="F796" s="95">
        <v>3</v>
      </c>
      <c r="G796" s="95">
        <v>18.600000000000001</v>
      </c>
      <c r="I796" s="95">
        <v>5.2536585365853661</v>
      </c>
      <c r="AJ796" s="95" t="s">
        <v>71</v>
      </c>
      <c r="AK796" s="95" t="s">
        <v>71</v>
      </c>
    </row>
    <row r="797" spans="1:37" x14ac:dyDescent="0.2">
      <c r="A797" s="95" t="s">
        <v>97</v>
      </c>
      <c r="C797" s="95" t="s">
        <v>4602</v>
      </c>
      <c r="F797" s="95">
        <v>3</v>
      </c>
      <c r="G797" s="95">
        <v>18.600000000000001</v>
      </c>
      <c r="I797" s="95">
        <v>3.6644628099173553</v>
      </c>
      <c r="AJ797" s="95" t="s">
        <v>71</v>
      </c>
      <c r="AK797" s="95" t="s">
        <v>71</v>
      </c>
    </row>
    <row r="798" spans="1:37" x14ac:dyDescent="0.2">
      <c r="A798" s="95" t="s">
        <v>97</v>
      </c>
      <c r="C798" s="95" t="s">
        <v>4602</v>
      </c>
      <c r="F798" s="95">
        <v>3</v>
      </c>
      <c r="G798" s="95">
        <v>19.5</v>
      </c>
      <c r="I798" s="95">
        <v>13.45</v>
      </c>
      <c r="AJ798" s="95" t="s">
        <v>71</v>
      </c>
      <c r="AK798" s="95" t="s">
        <v>71</v>
      </c>
    </row>
    <row r="799" spans="1:37" x14ac:dyDescent="0.2">
      <c r="A799" s="95" t="s">
        <v>97</v>
      </c>
      <c r="C799" s="95" t="s">
        <v>4602</v>
      </c>
      <c r="F799" s="95">
        <v>3</v>
      </c>
      <c r="G799" s="95">
        <v>19.5</v>
      </c>
      <c r="I799" s="95">
        <v>7.5794117647058821</v>
      </c>
      <c r="AJ799" s="95" t="s">
        <v>71</v>
      </c>
      <c r="AK799" s="95" t="s">
        <v>71</v>
      </c>
    </row>
    <row r="800" spans="1:37" x14ac:dyDescent="0.2">
      <c r="A800" s="95" t="s">
        <v>97</v>
      </c>
      <c r="C800" s="95" t="s">
        <v>4602</v>
      </c>
      <c r="F800" s="95">
        <v>3</v>
      </c>
      <c r="G800" s="95">
        <v>19.799999999999997</v>
      </c>
      <c r="I800" s="95">
        <v>11.875</v>
      </c>
      <c r="AJ800" s="95" t="s">
        <v>71</v>
      </c>
      <c r="AK800" s="95" t="s">
        <v>71</v>
      </c>
    </row>
    <row r="801" spans="1:37" x14ac:dyDescent="0.2">
      <c r="A801" s="95" t="s">
        <v>97</v>
      </c>
      <c r="C801" s="95" t="s">
        <v>4602</v>
      </c>
      <c r="F801" s="95">
        <v>3</v>
      </c>
      <c r="G801" s="95">
        <v>19.799999999999997</v>
      </c>
      <c r="I801" s="95">
        <v>5.835</v>
      </c>
      <c r="AJ801" s="95" t="s">
        <v>71</v>
      </c>
      <c r="AK801" s="95" t="s">
        <v>71</v>
      </c>
    </row>
    <row r="802" spans="1:37" x14ac:dyDescent="0.2">
      <c r="A802" s="95" t="s">
        <v>97</v>
      </c>
      <c r="C802" s="95" t="s">
        <v>4602</v>
      </c>
      <c r="F802" s="95">
        <v>3</v>
      </c>
      <c r="G802" s="95">
        <v>21</v>
      </c>
      <c r="I802" s="95">
        <v>4.3950000000000005</v>
      </c>
      <c r="AJ802" s="95" t="s">
        <v>71</v>
      </c>
      <c r="AK802" s="95" t="s">
        <v>71</v>
      </c>
    </row>
    <row r="803" spans="1:37" x14ac:dyDescent="0.2">
      <c r="A803" s="95" t="s">
        <v>97</v>
      </c>
      <c r="C803" s="95" t="s">
        <v>4602</v>
      </c>
      <c r="F803" s="95">
        <v>3</v>
      </c>
      <c r="G803" s="95">
        <v>19.799999999999997</v>
      </c>
      <c r="I803" s="95">
        <v>7.336363636363636</v>
      </c>
      <c r="AJ803" s="95" t="s">
        <v>71</v>
      </c>
      <c r="AK803" s="95" t="s">
        <v>71</v>
      </c>
    </row>
    <row r="804" spans="1:37" x14ac:dyDescent="0.2">
      <c r="A804" s="95" t="s">
        <v>97</v>
      </c>
      <c r="C804" s="95" t="s">
        <v>4602</v>
      </c>
      <c r="F804" s="95">
        <v>3</v>
      </c>
      <c r="G804" s="95">
        <v>19.799999999999997</v>
      </c>
      <c r="I804" s="95">
        <v>5.9850000000000003</v>
      </c>
      <c r="AJ804" s="95" t="s">
        <v>71</v>
      </c>
      <c r="AK804" s="95" t="s">
        <v>71</v>
      </c>
    </row>
    <row r="805" spans="1:37" x14ac:dyDescent="0.2">
      <c r="A805" s="95" t="s">
        <v>97</v>
      </c>
      <c r="C805" s="95" t="s">
        <v>4602</v>
      </c>
      <c r="F805" s="95">
        <v>3</v>
      </c>
      <c r="G805" s="95">
        <v>19.799999999999997</v>
      </c>
      <c r="I805" s="95">
        <v>3.9950000000000001</v>
      </c>
      <c r="AJ805" s="95" t="s">
        <v>71</v>
      </c>
      <c r="AK805" s="95" t="s">
        <v>71</v>
      </c>
    </row>
    <row r="806" spans="1:37" x14ac:dyDescent="0.2">
      <c r="A806" s="95" t="s">
        <v>97</v>
      </c>
      <c r="C806" s="95" t="s">
        <v>4602</v>
      </c>
      <c r="F806" s="95">
        <v>4</v>
      </c>
      <c r="G806" s="95">
        <v>25.76</v>
      </c>
      <c r="I806" s="95">
        <v>7.78</v>
      </c>
      <c r="AJ806" s="95" t="s">
        <v>71</v>
      </c>
      <c r="AK806" s="95" t="s">
        <v>71</v>
      </c>
    </row>
    <row r="807" spans="1:37" x14ac:dyDescent="0.2">
      <c r="A807" s="95" t="s">
        <v>97</v>
      </c>
      <c r="C807" s="95" t="s">
        <v>4602</v>
      </c>
      <c r="F807" s="95">
        <v>4</v>
      </c>
      <c r="G807" s="95">
        <v>24</v>
      </c>
      <c r="I807" s="95">
        <v>7.78</v>
      </c>
      <c r="AJ807" s="95" t="s">
        <v>71</v>
      </c>
      <c r="AK807" s="95" t="s">
        <v>71</v>
      </c>
    </row>
    <row r="808" spans="1:37" x14ac:dyDescent="0.2">
      <c r="A808" s="95" t="s">
        <v>97</v>
      </c>
      <c r="C808" s="95" t="s">
        <v>4602</v>
      </c>
      <c r="F808" s="95">
        <v>4</v>
      </c>
      <c r="G808" s="95">
        <v>27.2</v>
      </c>
      <c r="I808" s="95">
        <v>6.6632615384615379</v>
      </c>
      <c r="AJ808" s="95" t="s">
        <v>71</v>
      </c>
      <c r="AK808" s="95" t="s">
        <v>71</v>
      </c>
    </row>
    <row r="809" spans="1:37" x14ac:dyDescent="0.2">
      <c r="A809" s="95" t="s">
        <v>97</v>
      </c>
      <c r="C809" s="95" t="s">
        <v>4602</v>
      </c>
      <c r="F809" s="95">
        <v>4</v>
      </c>
      <c r="G809" s="95">
        <v>22</v>
      </c>
      <c r="I809" s="95">
        <v>8.8276190476190468</v>
      </c>
      <c r="AJ809" s="95" t="s">
        <v>71</v>
      </c>
      <c r="AK809" s="95" t="s">
        <v>71</v>
      </c>
    </row>
    <row r="810" spans="1:37" x14ac:dyDescent="0.2">
      <c r="A810" s="95" t="s">
        <v>97</v>
      </c>
      <c r="C810" s="95" t="s">
        <v>4602</v>
      </c>
      <c r="F810" s="95">
        <v>4</v>
      </c>
      <c r="G810" s="95">
        <v>27.2</v>
      </c>
      <c r="I810" s="95">
        <v>6.6584615384615384</v>
      </c>
      <c r="AJ810" s="95" t="s">
        <v>71</v>
      </c>
      <c r="AK810" s="95" t="s">
        <v>71</v>
      </c>
    </row>
    <row r="811" spans="1:37" x14ac:dyDescent="0.2">
      <c r="A811" s="95" t="s">
        <v>97</v>
      </c>
      <c r="C811" s="95" t="s">
        <v>4602</v>
      </c>
      <c r="F811" s="95">
        <v>4</v>
      </c>
      <c r="G811" s="95">
        <v>27.2</v>
      </c>
      <c r="I811" s="95">
        <v>8.6857142857142851</v>
      </c>
      <c r="AJ811" s="95" t="s">
        <v>71</v>
      </c>
      <c r="AK811" s="95" t="s">
        <v>71</v>
      </c>
    </row>
    <row r="812" spans="1:37" x14ac:dyDescent="0.2">
      <c r="A812" s="95" t="s">
        <v>97</v>
      </c>
      <c r="C812" s="95" t="s">
        <v>4602</v>
      </c>
      <c r="F812" s="95">
        <v>4</v>
      </c>
      <c r="G812" s="95">
        <v>27.2</v>
      </c>
      <c r="I812" s="95">
        <v>20.326666666666664</v>
      </c>
      <c r="AJ812" s="95" t="s">
        <v>71</v>
      </c>
      <c r="AK812" s="95" t="s">
        <v>71</v>
      </c>
    </row>
    <row r="813" spans="1:37" x14ac:dyDescent="0.2">
      <c r="A813" s="95" t="s">
        <v>97</v>
      </c>
      <c r="C813" s="95" t="s">
        <v>4602</v>
      </c>
      <c r="F813" s="95">
        <v>4</v>
      </c>
      <c r="G813" s="95">
        <v>27.2</v>
      </c>
      <c r="I813" s="95">
        <v>6.484129032258064</v>
      </c>
      <c r="AJ813" s="95" t="s">
        <v>71</v>
      </c>
      <c r="AK813" s="95" t="s">
        <v>71</v>
      </c>
    </row>
    <row r="814" spans="1:37" x14ac:dyDescent="0.2">
      <c r="A814" s="95" t="s">
        <v>97</v>
      </c>
      <c r="C814" s="95" t="s">
        <v>4602</v>
      </c>
      <c r="F814" s="95">
        <v>4</v>
      </c>
      <c r="G814" s="95">
        <v>24</v>
      </c>
      <c r="I814" s="95">
        <v>6.7463999999999995</v>
      </c>
      <c r="AJ814" s="95" t="s">
        <v>71</v>
      </c>
      <c r="AK814" s="95" t="s">
        <v>71</v>
      </c>
    </row>
    <row r="815" spans="1:37" x14ac:dyDescent="0.2">
      <c r="A815" s="95" t="s">
        <v>97</v>
      </c>
      <c r="C815" s="95" t="s">
        <v>4602</v>
      </c>
      <c r="F815" s="95">
        <v>4</v>
      </c>
      <c r="G815" s="95">
        <v>24</v>
      </c>
      <c r="I815" s="95">
        <v>9.5047619047619047</v>
      </c>
      <c r="AJ815" s="95" t="s">
        <v>71</v>
      </c>
      <c r="AK815" s="95" t="s">
        <v>71</v>
      </c>
    </row>
    <row r="816" spans="1:37" x14ac:dyDescent="0.2">
      <c r="A816" s="95" t="s">
        <v>97</v>
      </c>
      <c r="C816" s="95" t="s">
        <v>4602</v>
      </c>
      <c r="F816" s="95">
        <v>4</v>
      </c>
      <c r="G816" s="95">
        <v>28</v>
      </c>
      <c r="I816" s="95">
        <v>8.3998000000000008</v>
      </c>
      <c r="AJ816" s="95" t="s">
        <v>71</v>
      </c>
      <c r="AK816" s="95" t="s">
        <v>71</v>
      </c>
    </row>
    <row r="817" spans="1:37" x14ac:dyDescent="0.2">
      <c r="A817" s="95" t="s">
        <v>97</v>
      </c>
      <c r="C817" s="95" t="s">
        <v>4602</v>
      </c>
      <c r="F817" s="95">
        <v>4</v>
      </c>
      <c r="G817" s="95">
        <v>24</v>
      </c>
      <c r="I817" s="95">
        <v>7.0670153846153854</v>
      </c>
      <c r="AJ817" s="95" t="s">
        <v>71</v>
      </c>
      <c r="AK817" s="95" t="s">
        <v>71</v>
      </c>
    </row>
    <row r="818" spans="1:37" x14ac:dyDescent="0.2">
      <c r="A818" s="95" t="s">
        <v>97</v>
      </c>
      <c r="C818" s="95" t="s">
        <v>4602</v>
      </c>
      <c r="F818" s="95">
        <v>4</v>
      </c>
      <c r="G818" s="95">
        <v>26.4</v>
      </c>
      <c r="I818" s="95">
        <v>7.3266666666666671</v>
      </c>
      <c r="AJ818" s="95" t="s">
        <v>71</v>
      </c>
      <c r="AK818" s="95" t="s">
        <v>71</v>
      </c>
    </row>
    <row r="819" spans="1:37" x14ac:dyDescent="0.2">
      <c r="A819" s="95" t="s">
        <v>97</v>
      </c>
      <c r="C819" s="95" t="s">
        <v>4602</v>
      </c>
      <c r="F819" s="95">
        <v>4</v>
      </c>
      <c r="G819" s="95">
        <v>21.92</v>
      </c>
      <c r="I819" s="95">
        <v>9.42</v>
      </c>
      <c r="AJ819" s="95" t="s">
        <v>71</v>
      </c>
      <c r="AK819" s="95" t="s">
        <v>71</v>
      </c>
    </row>
    <row r="820" spans="1:37" x14ac:dyDescent="0.2">
      <c r="A820" s="95" t="s">
        <v>97</v>
      </c>
      <c r="C820" s="95" t="s">
        <v>4602</v>
      </c>
      <c r="F820" s="95">
        <v>4</v>
      </c>
      <c r="G820" s="95">
        <v>21.92</v>
      </c>
      <c r="I820" s="95">
        <v>9.4220000000000006</v>
      </c>
      <c r="AJ820" s="95" t="s">
        <v>71</v>
      </c>
      <c r="AK820" s="95" t="s">
        <v>71</v>
      </c>
    </row>
    <row r="821" spans="1:37" x14ac:dyDescent="0.2">
      <c r="A821" s="95" t="s">
        <v>97</v>
      </c>
      <c r="C821" s="95" t="s">
        <v>4602</v>
      </c>
      <c r="F821" s="95">
        <v>4</v>
      </c>
      <c r="G821" s="95">
        <v>24</v>
      </c>
      <c r="I821" s="95">
        <v>6.7032258064516128</v>
      </c>
      <c r="AJ821" s="95" t="s">
        <v>71</v>
      </c>
      <c r="AK821" s="95" t="s">
        <v>71</v>
      </c>
    </row>
    <row r="822" spans="1:37" x14ac:dyDescent="0.2">
      <c r="A822" s="95" t="s">
        <v>97</v>
      </c>
      <c r="C822" s="95" t="s">
        <v>4602</v>
      </c>
      <c r="F822" s="95">
        <v>4</v>
      </c>
      <c r="G822" s="95">
        <v>26.4</v>
      </c>
      <c r="I822" s="95">
        <v>11.98</v>
      </c>
      <c r="AJ822" s="95" t="s">
        <v>71</v>
      </c>
      <c r="AK822" s="95" t="s">
        <v>71</v>
      </c>
    </row>
    <row r="823" spans="1:37" x14ac:dyDescent="0.2">
      <c r="A823" s="95" t="s">
        <v>97</v>
      </c>
      <c r="C823" s="95" t="s">
        <v>4602</v>
      </c>
      <c r="F823" s="95">
        <v>4</v>
      </c>
      <c r="G823" s="95">
        <v>24</v>
      </c>
      <c r="I823" s="95">
        <v>9.58</v>
      </c>
      <c r="AJ823" s="95" t="s">
        <v>71</v>
      </c>
      <c r="AK823" s="95" t="s">
        <v>71</v>
      </c>
    </row>
    <row r="824" spans="1:37" x14ac:dyDescent="0.2">
      <c r="A824" s="95" t="s">
        <v>97</v>
      </c>
      <c r="C824" s="95" t="s">
        <v>4602</v>
      </c>
      <c r="F824" s="95">
        <v>4</v>
      </c>
      <c r="G824" s="95">
        <v>26.4</v>
      </c>
      <c r="I824" s="95">
        <v>16.327272727272728</v>
      </c>
      <c r="AJ824" s="95" t="s">
        <v>71</v>
      </c>
      <c r="AK824" s="95" t="s">
        <v>71</v>
      </c>
    </row>
    <row r="825" spans="1:37" x14ac:dyDescent="0.2">
      <c r="A825" s="95" t="s">
        <v>97</v>
      </c>
      <c r="C825" s="95" t="s">
        <v>4602</v>
      </c>
      <c r="F825" s="95">
        <v>4</v>
      </c>
      <c r="G825" s="95">
        <v>24</v>
      </c>
      <c r="I825" s="95">
        <v>7.14574193548387</v>
      </c>
      <c r="AJ825" s="95" t="s">
        <v>71</v>
      </c>
      <c r="AK825" s="95" t="s">
        <v>71</v>
      </c>
    </row>
    <row r="826" spans="1:37" x14ac:dyDescent="0.2">
      <c r="A826" s="95" t="s">
        <v>97</v>
      </c>
      <c r="C826" s="95" t="s">
        <v>4602</v>
      </c>
      <c r="F826" s="95">
        <v>4</v>
      </c>
      <c r="G826" s="95">
        <v>27.56</v>
      </c>
      <c r="I826" s="95">
        <v>17.966666666666665</v>
      </c>
      <c r="AJ826" s="95" t="s">
        <v>71</v>
      </c>
      <c r="AK826" s="95" t="s">
        <v>71</v>
      </c>
    </row>
    <row r="827" spans="1:37" x14ac:dyDescent="0.2">
      <c r="A827" s="95" t="s">
        <v>97</v>
      </c>
      <c r="C827" s="95" t="s">
        <v>4602</v>
      </c>
      <c r="F827" s="95">
        <v>4</v>
      </c>
      <c r="G827" s="95">
        <v>28</v>
      </c>
      <c r="I827" s="95">
        <v>7.98</v>
      </c>
      <c r="AJ827" s="95" t="s">
        <v>71</v>
      </c>
      <c r="AK827" s="95" t="s">
        <v>71</v>
      </c>
    </row>
    <row r="828" spans="1:37" x14ac:dyDescent="0.2">
      <c r="A828" s="95" t="s">
        <v>97</v>
      </c>
      <c r="C828" s="95" t="s">
        <v>4602</v>
      </c>
      <c r="F828" s="95">
        <v>4</v>
      </c>
      <c r="G828" s="95">
        <v>28</v>
      </c>
      <c r="I828" s="95">
        <v>5.9933333333333332</v>
      </c>
      <c r="AJ828" s="95" t="s">
        <v>71</v>
      </c>
      <c r="AK828" s="95" t="s">
        <v>71</v>
      </c>
    </row>
    <row r="829" spans="1:37" x14ac:dyDescent="0.2">
      <c r="A829" s="95" t="s">
        <v>97</v>
      </c>
      <c r="C829" s="95" t="s">
        <v>4602</v>
      </c>
      <c r="F829" s="95">
        <v>4</v>
      </c>
      <c r="G829" s="95">
        <v>26.4</v>
      </c>
      <c r="I829" s="95">
        <v>14.057600000000001</v>
      </c>
      <c r="AJ829" s="95" t="s">
        <v>71</v>
      </c>
      <c r="AK829" s="95" t="s">
        <v>71</v>
      </c>
    </row>
    <row r="830" spans="1:37" x14ac:dyDescent="0.2">
      <c r="A830" s="95" t="s">
        <v>97</v>
      </c>
      <c r="C830" s="95" t="s">
        <v>4602</v>
      </c>
      <c r="F830" s="95">
        <v>4</v>
      </c>
      <c r="G830" s="95">
        <v>24.4</v>
      </c>
      <c r="I830" s="95">
        <v>15.08</v>
      </c>
      <c r="AJ830" s="95" t="s">
        <v>71</v>
      </c>
      <c r="AK830" s="95" t="s">
        <v>71</v>
      </c>
    </row>
    <row r="831" spans="1:37" x14ac:dyDescent="0.2">
      <c r="A831" s="95" t="s">
        <v>97</v>
      </c>
      <c r="C831" s="95" t="s">
        <v>4602</v>
      </c>
      <c r="F831" s="95">
        <v>4</v>
      </c>
      <c r="G831" s="95">
        <v>24.8</v>
      </c>
      <c r="I831" s="95">
        <v>9.8666666666666671</v>
      </c>
      <c r="AJ831" s="95" t="s">
        <v>71</v>
      </c>
      <c r="AK831" s="95" t="s">
        <v>71</v>
      </c>
    </row>
    <row r="832" spans="1:37" x14ac:dyDescent="0.2">
      <c r="A832" s="95" t="s">
        <v>97</v>
      </c>
      <c r="C832" s="95" t="s">
        <v>4602</v>
      </c>
      <c r="F832" s="95">
        <v>4</v>
      </c>
      <c r="G832" s="95">
        <v>24.8</v>
      </c>
      <c r="I832" s="95">
        <v>7.590243902439024</v>
      </c>
      <c r="AJ832" s="95" t="s">
        <v>71</v>
      </c>
      <c r="AK832" s="95" t="s">
        <v>71</v>
      </c>
    </row>
    <row r="833" spans="1:37" x14ac:dyDescent="0.2">
      <c r="A833" s="95" t="s">
        <v>97</v>
      </c>
      <c r="C833" s="95" t="s">
        <v>4602</v>
      </c>
      <c r="F833" s="95">
        <v>4</v>
      </c>
      <c r="G833" s="95">
        <v>24.8</v>
      </c>
      <c r="I833" s="95">
        <v>5.2826446280991739</v>
      </c>
      <c r="AJ833" s="95" t="s">
        <v>71</v>
      </c>
      <c r="AK833" s="95" t="s">
        <v>71</v>
      </c>
    </row>
    <row r="834" spans="1:37" x14ac:dyDescent="0.2">
      <c r="A834" s="95" t="s">
        <v>97</v>
      </c>
      <c r="C834" s="95" t="s">
        <v>4602</v>
      </c>
      <c r="F834" s="95">
        <v>4</v>
      </c>
      <c r="G834" s="95">
        <v>24.8</v>
      </c>
      <c r="I834" s="95">
        <v>7.0048780487804878</v>
      </c>
      <c r="AJ834" s="95" t="s">
        <v>71</v>
      </c>
      <c r="AK834" s="95" t="s">
        <v>71</v>
      </c>
    </row>
    <row r="835" spans="1:37" x14ac:dyDescent="0.2">
      <c r="A835" s="95" t="s">
        <v>97</v>
      </c>
      <c r="C835" s="95" t="s">
        <v>4602</v>
      </c>
      <c r="F835" s="95">
        <v>4</v>
      </c>
      <c r="G835" s="95">
        <v>24.8</v>
      </c>
      <c r="I835" s="95">
        <v>4.8859504132231404</v>
      </c>
      <c r="AJ835" s="95" t="s">
        <v>71</v>
      </c>
      <c r="AK835" s="95" t="s">
        <v>71</v>
      </c>
    </row>
    <row r="836" spans="1:37" x14ac:dyDescent="0.2">
      <c r="A836" s="95" t="s">
        <v>97</v>
      </c>
      <c r="C836" s="95" t="s">
        <v>4602</v>
      </c>
      <c r="F836" s="95">
        <v>4</v>
      </c>
      <c r="G836" s="95">
        <v>26</v>
      </c>
      <c r="I836" s="95">
        <v>17.933333333333334</v>
      </c>
      <c r="AJ836" s="95" t="s">
        <v>71</v>
      </c>
      <c r="AK836" s="95" t="s">
        <v>71</v>
      </c>
    </row>
    <row r="837" spans="1:37" x14ac:dyDescent="0.2">
      <c r="A837" s="95" t="s">
        <v>97</v>
      </c>
      <c r="C837" s="95" t="s">
        <v>4602</v>
      </c>
      <c r="F837" s="95">
        <v>4</v>
      </c>
      <c r="G837" s="95">
        <v>26</v>
      </c>
      <c r="I837" s="95">
        <v>10.105882352941176</v>
      </c>
      <c r="AJ837" s="95" t="s">
        <v>71</v>
      </c>
      <c r="AK837" s="95" t="s">
        <v>71</v>
      </c>
    </row>
    <row r="838" spans="1:37" x14ac:dyDescent="0.2">
      <c r="A838" s="95" t="s">
        <v>97</v>
      </c>
      <c r="C838" s="95" t="s">
        <v>4602</v>
      </c>
      <c r="F838" s="95">
        <v>4</v>
      </c>
      <c r="G838" s="95">
        <v>26.4</v>
      </c>
      <c r="I838" s="95">
        <v>15.833333333333334</v>
      </c>
      <c r="AJ838" s="95" t="s">
        <v>71</v>
      </c>
      <c r="AK838" s="95" t="s">
        <v>71</v>
      </c>
    </row>
    <row r="839" spans="1:37" x14ac:dyDescent="0.2">
      <c r="A839" s="95" t="s">
        <v>97</v>
      </c>
      <c r="C839" s="95" t="s">
        <v>4602</v>
      </c>
      <c r="F839" s="95">
        <v>4</v>
      </c>
      <c r="G839" s="95">
        <v>26.4</v>
      </c>
      <c r="I839" s="95">
        <v>7.78</v>
      </c>
      <c r="AJ839" s="95" t="s">
        <v>71</v>
      </c>
      <c r="AK839" s="95" t="s">
        <v>71</v>
      </c>
    </row>
    <row r="840" spans="1:37" x14ac:dyDescent="0.2">
      <c r="A840" s="95" t="s">
        <v>97</v>
      </c>
      <c r="C840" s="95" t="s">
        <v>4602</v>
      </c>
      <c r="F840" s="95">
        <v>4</v>
      </c>
      <c r="G840" s="95">
        <v>28</v>
      </c>
      <c r="I840" s="95">
        <v>5.86</v>
      </c>
      <c r="AJ840" s="95" t="s">
        <v>71</v>
      </c>
      <c r="AK840" s="95" t="s">
        <v>71</v>
      </c>
    </row>
    <row r="841" spans="1:37" x14ac:dyDescent="0.2">
      <c r="A841" s="95" t="s">
        <v>97</v>
      </c>
      <c r="C841" s="95" t="s">
        <v>4602</v>
      </c>
      <c r="F841" s="95">
        <v>4</v>
      </c>
      <c r="G841" s="95">
        <v>26.4</v>
      </c>
      <c r="I841" s="95">
        <v>9.7818181818181813</v>
      </c>
      <c r="AJ841" s="95" t="s">
        <v>71</v>
      </c>
      <c r="AK841" s="95" t="s">
        <v>71</v>
      </c>
    </row>
    <row r="842" spans="1:37" x14ac:dyDescent="0.2">
      <c r="A842" s="95" t="s">
        <v>97</v>
      </c>
      <c r="C842" s="95" t="s">
        <v>4602</v>
      </c>
      <c r="F842" s="95">
        <v>4</v>
      </c>
      <c r="G842" s="95">
        <v>26.4</v>
      </c>
      <c r="I842" s="95">
        <v>7.98</v>
      </c>
      <c r="AJ842" s="95" t="s">
        <v>71</v>
      </c>
      <c r="AK842" s="95" t="s">
        <v>71</v>
      </c>
    </row>
    <row r="843" spans="1:37" x14ac:dyDescent="0.2">
      <c r="A843" s="95" t="s">
        <v>97</v>
      </c>
      <c r="C843" s="95" t="s">
        <v>4602</v>
      </c>
      <c r="F843" s="95">
        <v>4</v>
      </c>
      <c r="G843" s="95">
        <v>26.4</v>
      </c>
      <c r="I843" s="95">
        <v>5.3266666666666671</v>
      </c>
      <c r="AJ843" s="95" t="s">
        <v>71</v>
      </c>
      <c r="AK843" s="95" t="s">
        <v>71</v>
      </c>
    </row>
    <row r="844" spans="1:37" x14ac:dyDescent="0.2">
      <c r="A844" s="95" t="s">
        <v>97</v>
      </c>
      <c r="C844" s="95" t="s">
        <v>4602</v>
      </c>
      <c r="F844" s="95">
        <v>5</v>
      </c>
      <c r="G844" s="95">
        <v>32.200000000000003</v>
      </c>
      <c r="I844" s="95">
        <v>9.7249999999999996</v>
      </c>
      <c r="AJ844" s="95" t="s">
        <v>71</v>
      </c>
      <c r="AK844" s="95" t="s">
        <v>71</v>
      </c>
    </row>
    <row r="845" spans="1:37" x14ac:dyDescent="0.2">
      <c r="A845" s="95" t="s">
        <v>97</v>
      </c>
      <c r="C845" s="95" t="s">
        <v>4602</v>
      </c>
      <c r="F845" s="95">
        <v>5</v>
      </c>
      <c r="G845" s="95">
        <v>30</v>
      </c>
      <c r="I845" s="95">
        <v>9.7249999999999996</v>
      </c>
      <c r="AJ845" s="95" t="s">
        <v>71</v>
      </c>
      <c r="AK845" s="95" t="s">
        <v>71</v>
      </c>
    </row>
    <row r="846" spans="1:37" x14ac:dyDescent="0.2">
      <c r="A846" s="95" t="s">
        <v>97</v>
      </c>
      <c r="C846" s="95" t="s">
        <v>4602</v>
      </c>
      <c r="F846" s="95">
        <v>5</v>
      </c>
      <c r="G846" s="95">
        <v>34</v>
      </c>
      <c r="I846" s="95">
        <v>8.3290769230769222</v>
      </c>
      <c r="AJ846" s="95" t="s">
        <v>71</v>
      </c>
      <c r="AK846" s="95" t="s">
        <v>71</v>
      </c>
    </row>
    <row r="847" spans="1:37" x14ac:dyDescent="0.2">
      <c r="A847" s="95" t="s">
        <v>97</v>
      </c>
      <c r="C847" s="95" t="s">
        <v>4602</v>
      </c>
      <c r="F847" s="95">
        <v>5</v>
      </c>
      <c r="G847" s="95">
        <v>27.5</v>
      </c>
      <c r="I847" s="95">
        <v>11.034523809523808</v>
      </c>
      <c r="AJ847" s="95" t="s">
        <v>71</v>
      </c>
      <c r="AK847" s="95" t="s">
        <v>71</v>
      </c>
    </row>
    <row r="848" spans="1:37" x14ac:dyDescent="0.2">
      <c r="A848" s="95" t="s">
        <v>97</v>
      </c>
      <c r="C848" s="95" t="s">
        <v>4602</v>
      </c>
      <c r="F848" s="95">
        <v>5</v>
      </c>
      <c r="G848" s="95">
        <v>34</v>
      </c>
      <c r="I848" s="95">
        <v>8.3230769230769237</v>
      </c>
      <c r="AJ848" s="95" t="s">
        <v>71</v>
      </c>
      <c r="AK848" s="95" t="s">
        <v>71</v>
      </c>
    </row>
    <row r="849" spans="1:37" x14ac:dyDescent="0.2">
      <c r="A849" s="95" t="s">
        <v>97</v>
      </c>
      <c r="C849" s="95" t="s">
        <v>4602</v>
      </c>
      <c r="F849" s="95">
        <v>5</v>
      </c>
      <c r="G849" s="95">
        <v>34</v>
      </c>
      <c r="I849" s="95">
        <v>10.857142857142856</v>
      </c>
      <c r="AJ849" s="95" t="s">
        <v>71</v>
      </c>
      <c r="AK849" s="95" t="s">
        <v>71</v>
      </c>
    </row>
    <row r="850" spans="1:37" x14ac:dyDescent="0.2">
      <c r="A850" s="95" t="s">
        <v>97</v>
      </c>
      <c r="C850" s="95" t="s">
        <v>4602</v>
      </c>
      <c r="F850" s="95">
        <v>5</v>
      </c>
      <c r="G850" s="95">
        <v>34</v>
      </c>
      <c r="I850" s="95">
        <v>25.408333333333331</v>
      </c>
      <c r="AJ850" s="95" t="s">
        <v>71</v>
      </c>
      <c r="AK850" s="95" t="s">
        <v>71</v>
      </c>
    </row>
    <row r="851" spans="1:37" x14ac:dyDescent="0.2">
      <c r="A851" s="95" t="s">
        <v>97</v>
      </c>
      <c r="C851" s="95" t="s">
        <v>4602</v>
      </c>
      <c r="F851" s="95">
        <v>5</v>
      </c>
      <c r="G851" s="95">
        <v>34</v>
      </c>
      <c r="I851" s="95">
        <v>8.1051612903225809</v>
      </c>
      <c r="AJ851" s="95" t="s">
        <v>71</v>
      </c>
      <c r="AK851" s="95" t="s">
        <v>71</v>
      </c>
    </row>
    <row r="852" spans="1:37" x14ac:dyDescent="0.2">
      <c r="A852" s="95" t="s">
        <v>97</v>
      </c>
      <c r="C852" s="95" t="s">
        <v>4602</v>
      </c>
      <c r="F852" s="95">
        <v>5</v>
      </c>
      <c r="G852" s="95">
        <v>30</v>
      </c>
      <c r="I852" s="95">
        <v>8.4329999999999998</v>
      </c>
      <c r="AJ852" s="95" t="s">
        <v>71</v>
      </c>
      <c r="AK852" s="95" t="s">
        <v>71</v>
      </c>
    </row>
    <row r="853" spans="1:37" x14ac:dyDescent="0.2">
      <c r="A853" s="95" t="s">
        <v>97</v>
      </c>
      <c r="C853" s="95" t="s">
        <v>4602</v>
      </c>
      <c r="F853" s="95">
        <v>5</v>
      </c>
      <c r="G853" s="95">
        <v>30</v>
      </c>
      <c r="I853" s="95">
        <v>11.880952380952381</v>
      </c>
      <c r="AJ853" s="95" t="s">
        <v>71</v>
      </c>
      <c r="AK853" s="95" t="s">
        <v>71</v>
      </c>
    </row>
    <row r="854" spans="1:37" x14ac:dyDescent="0.2">
      <c r="A854" s="95" t="s">
        <v>97</v>
      </c>
      <c r="C854" s="95" t="s">
        <v>4602</v>
      </c>
      <c r="F854" s="95">
        <v>5</v>
      </c>
      <c r="G854" s="95">
        <v>35</v>
      </c>
      <c r="I854" s="95">
        <v>10.499750000000001</v>
      </c>
      <c r="AJ854" s="95" t="s">
        <v>71</v>
      </c>
      <c r="AK854" s="95" t="s">
        <v>71</v>
      </c>
    </row>
    <row r="855" spans="1:37" x14ac:dyDescent="0.2">
      <c r="A855" s="95" t="s">
        <v>97</v>
      </c>
      <c r="C855" s="95" t="s">
        <v>4602</v>
      </c>
      <c r="F855" s="95">
        <v>5</v>
      </c>
      <c r="G855" s="95">
        <v>30</v>
      </c>
      <c r="I855" s="95">
        <v>8.8337692307692315</v>
      </c>
      <c r="AJ855" s="95" t="s">
        <v>71</v>
      </c>
      <c r="AK855" s="95" t="s">
        <v>71</v>
      </c>
    </row>
    <row r="856" spans="1:37" x14ac:dyDescent="0.2">
      <c r="A856" s="95" t="s">
        <v>97</v>
      </c>
      <c r="C856" s="95" t="s">
        <v>4602</v>
      </c>
      <c r="F856" s="95">
        <v>5</v>
      </c>
      <c r="G856" s="95">
        <v>33</v>
      </c>
      <c r="I856" s="95">
        <v>9.1583333333333332</v>
      </c>
      <c r="AJ856" s="95" t="s">
        <v>71</v>
      </c>
      <c r="AK856" s="95" t="s">
        <v>71</v>
      </c>
    </row>
    <row r="857" spans="1:37" x14ac:dyDescent="0.2">
      <c r="A857" s="95" t="s">
        <v>97</v>
      </c>
      <c r="C857" s="95" t="s">
        <v>4602</v>
      </c>
      <c r="F857" s="95">
        <v>5</v>
      </c>
      <c r="G857" s="95">
        <v>27.400000000000002</v>
      </c>
      <c r="I857" s="95">
        <v>11.775</v>
      </c>
      <c r="AJ857" s="95" t="s">
        <v>71</v>
      </c>
      <c r="AK857" s="95" t="s">
        <v>71</v>
      </c>
    </row>
    <row r="858" spans="1:37" x14ac:dyDescent="0.2">
      <c r="A858" s="95" t="s">
        <v>97</v>
      </c>
      <c r="C858" s="95" t="s">
        <v>4602</v>
      </c>
      <c r="F858" s="95">
        <v>5</v>
      </c>
      <c r="G858" s="95">
        <v>27.400000000000002</v>
      </c>
      <c r="I858" s="95">
        <v>11.7775</v>
      </c>
      <c r="AJ858" s="95" t="s">
        <v>71</v>
      </c>
      <c r="AK858" s="95" t="s">
        <v>71</v>
      </c>
    </row>
    <row r="859" spans="1:37" x14ac:dyDescent="0.2">
      <c r="A859" s="95" t="s">
        <v>97</v>
      </c>
      <c r="C859" s="95" t="s">
        <v>4602</v>
      </c>
      <c r="F859" s="95">
        <v>5</v>
      </c>
      <c r="G859" s="95">
        <v>30</v>
      </c>
      <c r="I859" s="95">
        <v>8.379032258064516</v>
      </c>
      <c r="AJ859" s="95" t="s">
        <v>71</v>
      </c>
      <c r="AK859" s="95" t="s">
        <v>71</v>
      </c>
    </row>
    <row r="860" spans="1:37" x14ac:dyDescent="0.2">
      <c r="A860" s="95" t="s">
        <v>97</v>
      </c>
      <c r="C860" s="95" t="s">
        <v>4602</v>
      </c>
      <c r="F860" s="95">
        <v>5</v>
      </c>
      <c r="G860" s="95">
        <v>33</v>
      </c>
      <c r="I860" s="95">
        <v>14.975000000000001</v>
      </c>
      <c r="AJ860" s="95" t="s">
        <v>71</v>
      </c>
      <c r="AK860" s="95" t="s">
        <v>71</v>
      </c>
    </row>
    <row r="861" spans="1:37" x14ac:dyDescent="0.2">
      <c r="A861" s="95" t="s">
        <v>97</v>
      </c>
      <c r="C861" s="95" t="s">
        <v>4602</v>
      </c>
      <c r="F861" s="95">
        <v>5</v>
      </c>
      <c r="G861" s="95">
        <v>30</v>
      </c>
      <c r="I861" s="95">
        <v>11.975</v>
      </c>
      <c r="AJ861" s="95" t="s">
        <v>71</v>
      </c>
      <c r="AK861" s="95" t="s">
        <v>71</v>
      </c>
    </row>
    <row r="862" spans="1:37" x14ac:dyDescent="0.2">
      <c r="A862" s="95" t="s">
        <v>97</v>
      </c>
      <c r="C862" s="95" t="s">
        <v>4602</v>
      </c>
      <c r="F862" s="95">
        <v>5</v>
      </c>
      <c r="G862" s="95">
        <v>33</v>
      </c>
      <c r="I862" s="95">
        <v>20.40909090909091</v>
      </c>
      <c r="AJ862" s="95" t="s">
        <v>71</v>
      </c>
      <c r="AK862" s="95" t="s">
        <v>71</v>
      </c>
    </row>
    <row r="863" spans="1:37" x14ac:dyDescent="0.2">
      <c r="A863" s="95" t="s">
        <v>97</v>
      </c>
      <c r="C863" s="95" t="s">
        <v>4602</v>
      </c>
      <c r="F863" s="95">
        <v>5</v>
      </c>
      <c r="G863" s="95">
        <v>30</v>
      </c>
      <c r="I863" s="95">
        <v>8.9321774193548382</v>
      </c>
      <c r="AJ863" s="95" t="s">
        <v>71</v>
      </c>
      <c r="AK863" s="95" t="s">
        <v>71</v>
      </c>
    </row>
    <row r="864" spans="1:37" x14ac:dyDescent="0.2">
      <c r="A864" s="95" t="s">
        <v>97</v>
      </c>
      <c r="C864" s="95" t="s">
        <v>4602</v>
      </c>
      <c r="F864" s="95">
        <v>5</v>
      </c>
      <c r="G864" s="95">
        <v>34.449999999999996</v>
      </c>
      <c r="I864" s="95">
        <v>22.458333333333332</v>
      </c>
      <c r="AJ864" s="95" t="s">
        <v>71</v>
      </c>
      <c r="AK864" s="95" t="s">
        <v>71</v>
      </c>
    </row>
    <row r="865" spans="1:37" x14ac:dyDescent="0.2">
      <c r="A865" s="95" t="s">
        <v>97</v>
      </c>
      <c r="C865" s="95" t="s">
        <v>4602</v>
      </c>
      <c r="F865" s="95">
        <v>5</v>
      </c>
      <c r="G865" s="95">
        <v>35</v>
      </c>
      <c r="I865" s="95">
        <v>9.9750000000000014</v>
      </c>
      <c r="AJ865" s="95" t="s">
        <v>71</v>
      </c>
      <c r="AK865" s="95" t="s">
        <v>71</v>
      </c>
    </row>
    <row r="866" spans="1:37" x14ac:dyDescent="0.2">
      <c r="A866" s="95" t="s">
        <v>97</v>
      </c>
      <c r="C866" s="95" t="s">
        <v>4602</v>
      </c>
      <c r="F866" s="95">
        <v>5</v>
      </c>
      <c r="G866" s="95">
        <v>35</v>
      </c>
      <c r="I866" s="95">
        <v>7.4916666666666663</v>
      </c>
      <c r="AJ866" s="95" t="s">
        <v>71</v>
      </c>
      <c r="AK866" s="95" t="s">
        <v>71</v>
      </c>
    </row>
    <row r="867" spans="1:37" x14ac:dyDescent="0.2">
      <c r="A867" s="95" t="s">
        <v>97</v>
      </c>
      <c r="C867" s="95" t="s">
        <v>4602</v>
      </c>
      <c r="F867" s="95">
        <v>5</v>
      </c>
      <c r="G867" s="95">
        <v>33</v>
      </c>
      <c r="I867" s="95">
        <v>17.572000000000003</v>
      </c>
      <c r="AJ867" s="95" t="s">
        <v>71</v>
      </c>
      <c r="AK867" s="95" t="s">
        <v>71</v>
      </c>
    </row>
    <row r="868" spans="1:37" x14ac:dyDescent="0.2">
      <c r="A868" s="95" t="s">
        <v>97</v>
      </c>
      <c r="C868" s="95" t="s">
        <v>4602</v>
      </c>
      <c r="F868" s="95">
        <v>5</v>
      </c>
      <c r="G868" s="95">
        <v>30.5</v>
      </c>
      <c r="I868" s="95">
        <v>18.850000000000001</v>
      </c>
      <c r="AJ868" s="95" t="s">
        <v>71</v>
      </c>
      <c r="AK868" s="95" t="s">
        <v>71</v>
      </c>
    </row>
    <row r="869" spans="1:37" x14ac:dyDescent="0.2">
      <c r="A869" s="95" t="s">
        <v>97</v>
      </c>
      <c r="C869" s="95" t="s">
        <v>4602</v>
      </c>
      <c r="F869" s="95">
        <v>5</v>
      </c>
      <c r="G869" s="95">
        <v>31</v>
      </c>
      <c r="I869" s="95">
        <v>12.333333333333334</v>
      </c>
      <c r="AJ869" s="95" t="s">
        <v>71</v>
      </c>
      <c r="AK869" s="95" t="s">
        <v>71</v>
      </c>
    </row>
    <row r="870" spans="1:37" x14ac:dyDescent="0.2">
      <c r="A870" s="95" t="s">
        <v>97</v>
      </c>
      <c r="C870" s="95" t="s">
        <v>4602</v>
      </c>
      <c r="F870" s="95">
        <v>5</v>
      </c>
      <c r="G870" s="95">
        <v>31</v>
      </c>
      <c r="I870" s="95">
        <v>9.4878048780487809</v>
      </c>
      <c r="AJ870" s="95" t="s">
        <v>71</v>
      </c>
      <c r="AK870" s="95" t="s">
        <v>71</v>
      </c>
    </row>
    <row r="871" spans="1:37" x14ac:dyDescent="0.2">
      <c r="A871" s="95" t="s">
        <v>97</v>
      </c>
      <c r="C871" s="95" t="s">
        <v>4602</v>
      </c>
      <c r="F871" s="95">
        <v>5</v>
      </c>
      <c r="G871" s="95">
        <v>31</v>
      </c>
      <c r="I871" s="95">
        <v>6.6033057851239674</v>
      </c>
      <c r="AJ871" s="95" t="s">
        <v>71</v>
      </c>
      <c r="AK871" s="95" t="s">
        <v>71</v>
      </c>
    </row>
    <row r="872" spans="1:37" x14ac:dyDescent="0.2">
      <c r="A872" s="95" t="s">
        <v>97</v>
      </c>
      <c r="C872" s="95" t="s">
        <v>4602</v>
      </c>
      <c r="F872" s="95">
        <v>5</v>
      </c>
      <c r="G872" s="95">
        <v>31</v>
      </c>
      <c r="I872" s="95">
        <v>8.7560975609756095</v>
      </c>
      <c r="AJ872" s="95" t="s">
        <v>71</v>
      </c>
      <c r="AK872" s="95" t="s">
        <v>71</v>
      </c>
    </row>
    <row r="873" spans="1:37" x14ac:dyDescent="0.2">
      <c r="A873" s="95" t="s">
        <v>97</v>
      </c>
      <c r="C873" s="95" t="s">
        <v>4602</v>
      </c>
      <c r="F873" s="95">
        <v>5</v>
      </c>
      <c r="G873" s="95">
        <v>31</v>
      </c>
      <c r="I873" s="95">
        <v>6.1074380165289259</v>
      </c>
      <c r="AJ873" s="95" t="s">
        <v>71</v>
      </c>
      <c r="AK873" s="95" t="s">
        <v>71</v>
      </c>
    </row>
    <row r="874" spans="1:37" x14ac:dyDescent="0.2">
      <c r="A874" s="95" t="s">
        <v>97</v>
      </c>
      <c r="C874" s="95" t="s">
        <v>4602</v>
      </c>
      <c r="F874" s="95">
        <v>5</v>
      </c>
      <c r="G874" s="95">
        <v>32.5</v>
      </c>
      <c r="I874" s="95">
        <v>22.416666666666668</v>
      </c>
      <c r="AJ874" s="95" t="s">
        <v>71</v>
      </c>
      <c r="AK874" s="95" t="s">
        <v>71</v>
      </c>
    </row>
    <row r="875" spans="1:37" x14ac:dyDescent="0.2">
      <c r="A875" s="95" t="s">
        <v>97</v>
      </c>
      <c r="C875" s="95" t="s">
        <v>4602</v>
      </c>
      <c r="F875" s="95">
        <v>5</v>
      </c>
      <c r="G875" s="95">
        <v>32.5</v>
      </c>
      <c r="I875" s="95">
        <v>12.632352941176471</v>
      </c>
      <c r="AJ875" s="95" t="s">
        <v>71</v>
      </c>
      <c r="AK875" s="95" t="s">
        <v>71</v>
      </c>
    </row>
    <row r="876" spans="1:37" x14ac:dyDescent="0.2">
      <c r="A876" s="95" t="s">
        <v>97</v>
      </c>
      <c r="C876" s="95" t="s">
        <v>4602</v>
      </c>
      <c r="F876" s="95">
        <v>5</v>
      </c>
      <c r="G876" s="95">
        <v>33</v>
      </c>
      <c r="I876" s="95">
        <v>19.791666666666668</v>
      </c>
      <c r="AJ876" s="95" t="s">
        <v>71</v>
      </c>
      <c r="AK876" s="95" t="s">
        <v>71</v>
      </c>
    </row>
    <row r="877" spans="1:37" x14ac:dyDescent="0.2">
      <c r="A877" s="95" t="s">
        <v>97</v>
      </c>
      <c r="C877" s="95" t="s">
        <v>4602</v>
      </c>
      <c r="F877" s="95">
        <v>5</v>
      </c>
      <c r="G877" s="95">
        <v>33</v>
      </c>
      <c r="I877" s="95">
        <v>9.7249999999999996</v>
      </c>
      <c r="AJ877" s="95" t="s">
        <v>71</v>
      </c>
      <c r="AK877" s="95" t="s">
        <v>71</v>
      </c>
    </row>
    <row r="878" spans="1:37" x14ac:dyDescent="0.2">
      <c r="A878" s="95" t="s">
        <v>97</v>
      </c>
      <c r="C878" s="95" t="s">
        <v>4602</v>
      </c>
      <c r="F878" s="95">
        <v>5</v>
      </c>
      <c r="G878" s="95">
        <v>35</v>
      </c>
      <c r="I878" s="95">
        <v>7.3250000000000002</v>
      </c>
      <c r="AJ878" s="95" t="s">
        <v>71</v>
      </c>
      <c r="AK878" s="95" t="s">
        <v>71</v>
      </c>
    </row>
    <row r="879" spans="1:37" x14ac:dyDescent="0.2">
      <c r="A879" s="95" t="s">
        <v>97</v>
      </c>
      <c r="C879" s="95" t="s">
        <v>4602</v>
      </c>
      <c r="F879" s="95">
        <v>5</v>
      </c>
      <c r="G879" s="95">
        <v>33</v>
      </c>
      <c r="I879" s="95">
        <v>12.227272727272727</v>
      </c>
      <c r="AJ879" s="95" t="s">
        <v>71</v>
      </c>
      <c r="AK879" s="95" t="s">
        <v>71</v>
      </c>
    </row>
    <row r="880" spans="1:37" x14ac:dyDescent="0.2">
      <c r="A880" s="95" t="s">
        <v>97</v>
      </c>
      <c r="C880" s="95" t="s">
        <v>4602</v>
      </c>
      <c r="F880" s="95">
        <v>5</v>
      </c>
      <c r="G880" s="95">
        <v>33</v>
      </c>
      <c r="I880" s="95">
        <v>9.9750000000000014</v>
      </c>
      <c r="AJ880" s="95" t="s">
        <v>71</v>
      </c>
      <c r="AK880" s="95" t="s">
        <v>71</v>
      </c>
    </row>
    <row r="881" spans="1:37" x14ac:dyDescent="0.2">
      <c r="A881" s="95" t="s">
        <v>97</v>
      </c>
      <c r="C881" s="95" t="s">
        <v>4602</v>
      </c>
      <c r="F881" s="95">
        <v>5</v>
      </c>
      <c r="G881" s="95">
        <v>33</v>
      </c>
      <c r="I881" s="95">
        <v>6.6583333333333341</v>
      </c>
      <c r="AJ881" s="95" t="s">
        <v>71</v>
      </c>
      <c r="AK881" s="95" t="s">
        <v>71</v>
      </c>
    </row>
    <row r="882" spans="1:37" x14ac:dyDescent="0.2">
      <c r="A882" s="95" t="s">
        <v>97</v>
      </c>
      <c r="C882" s="95" t="s">
        <v>4602</v>
      </c>
      <c r="F882" s="95">
        <v>6</v>
      </c>
      <c r="G882" s="95">
        <v>38.64</v>
      </c>
      <c r="I882" s="95">
        <v>11.67</v>
      </c>
      <c r="AJ882" s="95" t="s">
        <v>71</v>
      </c>
      <c r="AK882" s="95" t="s">
        <v>71</v>
      </c>
    </row>
    <row r="883" spans="1:37" x14ac:dyDescent="0.2">
      <c r="A883" s="95" t="s">
        <v>97</v>
      </c>
      <c r="C883" s="95" t="s">
        <v>4602</v>
      </c>
      <c r="F883" s="95">
        <v>6</v>
      </c>
      <c r="G883" s="95">
        <v>36</v>
      </c>
      <c r="I883" s="95">
        <v>11.67</v>
      </c>
      <c r="AJ883" s="95" t="s">
        <v>71</v>
      </c>
      <c r="AK883" s="95" t="s">
        <v>71</v>
      </c>
    </row>
    <row r="884" spans="1:37" x14ac:dyDescent="0.2">
      <c r="A884" s="95" t="s">
        <v>97</v>
      </c>
      <c r="C884" s="95" t="s">
        <v>4602</v>
      </c>
      <c r="F884" s="95">
        <v>6</v>
      </c>
      <c r="G884" s="95">
        <v>40.799999999999997</v>
      </c>
      <c r="I884" s="95">
        <v>9.9948923076923073</v>
      </c>
      <c r="AJ884" s="95" t="s">
        <v>71</v>
      </c>
      <c r="AK884" s="95" t="s">
        <v>71</v>
      </c>
    </row>
    <row r="885" spans="1:37" x14ac:dyDescent="0.2">
      <c r="A885" s="95" t="s">
        <v>97</v>
      </c>
      <c r="C885" s="95" t="s">
        <v>4602</v>
      </c>
      <c r="F885" s="95">
        <v>6</v>
      </c>
      <c r="G885" s="95">
        <v>33</v>
      </c>
      <c r="I885" s="95">
        <v>13.241428571428571</v>
      </c>
      <c r="AJ885" s="95" t="s">
        <v>71</v>
      </c>
      <c r="AK885" s="95" t="s">
        <v>71</v>
      </c>
    </row>
    <row r="886" spans="1:37" x14ac:dyDescent="0.2">
      <c r="A886" s="95" t="s">
        <v>97</v>
      </c>
      <c r="C886" s="95" t="s">
        <v>4602</v>
      </c>
      <c r="F886" s="95">
        <v>6</v>
      </c>
      <c r="G886" s="95">
        <v>40.799999999999997</v>
      </c>
      <c r="I886" s="95">
        <v>9.9876923076923081</v>
      </c>
      <c r="AJ886" s="95" t="s">
        <v>71</v>
      </c>
      <c r="AK886" s="95" t="s">
        <v>71</v>
      </c>
    </row>
    <row r="887" spans="1:37" x14ac:dyDescent="0.2">
      <c r="A887" s="95" t="s">
        <v>97</v>
      </c>
      <c r="C887" s="95" t="s">
        <v>4602</v>
      </c>
      <c r="F887" s="95">
        <v>6</v>
      </c>
      <c r="G887" s="95">
        <v>40.799999999999997</v>
      </c>
      <c r="I887" s="95">
        <v>13.028571428571428</v>
      </c>
      <c r="AJ887" s="95" t="s">
        <v>71</v>
      </c>
      <c r="AK887" s="95" t="s">
        <v>71</v>
      </c>
    </row>
    <row r="888" spans="1:37" x14ac:dyDescent="0.2">
      <c r="A888" s="95" t="s">
        <v>97</v>
      </c>
      <c r="C888" s="95" t="s">
        <v>4602</v>
      </c>
      <c r="F888" s="95">
        <v>6</v>
      </c>
      <c r="G888" s="95">
        <v>40.799999999999997</v>
      </c>
      <c r="I888" s="95">
        <v>30.489999999999995</v>
      </c>
      <c r="AJ888" s="95" t="s">
        <v>71</v>
      </c>
      <c r="AK888" s="95" t="s">
        <v>71</v>
      </c>
    </row>
    <row r="889" spans="1:37" x14ac:dyDescent="0.2">
      <c r="A889" s="95" t="s">
        <v>97</v>
      </c>
      <c r="C889" s="95" t="s">
        <v>4602</v>
      </c>
      <c r="F889" s="95">
        <v>6</v>
      </c>
      <c r="G889" s="95">
        <v>40.799999999999997</v>
      </c>
      <c r="I889" s="95">
        <v>9.726193548387096</v>
      </c>
      <c r="AJ889" s="95" t="s">
        <v>71</v>
      </c>
      <c r="AK889" s="95" t="s">
        <v>71</v>
      </c>
    </row>
    <row r="890" spans="1:37" x14ac:dyDescent="0.2">
      <c r="A890" s="95" t="s">
        <v>97</v>
      </c>
      <c r="C890" s="95" t="s">
        <v>4602</v>
      </c>
      <c r="F890" s="95">
        <v>6</v>
      </c>
      <c r="G890" s="95">
        <v>36</v>
      </c>
      <c r="I890" s="95">
        <v>10.119599999999998</v>
      </c>
      <c r="AJ890" s="95" t="s">
        <v>71</v>
      </c>
      <c r="AK890" s="95" t="s">
        <v>71</v>
      </c>
    </row>
    <row r="891" spans="1:37" x14ac:dyDescent="0.2">
      <c r="A891" s="95" t="s">
        <v>97</v>
      </c>
      <c r="C891" s="95" t="s">
        <v>4602</v>
      </c>
      <c r="F891" s="95">
        <v>6</v>
      </c>
      <c r="G891" s="95">
        <v>36</v>
      </c>
      <c r="I891" s="95">
        <v>14.257142857142856</v>
      </c>
      <c r="AJ891" s="95" t="s">
        <v>71</v>
      </c>
      <c r="AK891" s="95" t="s">
        <v>71</v>
      </c>
    </row>
    <row r="892" spans="1:37" x14ac:dyDescent="0.2">
      <c r="A892" s="95" t="s">
        <v>97</v>
      </c>
      <c r="C892" s="95" t="s">
        <v>4602</v>
      </c>
      <c r="F892" s="95">
        <v>6</v>
      </c>
      <c r="G892" s="95">
        <v>42</v>
      </c>
      <c r="I892" s="95">
        <v>12.599700000000002</v>
      </c>
      <c r="AJ892" s="95" t="s">
        <v>71</v>
      </c>
      <c r="AK892" s="95" t="s">
        <v>71</v>
      </c>
    </row>
    <row r="893" spans="1:37" x14ac:dyDescent="0.2">
      <c r="A893" s="95" t="s">
        <v>97</v>
      </c>
      <c r="C893" s="95" t="s">
        <v>4602</v>
      </c>
      <c r="F893" s="95">
        <v>6</v>
      </c>
      <c r="G893" s="95">
        <v>36</v>
      </c>
      <c r="I893" s="95">
        <v>10.600523076923078</v>
      </c>
      <c r="AJ893" s="95" t="s">
        <v>71</v>
      </c>
      <c r="AK893" s="95" t="s">
        <v>71</v>
      </c>
    </row>
    <row r="894" spans="1:37" x14ac:dyDescent="0.2">
      <c r="A894" s="95" t="s">
        <v>97</v>
      </c>
      <c r="C894" s="95" t="s">
        <v>4602</v>
      </c>
      <c r="F894" s="95">
        <v>6</v>
      </c>
      <c r="G894" s="95">
        <v>39.599999999999994</v>
      </c>
      <c r="I894" s="95">
        <v>10.99</v>
      </c>
      <c r="AJ894" s="95" t="s">
        <v>71</v>
      </c>
      <c r="AK894" s="95" t="s">
        <v>71</v>
      </c>
    </row>
    <row r="895" spans="1:37" x14ac:dyDescent="0.2">
      <c r="A895" s="95" t="s">
        <v>97</v>
      </c>
      <c r="C895" s="95" t="s">
        <v>4602</v>
      </c>
      <c r="F895" s="95">
        <v>6</v>
      </c>
      <c r="G895" s="95">
        <v>32.880000000000003</v>
      </c>
      <c r="I895" s="95">
        <v>14.129999999999999</v>
      </c>
      <c r="AJ895" s="95" t="s">
        <v>71</v>
      </c>
      <c r="AK895" s="95" t="s">
        <v>71</v>
      </c>
    </row>
    <row r="896" spans="1:37" x14ac:dyDescent="0.2">
      <c r="A896" s="95" t="s">
        <v>97</v>
      </c>
      <c r="C896" s="95" t="s">
        <v>4602</v>
      </c>
      <c r="F896" s="95">
        <v>6</v>
      </c>
      <c r="G896" s="95">
        <v>32.880000000000003</v>
      </c>
      <c r="I896" s="95">
        <v>14.133000000000001</v>
      </c>
      <c r="AJ896" s="95" t="s">
        <v>71</v>
      </c>
      <c r="AK896" s="95" t="s">
        <v>71</v>
      </c>
    </row>
    <row r="897" spans="1:37" x14ac:dyDescent="0.2">
      <c r="A897" s="95" t="s">
        <v>97</v>
      </c>
      <c r="C897" s="95" t="s">
        <v>4602</v>
      </c>
      <c r="F897" s="95">
        <v>6</v>
      </c>
      <c r="G897" s="95">
        <v>36</v>
      </c>
      <c r="I897" s="95">
        <v>10.054838709677419</v>
      </c>
      <c r="AJ897" s="95" t="s">
        <v>71</v>
      </c>
      <c r="AK897" s="95" t="s">
        <v>71</v>
      </c>
    </row>
    <row r="898" spans="1:37" x14ac:dyDescent="0.2">
      <c r="A898" s="95" t="s">
        <v>97</v>
      </c>
      <c r="C898" s="95" t="s">
        <v>4602</v>
      </c>
      <c r="F898" s="95">
        <v>6</v>
      </c>
      <c r="G898" s="95">
        <v>39.599999999999994</v>
      </c>
      <c r="I898" s="95">
        <v>17.97</v>
      </c>
      <c r="AJ898" s="95" t="s">
        <v>71</v>
      </c>
      <c r="AK898" s="95" t="s">
        <v>71</v>
      </c>
    </row>
    <row r="899" spans="1:37" x14ac:dyDescent="0.2">
      <c r="A899" s="95" t="s">
        <v>97</v>
      </c>
      <c r="C899" s="95" t="s">
        <v>4602</v>
      </c>
      <c r="F899" s="95">
        <v>6</v>
      </c>
      <c r="G899" s="95">
        <v>36</v>
      </c>
      <c r="I899" s="95">
        <v>14.370000000000001</v>
      </c>
      <c r="AJ899" s="95" t="s">
        <v>71</v>
      </c>
      <c r="AK899" s="95" t="s">
        <v>71</v>
      </c>
    </row>
    <row r="900" spans="1:37" x14ac:dyDescent="0.2">
      <c r="A900" s="95" t="s">
        <v>97</v>
      </c>
      <c r="C900" s="95" t="s">
        <v>4602</v>
      </c>
      <c r="F900" s="95">
        <v>6</v>
      </c>
      <c r="G900" s="95">
        <v>39.599999999999994</v>
      </c>
      <c r="I900" s="95">
        <v>24.490909090909092</v>
      </c>
      <c r="AJ900" s="95" t="s">
        <v>71</v>
      </c>
      <c r="AK900" s="95" t="s">
        <v>71</v>
      </c>
    </row>
    <row r="901" spans="1:37" x14ac:dyDescent="0.2">
      <c r="A901" s="95" t="s">
        <v>97</v>
      </c>
      <c r="C901" s="95" t="s">
        <v>4602</v>
      </c>
      <c r="F901" s="95">
        <v>6</v>
      </c>
      <c r="G901" s="95">
        <v>36</v>
      </c>
      <c r="I901" s="95">
        <v>10.718612903225806</v>
      </c>
      <c r="AJ901" s="95" t="s">
        <v>71</v>
      </c>
      <c r="AK901" s="95" t="s">
        <v>71</v>
      </c>
    </row>
    <row r="902" spans="1:37" x14ac:dyDescent="0.2">
      <c r="A902" s="95" t="s">
        <v>97</v>
      </c>
      <c r="C902" s="95" t="s">
        <v>4602</v>
      </c>
      <c r="F902" s="95">
        <v>6</v>
      </c>
      <c r="G902" s="95">
        <v>41.339999999999996</v>
      </c>
      <c r="I902" s="95">
        <v>26.949999999999996</v>
      </c>
      <c r="AJ902" s="95" t="s">
        <v>71</v>
      </c>
      <c r="AK902" s="95" t="s">
        <v>71</v>
      </c>
    </row>
    <row r="903" spans="1:37" x14ac:dyDescent="0.2">
      <c r="A903" s="95" t="s">
        <v>97</v>
      </c>
      <c r="C903" s="95" t="s">
        <v>4602</v>
      </c>
      <c r="F903" s="95">
        <v>6</v>
      </c>
      <c r="G903" s="95">
        <v>42</v>
      </c>
      <c r="I903" s="95">
        <v>11.97</v>
      </c>
      <c r="AJ903" s="95" t="s">
        <v>71</v>
      </c>
      <c r="AK903" s="95" t="s">
        <v>71</v>
      </c>
    </row>
    <row r="904" spans="1:37" x14ac:dyDescent="0.2">
      <c r="A904" s="95" t="s">
        <v>97</v>
      </c>
      <c r="C904" s="95" t="s">
        <v>4602</v>
      </c>
      <c r="F904" s="95">
        <v>6</v>
      </c>
      <c r="G904" s="95">
        <v>42</v>
      </c>
      <c r="I904" s="95">
        <v>8.99</v>
      </c>
      <c r="AJ904" s="95" t="s">
        <v>71</v>
      </c>
      <c r="AK904" s="95" t="s">
        <v>71</v>
      </c>
    </row>
    <row r="905" spans="1:37" x14ac:dyDescent="0.2">
      <c r="A905" s="95" t="s">
        <v>97</v>
      </c>
      <c r="C905" s="95" t="s">
        <v>4602</v>
      </c>
      <c r="F905" s="95">
        <v>6</v>
      </c>
      <c r="G905" s="95">
        <v>39.599999999999994</v>
      </c>
      <c r="I905" s="95">
        <v>21.086400000000001</v>
      </c>
      <c r="AJ905" s="95" t="s">
        <v>71</v>
      </c>
      <c r="AK905" s="95" t="s">
        <v>71</v>
      </c>
    </row>
    <row r="906" spans="1:37" x14ac:dyDescent="0.2">
      <c r="A906" s="95" t="s">
        <v>97</v>
      </c>
      <c r="C906" s="95" t="s">
        <v>4602</v>
      </c>
      <c r="F906" s="95">
        <v>6</v>
      </c>
      <c r="G906" s="95">
        <v>36.599999999999994</v>
      </c>
      <c r="I906" s="95">
        <v>22.62</v>
      </c>
      <c r="AJ906" s="95" t="s">
        <v>71</v>
      </c>
      <c r="AK906" s="95" t="s">
        <v>71</v>
      </c>
    </row>
    <row r="907" spans="1:37" x14ac:dyDescent="0.2">
      <c r="A907" s="95" t="s">
        <v>97</v>
      </c>
      <c r="C907" s="95" t="s">
        <v>4602</v>
      </c>
      <c r="F907" s="95">
        <v>6</v>
      </c>
      <c r="G907" s="95">
        <v>37.200000000000003</v>
      </c>
      <c r="I907" s="95">
        <v>14.8</v>
      </c>
      <c r="AJ907" s="95" t="s">
        <v>71</v>
      </c>
      <c r="AK907" s="95" t="s">
        <v>71</v>
      </c>
    </row>
    <row r="908" spans="1:37" x14ac:dyDescent="0.2">
      <c r="A908" s="95" t="s">
        <v>97</v>
      </c>
      <c r="C908" s="95" t="s">
        <v>4602</v>
      </c>
      <c r="F908" s="95">
        <v>6</v>
      </c>
      <c r="G908" s="95">
        <v>37.200000000000003</v>
      </c>
      <c r="I908" s="95">
        <v>11.385365853658536</v>
      </c>
      <c r="AJ908" s="95" t="s">
        <v>71</v>
      </c>
      <c r="AK908" s="95" t="s">
        <v>71</v>
      </c>
    </row>
    <row r="909" spans="1:37" x14ac:dyDescent="0.2">
      <c r="A909" s="95" t="s">
        <v>97</v>
      </c>
      <c r="C909" s="95" t="s">
        <v>4602</v>
      </c>
      <c r="F909" s="95">
        <v>6</v>
      </c>
      <c r="G909" s="95">
        <v>37.200000000000003</v>
      </c>
      <c r="I909" s="95">
        <v>7.9239669421487609</v>
      </c>
      <c r="AJ909" s="95" t="s">
        <v>71</v>
      </c>
      <c r="AK909" s="95" t="s">
        <v>71</v>
      </c>
    </row>
    <row r="910" spans="1:37" x14ac:dyDescent="0.2">
      <c r="A910" s="95" t="s">
        <v>97</v>
      </c>
      <c r="C910" s="95" t="s">
        <v>4602</v>
      </c>
      <c r="F910" s="95">
        <v>6</v>
      </c>
      <c r="G910" s="95">
        <v>37.200000000000003</v>
      </c>
      <c r="I910" s="95">
        <v>10.507317073170732</v>
      </c>
      <c r="AJ910" s="95" t="s">
        <v>71</v>
      </c>
      <c r="AK910" s="95" t="s">
        <v>71</v>
      </c>
    </row>
    <row r="911" spans="1:37" x14ac:dyDescent="0.2">
      <c r="A911" s="95" t="s">
        <v>97</v>
      </c>
      <c r="C911" s="95" t="s">
        <v>4602</v>
      </c>
      <c r="F911" s="95">
        <v>6</v>
      </c>
      <c r="G911" s="95">
        <v>37.200000000000003</v>
      </c>
      <c r="I911" s="95">
        <v>7.3289256198347106</v>
      </c>
      <c r="AJ911" s="95" t="s">
        <v>71</v>
      </c>
      <c r="AK911" s="95" t="s">
        <v>71</v>
      </c>
    </row>
    <row r="912" spans="1:37" x14ac:dyDescent="0.2">
      <c r="A912" s="95" t="s">
        <v>97</v>
      </c>
      <c r="C912" s="95" t="s">
        <v>4602</v>
      </c>
      <c r="F912" s="95">
        <v>6</v>
      </c>
      <c r="G912" s="95">
        <v>39</v>
      </c>
      <c r="I912" s="95">
        <v>26.9</v>
      </c>
      <c r="AJ912" s="95" t="s">
        <v>71</v>
      </c>
      <c r="AK912" s="95" t="s">
        <v>71</v>
      </c>
    </row>
    <row r="913" spans="1:37" x14ac:dyDescent="0.2">
      <c r="A913" s="95" t="s">
        <v>97</v>
      </c>
      <c r="C913" s="95" t="s">
        <v>4602</v>
      </c>
      <c r="F913" s="95">
        <v>6</v>
      </c>
      <c r="G913" s="95">
        <v>39</v>
      </c>
      <c r="I913" s="95">
        <v>15.158823529411764</v>
      </c>
      <c r="AJ913" s="95" t="s">
        <v>71</v>
      </c>
      <c r="AK913" s="95" t="s">
        <v>71</v>
      </c>
    </row>
    <row r="914" spans="1:37" x14ac:dyDescent="0.2">
      <c r="A914" s="95" t="s">
        <v>97</v>
      </c>
      <c r="C914" s="95" t="s">
        <v>4602</v>
      </c>
      <c r="F914" s="95">
        <v>6</v>
      </c>
      <c r="G914" s="95">
        <v>39.599999999999994</v>
      </c>
      <c r="I914" s="95">
        <v>23.75</v>
      </c>
      <c r="AJ914" s="95" t="s">
        <v>71</v>
      </c>
      <c r="AK914" s="95" t="s">
        <v>71</v>
      </c>
    </row>
    <row r="915" spans="1:37" x14ac:dyDescent="0.2">
      <c r="A915" s="95" t="s">
        <v>97</v>
      </c>
      <c r="C915" s="95" t="s">
        <v>4602</v>
      </c>
      <c r="F915" s="95">
        <v>6</v>
      </c>
      <c r="G915" s="95">
        <v>39.599999999999994</v>
      </c>
      <c r="I915" s="95">
        <v>11.67</v>
      </c>
      <c r="AJ915" s="95" t="s">
        <v>71</v>
      </c>
      <c r="AK915" s="95" t="s">
        <v>71</v>
      </c>
    </row>
    <row r="916" spans="1:37" x14ac:dyDescent="0.2">
      <c r="A916" s="95" t="s">
        <v>97</v>
      </c>
      <c r="C916" s="95" t="s">
        <v>4602</v>
      </c>
      <c r="F916" s="95">
        <v>6</v>
      </c>
      <c r="G916" s="95">
        <v>42</v>
      </c>
      <c r="I916" s="95">
        <v>8.7900000000000009</v>
      </c>
      <c r="AJ916" s="95" t="s">
        <v>71</v>
      </c>
      <c r="AK916" s="95" t="s">
        <v>71</v>
      </c>
    </row>
    <row r="917" spans="1:37" x14ac:dyDescent="0.2">
      <c r="A917" s="95" t="s">
        <v>97</v>
      </c>
      <c r="C917" s="95" t="s">
        <v>4602</v>
      </c>
      <c r="F917" s="95">
        <v>6</v>
      </c>
      <c r="G917" s="95">
        <v>39.599999999999994</v>
      </c>
      <c r="I917" s="95">
        <v>14.672727272727272</v>
      </c>
      <c r="AJ917" s="95" t="s">
        <v>71</v>
      </c>
      <c r="AK917" s="95" t="s">
        <v>71</v>
      </c>
    </row>
    <row r="918" spans="1:37" x14ac:dyDescent="0.2">
      <c r="A918" s="95" t="s">
        <v>97</v>
      </c>
      <c r="C918" s="95" t="s">
        <v>4602</v>
      </c>
      <c r="F918" s="95">
        <v>6</v>
      </c>
      <c r="G918" s="95">
        <v>39.599999999999994</v>
      </c>
      <c r="I918" s="95">
        <v>11.97</v>
      </c>
      <c r="AJ918" s="95" t="s">
        <v>71</v>
      </c>
      <c r="AK918" s="95" t="s">
        <v>71</v>
      </c>
    </row>
    <row r="919" spans="1:37" x14ac:dyDescent="0.2">
      <c r="A919" s="95" t="s">
        <v>97</v>
      </c>
      <c r="C919" s="95" t="s">
        <v>4602</v>
      </c>
      <c r="F919" s="95">
        <v>6</v>
      </c>
      <c r="G919" s="95">
        <v>39.599999999999994</v>
      </c>
      <c r="I919" s="95">
        <v>7.99</v>
      </c>
      <c r="AJ919" s="95" t="s">
        <v>71</v>
      </c>
      <c r="AK919" s="95" t="s">
        <v>71</v>
      </c>
    </row>
  </sheetData>
  <mergeCells count="1">
    <mergeCell ref="AS2:AT2"/>
  </mergeCells>
  <hyperlinks>
    <hyperlink ref="A1" location="'Table of Contents'!A1" display="Table of Contents" xr:uid="{F8B62797-34C8-41FD-9823-A848CB0B16D2}"/>
    <hyperlink ref="T128" r:id="rId1" xr:uid="{E46BA29D-3C63-471C-99F0-8EBD70D59296}"/>
    <hyperlink ref="T191" r:id="rId2" xr:uid="{66FBCB3E-5118-40A4-BEE4-39CC30B61213}"/>
    <hyperlink ref="T194" r:id="rId3" xr:uid="{1FF3709A-68E2-4654-9F3E-48FDA8D9D9A3}"/>
    <hyperlink ref="T594" r:id="rId4" xr:uid="{872D2F54-DB8C-46AB-9493-BF9C51734B60}"/>
    <hyperlink ref="T595" r:id="rId5" xr:uid="{216E93B0-3857-48C9-A891-315D52F5C3A3}"/>
    <hyperlink ref="T597" r:id="rId6" xr:uid="{6AB3E54D-58EE-4CB6-AA87-0A5786C9A18E}"/>
    <hyperlink ref="T596" r:id="rId7" xr:uid="{D4C1F1CB-C45A-4025-BAAD-F367CF5358FD}"/>
    <hyperlink ref="T598" r:id="rId8" xr:uid="{D48C0EAB-910C-4274-9136-2A9F01606E84}"/>
    <hyperlink ref="T599" r:id="rId9" xr:uid="{DED29964-80E6-45F5-87A6-883278A5C71F}"/>
    <hyperlink ref="T600" r:id="rId10" xr:uid="{F1C666D2-26B3-42B7-B166-94FE6F18813F}"/>
    <hyperlink ref="T601" r:id="rId11" xr:uid="{A13D0DC2-30D2-4F51-B0A8-2AA19995A915}"/>
    <hyperlink ref="T602" r:id="rId12" xr:uid="{9BA062FC-CD6D-4BCC-B110-A0781BB04030}"/>
    <hyperlink ref="T603" r:id="rId13" xr:uid="{5D014F1D-B4D2-46A9-B2B3-D134B16B218E}"/>
    <hyperlink ref="T604" r:id="rId14" xr:uid="{5E9407E5-C7CB-43D1-8C9A-3608D14E7064}"/>
    <hyperlink ref="T605" r:id="rId15" xr:uid="{DB03560B-B9AA-47F2-9296-ADFC1FCB824A}"/>
    <hyperlink ref="S606" r:id="rId16" display="https://www.lowes.com/pd/GreenFiber-R-19-Blown-In-Insulation-Sound-Barrier/3227256" xr:uid="{3A5742E6-0E9F-4FFB-80F5-94ED87B7CCA7}"/>
    <hyperlink ref="T606" r:id="rId17" xr:uid="{1CC41483-E5B4-462E-94F6-286059EA2D7A}"/>
    <hyperlink ref="T607" r:id="rId18" xr:uid="{EFF53736-70EB-4C1F-871F-E2364F36E1D2}"/>
    <hyperlink ref="T608" r:id="rId19" xr:uid="{2B417F16-F283-4A05-BFE5-8B3802E911C4}"/>
    <hyperlink ref="T454" r:id="rId20" display="https://www.menards.com/main/building-materials/insulation/foam-board-insulation/owens-corning-reg-foamular-reg-r-10-polystyrene-foam-board-insulation-2-x-4-x-8/270947/p-1444450502742-c-5779.htm?tid=9baba1a4-be69-4887-8280-3d29343dc7a1&amp;ipos=1&amp;exp=false" xr:uid="{1B6CA9C0-3C2B-4554-A12B-874ED2424AA6}"/>
    <hyperlink ref="T455" r:id="rId21" display="https://www.menards.com/main/building-materials/insulation/foam-board-insulation/owens-corning-reg-foamular-reg-r-10-polystyrene-foam-board-insulation-2-x-4-x-8/654956/p-1444450504310-c-5779.htm?tid=e7baaec4-a751-4990-b0a3-9c0104f3407f&amp;ipos=1&amp;exp=false" xr:uid="{7203394C-E6C3-4814-A5E2-CDA5A3656DEA}"/>
    <hyperlink ref="T456" r:id="rId22" display="https://www.menards.com/main/building-materials/insulation/foam-board-insulation/owens-corning-reg-foamular-reg-r-15-polystyrene-foam-board-insulation-3-x-4-x-8/798369/p-1444450494247-c-5779.htm?tid=a16906cc-f881-4fdb-88b6-201bb0030383&amp;ipos=3&amp;exp=false" xr:uid="{69A45180-D82D-46E2-8FBF-6EE6833031C1}"/>
    <hyperlink ref="T457" r:id="rId23" display="https://www.menards.com/main/building-materials/insulation/foam-board-insulation/owens-corning-reg-foamular-reg-r-20-polystyrene-foam-board-insulation-4-x-4-x-8/270879/p-1444450493765-c-5779.htm?tid=7bd87bb9-663f-414b-9e4f-92b1756964b3&amp;ipos=4&amp;exp=false" xr:uid="{0E9472C9-44CB-4717-82BA-7BEEA1915888}"/>
    <hyperlink ref="T458" r:id="rId24" display="https://www.menards.com/main/building-materials/insulation/foam-board-insulation/owens-corning-reg-foamular-reg-r-10-polystyrene-foam-board-insulation-2-x-4-x-8/270144/p-1444450492529-c-5779.htm?tid=9c2372a6-7d1f-48ea-8f10-8a3578586730&amp;ipos=5&amp;exp=false" xr:uid="{779276A3-E499-4DAD-89EC-28CDD075868D}"/>
    <hyperlink ref="T459" r:id="rId25" display="https://www.menards.com/main/building-materials/insulation/foam-board-insulation/owens-corning-reg-foamular-reg-r-4-polystyrene-foam-board-insulation-3-4-x-4-x-8/507827/p-1444450504009-c-5779.htm?tid=9c523c87-39fa-450c-82a3-81debfb16313&amp;ipos=6&amp;exp=false" xr:uid="{E7ED3736-EF92-4B6A-89D7-80EF983DC930}"/>
    <hyperlink ref="T467" r:id="rId26" display="https://www.menards.com/main/building-materials/insulation/foam-board-insulation/owens-corning-reg-foamular-reg-r-15-polystyrene-foam-board-insulation-3-x-4-x-8/270522/p-1444450495597-c-5779.htm?tid=bb9acd29-7649-4296-82ac-12991575bf2d&amp;ipos=17&amp;exp=false" xr:uid="{E3A54149-D388-4D32-B5D6-C4FE0CF225E4}"/>
    <hyperlink ref="T466" r:id="rId27" display="https://www.menards.com/main/building-materials/insulation/foam-board-insulation/owens-corning-reg-foamular-reg-r-7-5-polystyrene-foam-board-insulation-1-1-2-x-4-x-8/654955/p-1444450473323-c-5779.htm?tid=f88255c9-b0aa-4994-a2f7-a0c48083dd3e&amp;ipos=16&amp;exp=false" xr:uid="{EC2831BC-959B-4824-A1EE-FFF19DE4C418}"/>
    <hyperlink ref="T470" r:id="rId28" display="https://insulation.supply/product/foamular-600-2-x-4-ft-x-8-ft-r-10-squared-edge-insulation-sheathing/" xr:uid="{A9DE5E56-00D7-4272-8DC5-E0D48F3556E0}"/>
    <hyperlink ref="T460" r:id="rId29" xr:uid="{CE56FE30-6D3B-45A5-B1F8-51E480D8CB18}"/>
    <hyperlink ref="T461" r:id="rId30" display="https://www.menards.com/main/building-materials/insulation/foam-board-insulation/owens-corning-reg-foamular-reg-r-7-5-polystyrene-foam-board-insulation-1-1-2-x-4-x-8/270815/p-1444450490231-c-5779.htm?tid=77ae6c3c-fae5-4d36-b079-ede474c88c54&amp;ipos=10&amp;exp=false" xr:uid="{80DCE561-749C-4684-85FF-739021E0FA33}"/>
    <hyperlink ref="T462" r:id="rId31" xr:uid="{A5A6070C-5C19-4385-9D48-C9EE5FD17C14}"/>
    <hyperlink ref="T463" r:id="rId32" display="https://www.menards.com/main/building-materials/insulation/foam-board-insulation/owens-corning-reg-foamular-reg-r-12-5-polystyrene-foam-board-insulation-2-1-2-x-4-x-8/340570/p-1444450496636-c-5779.htm?tid=77ae6c3c-fae5-4d36-b079-ede474c88c54&amp;ipos=12&amp;exp=false" xr:uid="{1F7D8924-C79D-45EA-A2D2-339058140588}"/>
    <hyperlink ref="T464" r:id="rId33" xr:uid="{C7F8AA46-0085-4358-8E76-403085689FE8}"/>
    <hyperlink ref="T468" r:id="rId34" xr:uid="{B25AEE2D-08EA-4E87-928F-DBC4A3399F96}"/>
    <hyperlink ref="T469" r:id="rId35" xr:uid="{A0826F47-3997-4348-92D6-902B6CE58A2A}"/>
    <hyperlink ref="T471" r:id="rId36" display="https://insulation.supply/product/foamular-250-2-x-4-ft-x-8-ft-r-10-tongue-groove-edge-insulation-sheathing/" xr:uid="{3C0C149C-BA78-452C-A74B-02210949CAA9}"/>
    <hyperlink ref="T472" r:id="rId37" display="https://insulation.supply/product/foamular-1000-2-x-2-ft-x-8-ft-r-10-squared-edge-insulation-sheathing/" xr:uid="{6289EF19-A244-4695-85FF-F102011FBF1B}"/>
    <hyperlink ref="T473" r:id="rId38" display="https://insulation.supply/product/foamular-250-4-x-4-ft-x-8-ft-r-20-squared-edge-insulation-sheathing/" xr:uid="{5D1AC6BA-D2A7-4F85-B430-E3DFCBC4B109}"/>
    <hyperlink ref="T474" r:id="rId39" display="https://insulation.supply/product/foamular-250-2-x-4-ft-x-8-ft-r-10-squared-edge-insulation-sheathing/" xr:uid="{ADAD4373-602E-4EF5-9A31-485BC6D126C5}"/>
    <hyperlink ref="T475" r:id="rId40" display="https://insulation.supply/product/foamular-250-3-x-4-ft-x-8-ft-r-15-scored-squared-edge-insulation-sheathing/" xr:uid="{EBEA65F0-9890-46D8-8C97-594F48AB7838}"/>
    <hyperlink ref="T476" r:id="rId41" display="https://insulation.supply/product/foamular-150-1-x-4-ft-x-8-ft-r-5-scored-squared-edge-insulation-sheathing/" xr:uid="{A8A07940-A4D0-4346-8704-C5F444000B0D}"/>
    <hyperlink ref="T477" r:id="rId42" display="https://insulation.supply/product/foamular-150-1-5-x-4-ft-x-8-ft-r-7-5-scored-squared-edge-insulation-sheathing/" xr:uid="{6FDD835F-C1F8-4E6C-98D9-7FF8C1C2CDA1}"/>
    <hyperlink ref="T478" r:id="rId43" display="https://insulation.supply/product/foamular-400-2-x-4-ft-x-8-ft-r-10-squared-edge-insulation-sheathing/" xr:uid="{130FAD5A-6F02-42F8-AB51-9CE195AC19B2}"/>
    <hyperlink ref="T479" r:id="rId44" display="https://insulation.supply/product/foamular-400-3-x-4-ft-x-8-ft-r-15-squared-edge-insulation-sheathing/" xr:uid="{83B801CA-5482-4AA8-9A38-86E7368D5B01}"/>
    <hyperlink ref="T480" r:id="rId45" display="https://insulation.supply/product/foamular-400-1-x-2-ft-x-8-ft-r-5-squared-edge-insulation-sheathing/" xr:uid="{9F13A4BE-D950-4748-BFD0-A580C0BC3A80}"/>
    <hyperlink ref="T481" r:id="rId46" display="https://insulation.supply/product/foamular-1000-3-x-2-ft-x-8-ft-r-15-squared-edge-insulation-sheathing/" xr:uid="{A90C4D04-5DB0-4439-A5A4-A0A857844F9E}"/>
    <hyperlink ref="T482" r:id="rId47" display="https://insulation.supply/product/foamular-600-3-x-4-ft-x-8-ft-r-15-squared-edge-insulation-sheathing/" xr:uid="{30FD980A-CE2B-462B-BB8D-4CFC45383010}"/>
    <hyperlink ref="T483" r:id="rId48" display="https://insulation.supply/product/foamular-150-2-x-4-ft-x-8-ft-r-10-scored-square-edge-insulation-sheathing/" xr:uid="{63512995-3FE8-455C-8FA5-67F9A92A946A}"/>
    <hyperlink ref="T484" r:id="rId49" display="https://insulation.supply/product/foamular-150-1-x-4-ft-x-8-ft-r-5-tongue-groove-edge-insulation-sheathing/" xr:uid="{806ADE8F-3A4C-4E1E-B54D-6BB918B9CBD4}"/>
    <hyperlink ref="T485" r:id="rId50" display="https://insulation.supply/product/foamular-250-1-x-4-ft-x-8-ft-r-5-tongue-groove-edge-insulation-sheathing/" xr:uid="{24FDF7EA-72E1-4A6C-8310-D0BAB1BB65BF}"/>
    <hyperlink ref="T486" r:id="rId51" display="https://insulation.supply/product/foamular-thermapink-3-x-4-ft-x-8-ft-r-15-squared-edge-insulation-sheathing/" xr:uid="{AA04D6FA-A74E-40DB-B8D1-124EB0C53B4B}"/>
    <hyperlink ref="T487" r:id="rId52" display="https://insulation.supply/product/foamular-600-1-x-2-ft-x-8-ft-r-5-squared-edge-insulation-sheathing/" xr:uid="{6D7CD8CA-A331-4E36-B3F9-7E9391CAF9EC}"/>
    <hyperlink ref="T488" r:id="rId53" display="https://insulation.supply/product/foamular-250-2-x-4-ft-x-8-ft-r-10-scored-squared-edge-insulation-sheathing/" xr:uid="{B7C01505-4B7A-4F56-B3A9-CB695B6304B7}"/>
    <hyperlink ref="T489" r:id="rId54" display="https://insulation.supply/product/foamular-600-1-5-x-2-ft-x-8-ft-r-5-squared-edge-insulation-sheathing/" xr:uid="{D9856B3C-1BA3-40FE-9207-9EAEC75CD4E6}"/>
    <hyperlink ref="T490" r:id="rId55" display="https://insulation.supply/product/foamular-250-3-x-4-ft-x-8-ft-r-15-squared-edge-insulation-sheathing/" xr:uid="{0A98F64F-01DD-4DAE-A10B-1F5C55D69F93}"/>
    <hyperlink ref="T491" r:id="rId56" display="https://insulation.supply/product/foamular-250-1-5-x-4-ft-x-8-ft-r-7-5-squared-edge-insulation-sheathing/" xr:uid="{CF3D6E37-AA16-41FF-BE7C-542FF5C3206B}"/>
    <hyperlink ref="T492" r:id="rId57" display="https://insulation.supply/product/foamular-1000-1-5-x-2-ft-x-8-ft-r-7-5-squared-edge-insulation-sheathing/" xr:uid="{E859E7B2-5693-4903-BA04-5AA0564CBD34}"/>
    <hyperlink ref="T493" r:id="rId58" display="https://insulation.supply/product/fanfold-14-x-4-ft-x-50-ft-r-1-squared-edge-foam-residing-board/" xr:uid="{D434CBC4-ECA0-436A-A0E9-9E3AE51AC82D}"/>
    <hyperlink ref="T494" r:id="rId59" display="https://insulation.supply/product/foamular-250-1-x-4-ft-x-8-ft-r-5-squared-edge-insulation-sheathing/" xr:uid="{6A18CA7B-DFB7-4882-9B9A-9D535A0C4949}"/>
    <hyperlink ref="T495" r:id="rId60" display="https://insulation.supply/product/foamular-lt40-2-x-4-ft-x-8-ft-r-10-squared-edge-insulation-sheathing/" xr:uid="{81F9DB5C-6371-499B-B8FC-C474C4EBBD29}"/>
    <hyperlink ref="T497" r:id="rId61" display="https://insulation.supply/product/foamular-250-0-75-x-4-ft-x-8-ft-r-3-75-tongue-groove-edge-insulation-sheathing/" xr:uid="{22D651B0-608B-4634-8BEF-244173B52075}"/>
    <hyperlink ref="T498" r:id="rId62" display="https://insulation.supply/product/foamular-250-0-75-x-4-ft-x-8-ft-r-3-75-squared-edge-insulation-sheathing/" xr:uid="{5D093A97-DC97-4A19-89DA-4AA5056BDBDC}"/>
    <hyperlink ref="T499" r:id="rId63" display="https://insulation.supply/product/foamular-404-3-x-2-ft-x-8-ft-r-15-channel-edge-insulation-sheathing/" xr:uid="{D2924484-A36A-4546-BE26-8C2EC97669C4}"/>
    <hyperlink ref="T500" r:id="rId64" display="https://insulation.supply/product/foamular-250-2-5-x-4-ft-x-8-ft-r-12-5-scored-squared-edge-insulation-sheathing/" xr:uid="{499E4E35-1FC6-48F3-A59C-C65FFE1355EA}"/>
    <hyperlink ref="T501" r:id="rId65" display="https://insulation.supply/product/foamular-ins-sheath-laminated-0-5-x-4-ft-x-8-ft-r-3-squared-edge-insulation-sheathing/" xr:uid="{0009227A-E9FB-477A-8878-4056724E9E07}"/>
    <hyperlink ref="T502" r:id="rId66" display="https://insulation.supply/product/foamular-half-inch-0-5-x-4-ft-x-8-ft-r-3-squared-edge-insulation-sheathing/" xr:uid="{FA7F8AFD-82B7-4DB6-B952-A3FE9E458109}"/>
    <hyperlink ref="T503" r:id="rId67" display="https://insulation.supply/product/foamular-250-1-5-x-4-ft-x-8-ft-r-7-5-scored-squared-edge-insulation-sheathing/" xr:uid="{A8A22882-55FE-4AA0-87B2-8DEF47B69AF0}"/>
    <hyperlink ref="T504" r:id="rId68" display="https://insulation4us.com/products/dow-xps-150-blue-board-all-sizes" xr:uid="{0C80BDB2-BBD0-4A61-854B-BD29B2677FE5}"/>
    <hyperlink ref="T505" r:id="rId69" display="https://insulation4us.com/products/dow-xps-150-blue-board-all-sizes?variant=31869068312625" xr:uid="{F8AB92FA-58E0-4CAE-A5F7-3DB9F797ABF3}"/>
    <hyperlink ref="T506" r:id="rId70" display="https://insulation4us.com/products/dow-xps-150-blue-board-all-sizes?variant=31869068345393" xr:uid="{F741FF91-E635-4BB8-B009-9D9183E8F414}"/>
    <hyperlink ref="T507" r:id="rId71" display="https://insulation4us.com/products/dow-xps-150-blue-board-all-sizes?variant=31869068378161" xr:uid="{546E97E8-2575-4B44-85A0-9FB350487B87}"/>
    <hyperlink ref="T508" r:id="rId72" display="https://insulation4us.com/products/dow-xps-150-blue-board-all-sizes?variant=31869068410929" xr:uid="{C3203328-C275-49DD-9088-A162E7EC71C0}"/>
    <hyperlink ref="T509" r:id="rId73" display="https://insulation4us.com/products/kingspan-greenguard-lg-type-iv-25-psi-4ft-x-8ft-xps-insulation-board-all-sizes" xr:uid="{F9861451-0E0F-4E31-A779-BDC088E8766C}"/>
    <hyperlink ref="T510" r:id="rId74" display="https://store.hbsnj.com/products/1-1-2x4x8--foamular-scorbrd-r7-5-93.html" xr:uid="{6E79DE3A-D863-4E11-84BC-6768524FBA3F}"/>
    <hyperlink ref="T511" r:id="rId75" display="https://store.hbsnj.com/products/1x2-x8--foamular-t-g--r5---16--92.html" xr:uid="{B61D1B6D-231F-4972-A4A2-138B5427C379}"/>
    <hyperlink ref="T512" r:id="rId76" display="https://store.hbsnj.com/products/2--4x8--foam-scoreboard-r10-100.html" xr:uid="{F3BCDFF5-1135-4875-AC85-345E05799D2B}"/>
    <hyperlink ref="T513" r:id="rId77" display="https://store.hbsnj.com/products/2x2-x8--foam-t-g--r10--6--94.html" xr:uid="{303FAC47-30A6-45D9-9F32-C5E3518CB0A9}"/>
    <hyperlink ref="T526" r:id="rId78" display="https://www.lowes.com/pd/Common-1-in-x-4-ft-x-8-ft-Actual-0-9375-in-x-3-875-ft-x-7-875-ft-R-Expanded-Polystyrene-Foam-Board-Insulation/3365576" xr:uid="{2D1ACEEC-7BA6-4A49-8CD0-ECA50E5E980A}"/>
    <hyperlink ref="T527" r:id="rId79" display="https://www.lowes.com/pd/Common-0-75-in-x-4-ft-x-8-ft-Actual-0-6875-in-x-3-875-ft-x-7-875-ft-R-Expanded-Polystyrene-Foam-Board-Insulation/3365568" xr:uid="{97F76349-4717-40BA-AEBA-507AF1B7376F}"/>
    <hyperlink ref="T531" r:id="rId80" display="https://www.bestmaterials.com/detail.aspx?ID=23530" xr:uid="{AE4C890A-9AA0-44B5-BE2A-B8E545519868}"/>
    <hyperlink ref="T532" r:id="rId81" display="https://www.bestmaterials.com/detail.aspx?ID=23183" xr:uid="{7D41110B-BCF4-4823-BD75-0361B5BD65A3}"/>
    <hyperlink ref="T521" r:id="rId82" display="https://www.bestmaterials.com/detail.aspx?ID=22660" xr:uid="{2D13E980-F590-49BA-ADE1-7B589BEE216A}"/>
    <hyperlink ref="T583" r:id="rId83" display="https://www.bestmaterials.com/detail.aspx?ID=23224" xr:uid="{AC5D0CA4-A362-4BCA-8A15-AF9F879D7592}"/>
    <hyperlink ref="T539" r:id="rId84" display="https://www.bestmaterials.com/detail.aspx?ID=22924" xr:uid="{357F77E4-D6F9-414C-A7BF-AF920F1CB680}"/>
    <hyperlink ref="T540" r:id="rId85" display="https://www.bestmaterials.com/detail.aspx?ID=22926" xr:uid="{14FD1699-852E-4B14-9A2E-B804B96DDA99}"/>
    <hyperlink ref="T541" r:id="rId86" display="https://www.bestmaterials.com/detail.aspx?ID=22927" xr:uid="{97D04F75-7E3C-4AB5-A9D0-6536F388DE4C}"/>
    <hyperlink ref="T542" r:id="rId87" display="https://www.bestmaterials.com/detail.aspx?ID=22925" xr:uid="{8DDB3A9A-5CBF-4F21-82B4-2CB4BB5AFB73}"/>
    <hyperlink ref="T559" r:id="rId88" display="https://www.bestmaterials.com/detail.aspx?ID=23091" xr:uid="{53248F7F-07DE-47DC-B822-491D9BF1B10C}"/>
    <hyperlink ref="T561" r:id="rId89" display="https://www.bestmaterials.com/detail.aspx?ID=23355" xr:uid="{22DBCDAF-A711-43BD-8016-CF53DBB34308}"/>
    <hyperlink ref="T562" r:id="rId90" display="https://www.bestmaterials.com/detail.aspx?ID=24205" xr:uid="{147AE424-379D-49D9-855E-DA87948969B8}"/>
    <hyperlink ref="T571" r:id="rId91" display="https://www.bestmaterials.com/detail.aspx?ID=23032" xr:uid="{6000510D-4645-41B5-A0E5-6A8E633E033D}"/>
    <hyperlink ref="T182" r:id="rId92" display="https://www.menards.com/main/building-materials/insulation/foam-board-insulation/laminated-expanded-polystyrene-foam-board-insulation-4-x-8/1632085/p-1444435971208-c-5779.htm?tid=253876933085744537&amp;ipos=1" xr:uid="{B2DDEF11-5922-4282-90B3-80F41723CC99}"/>
    <hyperlink ref="T522" r:id="rId93" display="https://www.menards.com/main/building-materials/insulation/foam-board-insulation/laminated-expanded-polystyrene-foam-board-insulation-4-x-8/1632100/p-1444435971965-c-5779.htm" xr:uid="{B8AB344D-504D-428B-9B19-A16426A3FE16}"/>
    <hyperlink ref="T536" r:id="rId94" display="https://www.menards.com/main/building-materials/insulation/foam-board-insulation/laminated-expanded-polystyrene-foam-board-insulation-4-x-8/1632110/p-1444435971419-c-5779.htm" xr:uid="{48863B37-FCB1-4F37-9252-80D09808D2E4}"/>
    <hyperlink ref="T555" r:id="rId95" display="https://www.menards.com/main/building-materials/insulation/foam-board-insulation/laminated-expanded-polystyrene-foam-board-insulation-4-x-8/1632120/p-1444435971616-c-5779.htm" xr:uid="{E91AF6EF-00FC-4E02-BF5A-5ACF54C945E1}"/>
    <hyperlink ref="T186" r:id="rId96" display="https://www.menards.com/main/building-materials/insulation/foam-board-insulation/expanded-polystyrene-foam-board-insulation-4-x-8/1632082/p-1444435971777-c-5779.htm?tid=-2514649842940884272&amp;ipos=2" xr:uid="{99E1FA0C-F4ED-44CC-A4F6-C7DD94DFDE8E}"/>
    <hyperlink ref="T537" r:id="rId97" display="https://www.menards.com/main/building-materials/insulation/foam-board-insulation/expanded-polystyrene-foam-board-insulation-4-x-8/1632105/p-1444435971090-c-5779.htm" xr:uid="{4C709DE0-BB1B-4C30-87A1-4D489914B103}"/>
    <hyperlink ref="T548" r:id="rId98" display="https://www.menards.com/main/building-materials/insulation/foam-board-insulation/expanded-polystyrene-foam-board-insulation-4-x-8/1632118/p-1444435971902-c-5779.htm" xr:uid="{926E0FBB-C0B3-4D56-9B70-613837818117}"/>
    <hyperlink ref="T538" r:id="rId99" display="https://www.menards.com/main/building-materials/insulation/foam-board-insulation/r-6-10-psi-1-1-2-x-14-1-2-x-48-expanded-polystyrene-foam-board-insulation-6-pack/1632037/p-1444435971687-c-5779.htm?tid=-3006412954687569382&amp;ipos=3" xr:uid="{7982AE15-3371-4968-87F1-FBF3E2560428}"/>
    <hyperlink ref="T523" r:id="rId100" display="https://www.menards.com/main/building-materials/insulation/foam-board-insulation/r-4-10-psi-expanded-polystyrene-foam-board-insulation-1-x-4-x-8/1632095/p-1444435971553-c-5779.htm?tid=-6298141450144041167&amp;ipos=4" xr:uid="{31942D24-63BB-44AD-B1AB-07154B4893AC}"/>
    <hyperlink ref="T187" r:id="rId101" display="https://www.menards.com/main/building-materials/insulation/foam-board-insulation/r-3-10-psi-3-4-x-14-1-2-x-48-expanded-polystyrene-foam-board-insulation-6-pack/1632024/p-1444435971277-c-5779.htm?tid=-5078523799166596546&amp;ipos=5" xr:uid="{47E3B990-9850-4836-9096-DCC423E995F2}"/>
    <hyperlink ref="T551" r:id="rId102" display="https://www.menards.com/main/building-materials/insulation/foam-board-insulation/r-8-8-25-psi-2-x-4-x-8-high-density-expanded-polystyrene-foam-board-insulation/16312130/p-105477663874-c-5779.htm?tid=-7599681449061710719&amp;ipos=6" xr:uid="{91520171-22F4-4C02-B415-0611A29F4546}"/>
    <hyperlink ref="T550" r:id="rId103" display="https://www.menards.com/main/building-materials/insulation/foam-board-insulation/insofast-reg-r-8-5-24-x-48-eps-foam-insulation-board-5-panels-40-sq-ft/dp36618/p-1841405561665580-c-5779.htm?tid=-2580728646170124652&amp;ipos=7" xr:uid="{050A39EB-0245-4F5F-AF20-54B4A9E4834E}"/>
    <hyperlink ref="T556" r:id="rId104" display="https://www.menards.com/main/building-materials/insulation/foam-board-insulation/r-10-25-psi-2-3-8-x-4-x-8-high-density-expanded-polystyrene-foam-board-insulation/1632200/p-1481786336204-c-5779.htm?tid=-8222092424933094234&amp;ipos=9" xr:uid="{8F41BC05-0B0B-4F14-8208-C01B68ED6641}"/>
    <hyperlink ref="T534" r:id="rId105" display="https://www.homedepot.com/p/R-Tech-1-1-2-in-x-48-in-x-8-ft-R-5-78-EPS-Rigid-Foam-Board-Insulation-320817/202532855" xr:uid="{B2672F37-DA11-480A-88CB-33FD13DA5673}"/>
    <hyperlink ref="T171" r:id="rId106" display="https://www.homedepot.com/p/3-4-in-x-1-25-ft-x-4-ft-R-2-65-Polystyrene-Panel-Insulation-Sheathing-6-Pack-150705/202090272" xr:uid="{C1E27680-74A0-4823-BFC3-81C3CA2630CD}"/>
    <hyperlink ref="T544" r:id="rId107" display="https://www.homedepot.com/p/R-Tech-2-in-x-48-in-x-8-ft-R-7-7-EPS-Rigid-Foam-Board-Insulation-310891/202532856" xr:uid="{0C02D18A-D8A5-4DA9-9CD2-36381612BC4A}"/>
    <hyperlink ref="T518" r:id="rId108" display="https://www.homedepot.com/p/R-Tech-1-in-x-48-in-x-8-ft-R-3-85-Insulating-Sheathing-320821/202532854" xr:uid="{4567B0FB-087B-4FB0-9D3A-4C0D05843867}"/>
    <hyperlink ref="T188" r:id="rId109" display="https://www.homedepot.com/p/SilveRboard-0-625-in-x-48-in-x-24-in-72-sq-ft-R-3-Graphite-Radiant-Barrier-Wall-Insulation-Kit-9-Sheets-Kit-SBGXS062502PKIT/306858613" xr:uid="{F3719FA6-5991-4886-A6EC-54FF3CFCEC08}"/>
    <hyperlink ref="T529" r:id="rId110" display="http://www.usafoam.com/closedcellfoam/polystyrene.html" xr:uid="{DBEE3554-71C6-4DDD-84D8-880BB04B5A0C}"/>
    <hyperlink ref="T530" r:id="rId111" display="http://www.usafoam.com/closedcellfoam/polystyrene.html" xr:uid="{EA358971-3390-4A75-89EE-0AA07B858A13}"/>
    <hyperlink ref="T568" r:id="rId112" display="http://www.usafoam.com/closedcellfoam/polystyrene.html" xr:uid="{E54647FF-7ED7-4ACC-9D83-D6B9CF845371}"/>
    <hyperlink ref="T579" r:id="rId113" display="http://www.usafoam.com/closedcellfoam/polystyrene.html" xr:uid="{D7B00A2A-10E8-4278-8540-81F9288BCD5E}"/>
    <hyperlink ref="T575" r:id="rId114" display="http://www.usafoam.com/closedcellfoam/polystyrene.html" xr:uid="{5B6178DF-DF99-4F83-896E-A997D52B83A1}"/>
    <hyperlink ref="T590" r:id="rId115" display="http://www.usafoam.com/closedcellfoam/polystyrene.html" xr:uid="{63D96D30-FD00-44F4-9F40-44DD2C8BD61D}"/>
    <hyperlink ref="T589" r:id="rId116" display="http://www.usafoam.com/closedcellfoam/polystyrene.html" xr:uid="{DD0775FE-24EE-469E-9D68-4619A5CFE0AE}"/>
    <hyperlink ref="T588" r:id="rId117" display="http://www.usafoam.com/closedcellfoam/polystyrene.html" xr:uid="{3BC2818C-D604-4364-9401-704FD216EB91}"/>
    <hyperlink ref="T587" r:id="rId118" display="http://www.usafoam.com/closedcellfoam/polystyrene.html" xr:uid="{882E2F8D-E0F5-4973-95FA-4DC32EF4E1D1}"/>
    <hyperlink ref="T585" r:id="rId119" display="http://www.usafoam.com/closedcellfoam/polystyrene.html" xr:uid="{A4015AA5-F6C8-4F70-B60B-E3346C765243}"/>
    <hyperlink ref="T586" r:id="rId120" display="http://www.usafoam.com/closedcellfoam/polystyrene.html" xr:uid="{9EE5EBB3-A7B3-4BBE-B876-A416FB0219DD}"/>
    <hyperlink ref="T584" r:id="rId121" display="http://www.usafoam.com/closedcellfoam/polystyrene.html" xr:uid="{1EC11A78-4F40-4D04-BE23-16194FBAD3BD}"/>
    <hyperlink ref="T582" r:id="rId122" display="http://www.usafoam.com/closedcellfoam/polystyrene.html" xr:uid="{224FB18E-0C67-4454-9D39-D319197B3AA8}"/>
    <hyperlink ref="T581" r:id="rId123" display="http://www.usafoam.com/closedcellfoam/polystyrene.html" xr:uid="{527B6B8B-F482-4473-A73E-0C47C216464C}"/>
    <hyperlink ref="T580" r:id="rId124" display="http://www.usafoam.com/closedcellfoam/polystyrene.html" xr:uid="{84197D60-8708-4358-9DE9-E2A97E26755C}"/>
    <hyperlink ref="T578" r:id="rId125" display="http://www.usafoam.com/closedcellfoam/polystyrene.html" xr:uid="{ED4FF9C1-1E39-46F2-A965-FD811DCFD382}"/>
    <hyperlink ref="T574" r:id="rId126" display="http://www.usafoam.com/closedcellfoam/polystyrene.html" xr:uid="{879C956B-3A6C-4552-92AF-710CF84568E0}"/>
    <hyperlink ref="T570" r:id="rId127" display="http://www.usafoam.com/closedcellfoam/polystyrene.html" xr:uid="{B9BA10C7-6949-487D-9307-29A9587F875A}"/>
    <hyperlink ref="T567" r:id="rId128" display="http://www.usafoam.com/closedcellfoam/polystyrene.html" xr:uid="{A2EAC42C-CF30-4AC2-9693-EE601C1AF0D5}"/>
    <hyperlink ref="T577" r:id="rId129" display="http://www.usafoam.com/closedcellfoam/polystyrene.html" xr:uid="{8C6B0279-7A82-448D-9CE0-E25A7D1FC0C2}"/>
    <hyperlink ref="T573" r:id="rId130" display="http://www.usafoam.com/closedcellfoam/polystyrene.html" xr:uid="{EA5AC777-8B54-4D70-AA49-B1D4E356AC5C}"/>
    <hyperlink ref="T569" r:id="rId131" display="http://www.usafoam.com/closedcellfoam/polystyrene.html" xr:uid="{959B8138-3261-46D7-9CAA-E6F0E0110616}"/>
    <hyperlink ref="T566" r:id="rId132" display="http://www.usafoam.com/closedcellfoam/polystyrene.html" xr:uid="{A1DC28F8-5B97-4B56-A006-A0D8E9039F84}"/>
    <hyperlink ref="T565" r:id="rId133" display="http://www.usafoam.com/closedcellfoam/polystyrene.html" xr:uid="{80DA33EB-BA16-4CFF-9058-A03CDAFB8BB6}"/>
    <hyperlink ref="T564" r:id="rId134" display="http://www.usafoam.com/closedcellfoam/polystyrene.html" xr:uid="{7AB92E7B-739F-4524-A2E3-13D96451894E}"/>
    <hyperlink ref="T558" r:id="rId135" display="http://www.usafoam.com/closedcellfoam/polystyrene.html" xr:uid="{D5E4F6A0-5AB1-4D3D-90B3-9A2C6EB9930B}"/>
    <hyperlink ref="T563" r:id="rId136" display="http://www.usafoam.com/closedcellfoam/polystyrene.html" xr:uid="{1895555B-9A11-4AA6-88E9-D19A33147A08}"/>
    <hyperlink ref="T552" r:id="rId137" display="http://www.usafoam.com/closedcellfoam/polystyrene.html" xr:uid="{39DFA5EF-6926-4D94-88F2-84E59C26FCF5}"/>
    <hyperlink ref="T560" r:id="rId138" display="http://www.usafoam.com/closedcellfoam/polystyrene.html" xr:uid="{C30780D1-6504-4DB9-8DBD-A37942117124}"/>
    <hyperlink ref="T549" r:id="rId139" display="http://www.usafoam.com/closedcellfoam/polystyrene.html" xr:uid="{22482C2B-7F08-4376-9402-8EA46C6502E9}"/>
    <hyperlink ref="T576" r:id="rId140" display="http://www.usafoam.com/closedcellfoam/polystyrene.html" xr:uid="{BF80002E-81B1-469E-977E-3A664C8B287F}"/>
    <hyperlink ref="T572" r:id="rId141" display="http://www.usafoam.com/closedcellfoam/polystyrene.html" xr:uid="{F1CEBFEE-2725-4B60-B445-F57EDD6C87F4}"/>
    <hyperlink ref="T189" r:id="rId142" display="https://insulation.supply/product/foam-board-insulation-75-in-x-4-ft-x-8-ft-r-3-eps-proboard/" xr:uid="{8F51F5D5-1573-4838-A21B-688988BE0F39}"/>
    <hyperlink ref="T168" r:id="rId143" display="https://insulation.supply/product/foam-board-insulation-5-in-x-4-ft-x-8-ft-r-2-eps-proboard/" xr:uid="{BE4BCB19-87B2-464A-96AF-E303A572DCFF}"/>
    <hyperlink ref="T524" r:id="rId144" display="https://insulation.supply/product/foam-board-insulation-1-in-x-4-ft-x-8-ft-r-4-4-eps-proboard/" xr:uid="{7AE439BB-718C-4F06-99BA-451E81C495E5}"/>
    <hyperlink ref="T515" r:id="rId145" display="https://insulation.supply/product/foam-board-insulation-1-in-x-2-ft-x-8-ft-r-3-8-eps-proboard/" xr:uid="{2C4D354C-C6C1-4B6F-914A-005F189F801C}"/>
    <hyperlink ref="T528" r:id="rId146" display="https://insulation.supply/product/foam-board-insulation-1-in-x-4-ft-x-8-ft-r-5-eps-proboard-red-label/" xr:uid="{AB5EEF0E-F041-4038-A4CD-530964B864C3}"/>
    <hyperlink ref="T514" r:id="rId147" display="https://insulation.supply/product/foam-board-insulation-59-in-x-4-ft-x-8-ft-r-3-eps-proboard-red-label/" xr:uid="{5926A38E-7249-4025-89B0-AB8D6EA3C260}"/>
    <hyperlink ref="T516" r:id="rId148" display="https://insulation.supply/product/foam-board-insulation-75-in-x-4-ft-x-8-ft-r-3-8-eps-proboard-red-label/" xr:uid="{C132D1EF-8D93-4D65-9FCE-B9C80D1D4A6A}"/>
    <hyperlink ref="T177" r:id="rId149" display="https://insulation.supply/product/foam-board-insulation-75-in-x-2-ft-x-8-ft-r-2-9-eps-proboard/" xr:uid="{9D39EB22-98B5-45A3-940E-37DDB6861BDC}"/>
    <hyperlink ref="T519" r:id="rId150" display="https://www.dunnlumber.com/Store/ProductDetail.aspx?pid=258224&amp;pg=1543&amp;pl1=2352&amp;returnUrl=%7e%2fProducts.aspx%3fpl1%3d2352%26pg%3d1543%26sort%3dStockClassSort%26direction%3dasc" xr:uid="{AEDD9547-1A37-411D-B08C-C1A1AA6B6EDE}"/>
    <hyperlink ref="T545" r:id="rId151" display="https://www.dunnlumber.com/Store/ProductDetail.aspx?pid=258262&amp;pg=1543&amp;pl1=2352&amp;returnUrl=%7e%2fProducts.aspx%3fpl1%3d2352%26pg%3d1543%26sort%3dStockClassSort%26direction%3dasc" xr:uid="{729EF370-9A8C-4C10-A2AD-F878118139C7}"/>
    <hyperlink ref="T557" r:id="rId152" display="https://www.dunnlumber.com/Store/ProductDetail.aspx?pid=258277&amp;pg=1543&amp;pl1=2352&amp;returnUrl=%7e%2fProducts.aspx%3fpl1%3d2352%26pg%3d1543%26sort%3dStockClassSort%26direction%3dasc%26pageIndex%3d12" xr:uid="{2556CE1F-7F61-48CB-9D1F-82F483972ECC}"/>
    <hyperlink ref="T167" r:id="rId153" display="https://www.buildclub.com/product/1-2-in.-x-48-in.-x-8-ft.-R-1.93-EPS-Rigid-Foam-Board-Insulation/bc0_313644767/?queryId=56e2bf05a7d7ecc522cdca8a3fb76297" xr:uid="{DFEE73CA-EAE4-4A9D-8701-4828AB2E73FF}"/>
    <hyperlink ref="T546" r:id="rId154" display="https://www.buildclub.com/product/2-in.-x-48-in.-x-8-ft.-R-7.7-EPS-Rigid-Foam-Board-Insulation/bc0_313643967/?queryId=56e2bf05a7d7ecc522cdca8a3fb76297" xr:uid="{CB3D2708-6357-4FCB-B1C4-FE4F83975DCE}"/>
    <hyperlink ref="T535" r:id="rId155" display="https://www.buildclub.com/product/1-1-2-in-x-48-in.-x-8-ft.-R-5.78-EPS-Rigid-Foam-Board-Insulation/bc0_313643966/?queryId=56e2bf05a7d7ecc522cdca8a3fb76297" xr:uid="{B1EF143E-9CBA-4091-9A1A-8FFF8204478D}"/>
    <hyperlink ref="T609" r:id="rId156" display="https://www.lowes.com/pd/FROTH-PAK-Low-GWP-650-Spray-Gun-Spray-Foam-Insulation/5001958409" xr:uid="{8ABABA55-9B75-42F6-8DB7-666A774EE564}"/>
    <hyperlink ref="T610" r:id="rId157" display="https://www.lowes.com/pd/FROTH-PAK-LOW-GWP-210-Foam-Insulation-Kit-USA/5001957671" xr:uid="{9A5442CC-A027-4421-ABD5-751B53D7BFB2}"/>
    <hyperlink ref="T611" r:id="rId158" display="https://www.lowes.com/pd/FROTH-PAK-LOW-GWP-12-Sealant-Foam-Insulation-Kit-USA/5001958411" xr:uid="{B4057D4C-32FD-4C7D-8505-52B0339C8B6A}"/>
    <hyperlink ref="T612" r:id="rId159" display="https://www.lowes.com/pd/FROTH-PAK-Low-GWP-650-Spray-Gun-Spray-Foam-Insulation/5001957645" xr:uid="{22B7C078-766D-4017-A3F0-68D80F2EBD69}"/>
    <hyperlink ref="T613" r:id="rId160" display="https://www.amazon.com/Froth-Pak-Insulation-Insulates-Penetrations-Polyurethane/dp/B098R9NM5D/ref=sr_1_5?keywords=Closed%2BCell%2BFoam%2BSpray&amp;qid=1694624239&amp;sr=8-5&amp;th=1" xr:uid="{58428F46-AC57-4E8A-9283-D259C6B2DE02}"/>
    <hyperlink ref="T614" r:id="rId161" display="https://www.amazon.com/Froth-Pak-Insulation-Insulates-Penetrations-Polyurethane/dp/B097NMX6TC/ref=sr_1_15?keywords=Closed+Cell+Foam+Spray&amp;qid=1694624239&amp;sr=8-15" xr:uid="{78B3F540-62DE-4820-9F18-9AD1999DEE3A}"/>
    <hyperlink ref="T615" r:id="rId162" display="https://www.amazon.com/Vega-Bond-V200-Closed-Spray/dp/B0CDNXP856/ref=sr_1_16?keywords=Closed+Cell+Foam+Spray&amp;qid=1694624239&amp;sr=8-16" xr:uid="{33F51B00-854D-43E0-B722-90DA0BCC3855}"/>
    <hyperlink ref="T616" r:id="rId163" display="https://www.amazon.com/Froth-Pak-Insulation-Insulates-Penetrations-Polyurethane/dp/B09BCG4422/ref=sr_1_19?keywords=Closed%2BCell%2BFoam%2BSpray&amp;qid=1694624239&amp;sr=8-19&amp;th=1" xr:uid="{7840CFD4-4123-4686-B699-704315957D3F}"/>
    <hyperlink ref="T617" r:id="rId164" display="https://www.amazon.com/7565002600-Touch-Seal-Insulation-Pre-Connected/dp/B08VF878NJ/ref=sr_1_17?keywords=Closed+Cell+Foam+Spray&amp;qid=1694624696&amp;sr=8-17" xr:uid="{4BB95D09-A423-42BD-873D-7FEAE39AC217}"/>
    <hyperlink ref="T618" r:id="rId165" display="https://www.amazon.com/Two-Component-Polyurethane-Foam-200-Board/dp/B00689TTHC/ref=sr_1_28_sspa?keywords=Closed+Cell+Foam+Spray&amp;qid=1694625118&amp;sr=8-28-spons&amp;sp_csd=d2lkZ2V0TmFtZT1zcF9tdGY&amp;psc=1" xr:uid="{F5992E38-9B9B-44D0-83A9-940E79574F7F}"/>
    <hyperlink ref="T619" r:id="rId166" display="https://www.amazon.com/Touch-Seal-Hose-Spray-Insulation/dp/B00BPWS4AU/ref=sr_1_37_sspa?keywords=Closed+Cell+Foam+Spray&amp;qid=1694625118&amp;sr=8-37-spons&amp;sp_csd=d2lkZ2V0TmFtZT1zcF9idGY&amp;psc=1" xr:uid="{95CAAD52-8890-488D-B56F-48C990C9B04B}"/>
    <hyperlink ref="T621" r:id="rId167" display="https://www.amazon.com/7565002200-Touch-Seal-Insulation-Pre-Connected/dp/B08VF4XH8Z/ref=sr_1_52?keywords=Closed+Cell+Foam+Spray&amp;qid=1694626637&amp;sr=8-52" xr:uid="{BE26567F-4ADF-44BB-AC18-F65F6A638E5D}"/>
    <hyperlink ref="T622" r:id="rId168" display="https://www.amazon.com/Froth-Pak-Improved-Penetrations-Component-Polyurethane/dp/B095L23SK2/ref=sr_1_50?keywords=Closed+Cell+Foam+Spray&amp;qid=1694626719&amp;sr=8-50" xr:uid="{9113C5BF-005F-4C5A-93D8-840774AE3E1C}"/>
    <hyperlink ref="T623" r:id="rId169" display="https://www.amazon.com/7565002110-Touch-Seal-Insulation-Pre-Connected/dp/B08XBYZXBD/ref=sr_1_57?keywords=Closed+Cell+Foam+Spray&amp;qid=1694626805&amp;sr=8-57" xr:uid="{3BFA9396-DD4C-43A2-B4C4-EEDAA7BE6F43}"/>
    <hyperlink ref="T620" r:id="rId170" display="https://www.amazon.com/sspa/click?ie=UTF8&amp;spc=MTo3NjE2MTE4MTIzMzc3NjIwOjE2OTQ2MjY4MDk6c3BfbXRmOjIwMDAwMjAzMDE0MDE3MTo6MDo6&amp;url=%2FTouch-N-Seal-FK-200-Component-Spray-Included%2Fdp%2FB00415FI3Y%2Fref%3Dsr_1_43_sspa%3Fkeywords%3DClosed%2BCell%2BFoam%2BSpray%26qid%3D1694626809%26sr%3D8-43-spons%26sp_csd%3Dd2lkZ2V0TmFtZT1zcF9tdGY%26psc%3D1" xr:uid="{C7666730-A254-425E-A481-F4F30763060B}"/>
    <hyperlink ref="T625" r:id="rId171" display="https://www.amazon.com/7565021120-Touch-Seal-Insulation-Pre-Connected/dp/B08XBZ5BKY/ref=sr_1_66?keywords=Closed+Cell+Foam+Spray&amp;qid=1694626805&amp;sr=8-66" xr:uid="{AF129E79-BFF8-44D4-9F25-B2CB9B4D17CB}"/>
    <hyperlink ref="T626" r:id="rId172" display="https://www.walmart.com/ip/Vega-Bond-V200-Closed-Cell-Spray-Foam-Insulation-Kit-2-Part-Foam-Sealant-200BF/847931991?from=/search" xr:uid="{A94992B6-D701-4323-96D9-793B60AACA2D}"/>
    <hyperlink ref="T627" r:id="rId173" display="https://www.walmart.com/ip/Vega-Bond-V600-Slow-Rise-Closed-Cell-Spray-Foam-Kit-600-Board-Feet-Coverage/1098506150?from=/search" xr:uid="{24ED2C33-6827-49CE-82F2-3112AABFCB84}"/>
    <hyperlink ref="T628" r:id="rId174" display="https://www.walmart.com/ip/Touch-N-Seal-Spray-Foam-Sealant-Kit-Cream-42-lb-7565002200/1391581049?from=/search" xr:uid="{47D93343-B5A4-405A-8178-573329F7A4AD}"/>
    <hyperlink ref="T629" r:id="rId175" display="https://www.walmart.com/ip/Froth-Pak-Foam-Sealant-Kit-Cream-41-lb-12031949/152502944?from=/search" xr:uid="{39CD2781-ACD8-48BA-A02B-57FA8F51FCD9}"/>
    <hyperlink ref="T633" r:id="rId176" display="https://www.energyefficientsolutions.com/Fire_Rated.asp?item=FOAM205E84" xr:uid="{E2BB9AD6-7F5C-4BC5-B695-E29F80AD0E38}"/>
    <hyperlink ref="T634" r:id="rId177" display="https://www.energyefficientsolutions.com/Fire_Rated.asp?item=FOAM605E84" xr:uid="{51D54A05-154E-4866-956A-9EC0E783871D}"/>
    <hyperlink ref="T630" r:id="rId178" display="https://www.energyefficientsolutions.com/Quick-Cure-Spray-Foam.asp?item=FOAM105" xr:uid="{6701CCDE-D88E-4012-AAF1-467AD914E58F}"/>
    <hyperlink ref="T631" r:id="rId179" display="https://www.energyefficientsolutions.com/Quick-Cure-Spray-Foam.asp?item=FOAM205" xr:uid="{D27CE430-C7AF-4272-8199-D9CC874EDB00}"/>
    <hyperlink ref="T632" r:id="rId180" display="https://www.energyefficientsolutions.com/Quick-Cure-Spray-Foam.asp?item=FOAM605" xr:uid="{AB46415A-7BB2-4AF9-AD12-163409A64561}"/>
    <hyperlink ref="T635" r:id="rId181" display="https://www.energyefficientsolutions.com/Roof-Spray-Foam.asp?item=FOAM060" xr:uid="{6AEFF5B3-61F0-4FE6-B2EF-6FE63228365B}"/>
    <hyperlink ref="T636" r:id="rId182" display="https://www.energyefficientsolutions.com/Roof-Spray-Foam.asp?item=FOAM340" xr:uid="{CE0B1E7F-577D-4A8E-B113-747ADF70487A}"/>
    <hyperlink ref="T637" r:id="rId183" display="https://allprodepot.com/product/touch-n-seal-120-roof-foam-kit-low-gwp/" xr:uid="{94C3626B-26C0-402A-A669-26F1906830A9}"/>
    <hyperlink ref="T638" r:id="rId184" display="https://allprodepot.com/product/handi-foam-200-spray-foam-insulation-hfo-fr/" xr:uid="{3DBA53B2-5E2D-44B5-8640-E3F62C88D5A2}"/>
    <hyperlink ref="T639" r:id="rId185" display="https://allprodepot.com/product/handi-foam-600-bf-spray-foam-insulation-kit-hfo-fr/" xr:uid="{EAE8756E-1CDC-46C8-BD82-B1331721A1DF}"/>
    <hyperlink ref="T641" r:id="rId186" display="https://allprodepot.com/product/touch-n-seal-200-bf-hfo-spray-foam-insulation-kit/" xr:uid="{9C55CD4E-4F79-4210-AAD3-DEC078AFAC3B}"/>
    <hyperlink ref="T640" r:id="rId187" display="https://allprodepot.com/product/touch-n-seal-110-bf-hfo-spray-foam-insulation-kit/" xr:uid="{44858FD3-E1D2-4EEA-B19C-A362667AF5B6}"/>
    <hyperlink ref="T642" r:id="rId188" display="https://allprodepot.com/product/touch-n-seal-600-bf-hfo-spray-foam-insulation-kit/" xr:uid="{EF81922A-C2F8-4508-8C04-6F3CDD8E9D04}"/>
    <hyperlink ref="T643" r:id="rId189" display="https://www.lowes.com/pd/Johns-Manville-R-6-1-in-x-4-ft-x-8-ft-AP-Foil-Faced-Polyisocyanurate-Foam-Board-Insulation/5013061199" xr:uid="{3F49B492-7D6B-4CAD-8FD0-7ECFF7ADF907}"/>
    <hyperlink ref="T644" r:id="rId190" display="https://www.lowes.com/pd/Johns-Manville-Common-0-5-in-x-4-ft-x-8-ft-Actual-0-5-in-x-4-ft-x-8-ft-AP-Foil-1-R-2-7-Faced-Polyisocyanurate-Foam-Board-Insulation/3851113" xr:uid="{C8758AE7-E064-4B0F-9AEF-4ECB908DBC0D}"/>
    <hyperlink ref="T645" r:id="rId191" display="https://www.lowes.com/pd/Johns-Manville-Common-0-75-in-x-4-ft-x-8-ft-Actual-0-75-in-x-4-ft-x-8-ft-AP-Foil-1-R-5-Faced-Polyisocyanurate-Foam-Board-Insulation/3851105" xr:uid="{AF26DF16-EDB1-4EB6-B71C-9824207AC00B}"/>
    <hyperlink ref="T646" r:id="rId192" display="https://www.homedepot.com/p/RMAX-Pro-Select-R-Matte-Plus-3-1-in-x-48-in-x-8-ft-R-6-0-ISO-Rigid-Foam-Board-Insulation-637900/313501508" xr:uid="{A9666E32-ECD2-4F03-931A-31FCA0A92CD5}"/>
    <hyperlink ref="T647" r:id="rId193" display="https://insulation4us.com/products/rmax-4ft-x-8ft-polyiso-rigid-foam-insulation-board-thermasheath-3?variant=39436758450225" xr:uid="{717438C2-B876-4F75-BF48-3201F99259A8}"/>
    <hyperlink ref="T648" r:id="rId194" display="https://insulation4us.com/products/rmax-4ft-x-8ft-polyiso-rigid-foam-insulation-board-thermasheath-3?variant=39436758450225" xr:uid="{BEB53E86-8502-446B-AA44-442B3FA403D7}"/>
    <hyperlink ref="T649" r:id="rId195" display="https://insulation4us.com/products/rmax-4ft-x-8ft-polyiso-rigid-foam-insulation-board-thermasheath-3?variant=39436758450225" xr:uid="{48ADE4A3-858E-441E-A04C-D0D9148026D1}"/>
    <hyperlink ref="T650" r:id="rId196" display="https://insulation4us.com/products/rmax-4ft-x-8ft-polyiso-rigid-foam-insulation-board-thermasheath-3?variant=39436758450225" xr:uid="{AB6BF8B4-145A-4477-92B7-FF4B78B929CE}"/>
    <hyperlink ref="T651" r:id="rId197" display="https://insulation4us.com/products/rmax-4ft-x-8ft-polyiso-rigid-foam-insulation-board-thermasheath-3?variant=39436758450225" xr:uid="{6C117043-7378-495A-A365-AF9508AC5C76}"/>
    <hyperlink ref="T652" r:id="rId198" display="https://insulation4us.com/products/rmax-4ft-x-8ft-polyiso-rigid-foam-insulation-board-thermasheath-3?variant=39436758450225" xr:uid="{EBD5CAE3-3A80-4413-907C-95349FF4B1A4}"/>
    <hyperlink ref="T653" r:id="rId199" display="https://insulation4us.com/products/rmax-4ft-x-8ft-polyiso-rigid-foam-insulation-board-thermasheath-3?variant=39436758450225" xr:uid="{0A2F2173-2E8C-4167-9022-76EB72E10C14}"/>
    <hyperlink ref="T654" r:id="rId200" display="https://insulation4us.com/products/rmax-4ft-x-8ft-polyiso-rigid-foam-insulation-board-thermasheath-3?variant=39436758450225" xr:uid="{31BD7B3C-318A-467B-9F5F-357B87D7038E}"/>
    <hyperlink ref="T655" r:id="rId201" display="https://insulation4us.com/products/rmax-4ft-x-8ft-polyiso-rigid-foam-insulation-board-thermasheath-3?variant=39436758450225" xr:uid="{82C95749-C3D4-4508-9C8C-E6E6764AFC5A}"/>
    <hyperlink ref="T656" r:id="rId202" display="https://www.kellyfradet.com/product/12is/" xr:uid="{CD8B4957-FA9A-4966-BDE6-E5D36A9D80C9}"/>
    <hyperlink ref="T657" r:id="rId203" display="https://www.kellyfradet.com/product/1is/" xr:uid="{802E8873-AB93-4A7B-8934-CFEAF3E5B7B6}"/>
    <hyperlink ref="T658" r:id="rId204" display="https://www.grainger.com/product/ITW-High-Temperature-Insulation-19NE86" xr:uid="{7F3F94E7-2339-443A-9AA9-394DB13C790C}"/>
    <hyperlink ref="T659" r:id="rId205" display="https://www.grainger.com/product/ITW-High-Temperature-Insulation-19NE88" xr:uid="{EDD115F9-277A-4567-8219-2BCBAEF9809C}"/>
    <hyperlink ref="T660" r:id="rId206" display="https://www.grainger.com/product/ITW-High-Temperature-Insulation-19NE97" xr:uid="{40575EDA-BF10-4386-894B-4CA9A25CF3E4}"/>
    <hyperlink ref="T661" r:id="rId207" display="https://www.grainger.com/product/ITW-High-Temperature-Insulation-19NE98" xr:uid="{3602347A-1D00-4CA6-A2D7-986428477ADD}"/>
    <hyperlink ref="T663" r:id="rId208" display="https://www.grainger.com/product/ITW-High-Temperature-Insulation-19NE99" xr:uid="{81310069-68E6-4981-9CA7-D077D38A7826}"/>
    <hyperlink ref="T664" r:id="rId209" display="https://www.grainger.com/product/ITW-High-Temperature-Insulation-19NE91" xr:uid="{D36563B0-3AA6-4D00-9B91-5381104E8EF8}"/>
    <hyperlink ref="T665" r:id="rId210" display="https://www.grainger.com/product/ITW-High-Temperature-Insulation-19NE92" xr:uid="{C6A8F952-9360-4F6C-B20F-B15E09A03B61}"/>
    <hyperlink ref="T666" r:id="rId211" display="https://www.grainger.com/product/ITW-High-Temperature-Insulation-19NE93" xr:uid="{63C730A1-AA5A-4390-B51E-39FE991E942F}"/>
    <hyperlink ref="T667" r:id="rId212" display="https://www.grainger.com/product/ITW-High-Temperature-Insulation-19NE87" xr:uid="{1B48CA1A-AC6F-44B1-AFA1-BDAEF3DB7FAE}"/>
    <hyperlink ref="T668" r:id="rId213" display="https://www.grainger.com/product/ITW-High-Temperature-Insulation-19NE89" xr:uid="{25537E95-6E5E-48E1-9E39-B9321FD742AD}"/>
    <hyperlink ref="T669" r:id="rId214" display="https://www.grainger.com/product/ITW-High-Temperature-Insulation-19NE90" xr:uid="{40CCABB4-7F37-4FF5-BFD8-E28B2B8591E3}"/>
    <hyperlink ref="T670" r:id="rId215" display="https://www.grainger.com/product/ITW-High-Temperature-Insulation-19NE94" xr:uid="{8A2ED6A0-ADBB-4A7C-B942-19954BF4F2A3}"/>
    <hyperlink ref="T671" r:id="rId216" display="https://www.grainger.com/product/ITW-High-Temperature-Insulation-19NE95" xr:uid="{6E2B5A93-8B3E-408D-9027-A145F4CF19F4}"/>
    <hyperlink ref="T672" r:id="rId217" display="https://www.grainger.com/product/ITW-High-Temperature-Insulation-19NF01" xr:uid="{FA07702E-9D59-4C8A-9A64-D6C58D1382B0}"/>
    <hyperlink ref="T673" r:id="rId218" display="https://www.menards.com/main/building-materials/insulation/foam-board-insulation/johns-manville-foil-faced-polyiso-foam-board-insulation-4-x-8/90034716/p-1444438920894-c-5779.htm?tid=1985683173885688947&amp;ipos=1" xr:uid="{A0D1CA94-7636-4901-9453-C9DFA0C38F80}"/>
    <hyperlink ref="T674" r:id="rId219" display="https://www.menards.com/main/building-materials/insulation/foam-board-insulation/johns-manville-fiberglass-face-polyiso-roof-decking-insulation-4-x-8/1631147/p-1444438918633-c-5779.htm?tid=-2650740700506567113&amp;ipos=2" xr:uid="{CCDD1C0A-B042-4DA2-BC09-CD305FA8147B}"/>
    <hyperlink ref="T675" r:id="rId220" display="https://www.menards.com/main/building-materials/insulation/foam-board-insulation/johns-manville-ci-max-reg-polyiso-foam-board-insulation-4-x-8/1631407/p-1444438920508-c-5779.htm?tid=8179033280434637927&amp;ipos=3" xr:uid="{7E757F73-D084-44E7-AECF-1AB982AFEE43}"/>
    <hyperlink ref="T676" r:id="rId221" display="https://www.dunnlumber.com/Store/ProductDetail.aspx?pid=465&amp;pg=1543&amp;pl1=2352&amp;returnUrl=%7e%2fProducts.aspx%3fpl1%3d2352%26pg%3d1543%26sort%3dStockClassSort%26direction%3dasc" xr:uid="{05F555D7-B40B-4365-A1C3-F5315F7B5909}"/>
    <hyperlink ref="T677" r:id="rId222" display="https://www.dunnlumber.com/Store/ProductDetail.aspx?pid=469&amp;pg=1543&amp;pl1=2352&amp;returnUrl=%7e%2fProducts.aspx%3fpl1%3d2352%26pg%3d1543%26sort%3dStockClassSort%26direction%3dasc" xr:uid="{3665991C-B478-4948-98E7-0E0C95611844}"/>
    <hyperlink ref="T678" r:id="rId223" display="https://www.dunnlumber.com/Store/ProductDetail.aspx?pid=464&amp;pg=1543&amp;pl1=2352&amp;returnUrl=%7e%2fProducts.aspx%3fpl1%3d2352%26pg%3d1543%26sort%3dStockClassSort%26direction%3dasc" xr:uid="{D8E596F4-1BDC-4431-B150-788B0DC22953}"/>
    <hyperlink ref="T679" r:id="rId224" display="https://www.dunnlumber.com/Store/ProductDetail.aspx?pid=466&amp;pg=1543&amp;pl1=2352&amp;returnUrl=%7e%2fProducts.aspx%3fpl1%3d2352%26pg%3d1543%26sort%3dStockClassSort%26direction%3dasc" xr:uid="{03563456-55BF-4937-A7E4-66174EAB5D4F}"/>
    <hyperlink ref="T680" r:id="rId225" display="https://www.dunnlumber.com/Store/ProductDetail.aspx?pid=467&amp;pg=1543&amp;pl1=2352&amp;returnUrl=%7e%2fProducts.aspx%3fpl1%3d2352%26pg%3d1543%26sort%3dStockClassSort%26direction%3dasc" xr:uid="{347AF398-2888-4930-B54F-F5C3B990FA5F}"/>
    <hyperlink ref="T681" r:id="rId226" display="https://www.dunnlumber.com/Store/ProductDetail.aspx?pid=468&amp;pg=1543&amp;pl1=2352&amp;returnUrl=%7e%2fProducts.aspx%3fpl1%3d2352%26pg%3d1543%26sort%3dStockClassSort%26direction%3dasc" xr:uid="{EE4EFC8D-78CB-43EC-93CE-F70F94ADB183}"/>
    <hyperlink ref="T682" r:id="rId227" display="https://www.dunnlumber.com/Store/ProductDetail.aspx?pid=470&amp;pg=1543&amp;pl1=2352&amp;returnUrl=%7e%2fProducts.aspx%3fpl1%3d2352%26pg%3d1543%26sort%3dStockClassSort%26direction%3dasc" xr:uid="{ED9E7694-FF27-488A-841E-CD7610B0456A}"/>
    <hyperlink ref="T683" r:id="rId228" display="https://store.hbsnj.com/products/4x8x1-polyiso-foil-sheathg-r-6-5-95.html" xr:uid="{040EAA3B-87E5-4FED-ADED-B49B90B3DF58}"/>
    <hyperlink ref="T684" r:id="rId229" display="https://store.hbsnj.com/products/4x8x1-5-polyiso-foil-shthg-r9-8-97.html" xr:uid="{FAB7AFE8-85FF-45DF-9645-73AA3FE910C1}"/>
    <hyperlink ref="T685" r:id="rId230" display="https://store.hbsnj.com/products/4x8x1-2-polyiso-foil-shthg-r-3-0-98.html" xr:uid="{77FCEE44-C17C-4070-927B-C3DDDFA34B1E}"/>
    <hyperlink ref="T686" r:id="rId231" display="https://store.hbsnj.com/products/4x8x2-polyiso-foil-sheathing-r13-96.html" xr:uid="{5E9682FB-5D45-4267-BFBA-2D5C4D03F2ED}"/>
    <hyperlink ref="T687" r:id="rId232" display="https://store.hbsnj.com/products/4x8x3-4-polyiso-foil-shthg-r-5-99.html" xr:uid="{DA18C5DF-3BF0-4D0F-981C-B25F6239A289}"/>
    <hyperlink ref="T688" r:id="rId233" display="https://www.mccoys.com/shop/p/02080740/rmax-r-matte-series-rmp005-building-envelope-insulation-8-ft-l-4-ft-w-12-in-thick-r32-r-value-polyisocyanurate" xr:uid="{3FC89597-29BF-4B64-A98E-4E8586DF9D5A}"/>
    <hyperlink ref="T689" r:id="rId234" display="https://www.mccoys.com/shop/p/02080745/rmax-r-matte-series-rmp0075-building-envelope-insulation-8-ft-l-4-ft-w-34-in-thick-r5-r-value-polyisocyanurate" xr:uid="{85593A19-EF90-49F3-8605-9B4920FB7482}"/>
    <hyperlink ref="T690" r:id="rId235" display="https://www.buildclub.com/product/R-6,-1-in-x-4-ft-x-8-ft-AP-Foil-Faced-Polyisocyanurate-For-Use-In-Garage-Doors-Board-Insulation/bc4_61241722--/?queryId=75ffd118ff8a242da8709081c728333b" xr:uid="{82ACDA67-3710-444A-80AF-F0F8257BFF0F}"/>
    <hyperlink ref="T166" r:id="rId236" xr:uid="{DE8EB2AC-EF05-4A9D-9531-BD537381CFC6}"/>
    <hyperlink ref="T203" r:id="rId237" xr:uid="{2F477B99-7A4B-4395-AD6D-DEBE9D47FF1B}"/>
  </hyperlinks>
  <pageMargins left="0.7" right="0.7" top="0.75" bottom="0.75" header="0.3" footer="0.3"/>
  <ignoredErrors>
    <ignoredError sqref="AS6:AT10" calculatedColumn="1"/>
    <ignoredError sqref="AS12 AT11" formulaRange="1" calculatedColumn="1"/>
  </ignoredErrors>
  <legacyDrawing r:id="rId238"/>
  <tableParts count="2">
    <tablePart r:id="rId239"/>
    <tablePart r:id="rId240"/>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9458C-35D4-442D-8C32-DACC14BF4188}">
  <dimension ref="A1:AF169"/>
  <sheetViews>
    <sheetView topLeftCell="A6" zoomScale="90" zoomScaleNormal="90" zoomScaleSheetLayoutView="90" workbookViewId="0">
      <selection activeCell="I45" sqref="I45"/>
    </sheetView>
  </sheetViews>
  <sheetFormatPr baseColWidth="10" defaultColWidth="8.83203125" defaultRowHeight="15" x14ac:dyDescent="0.2"/>
  <cols>
    <col min="1" max="1" width="29.6640625" customWidth="1"/>
    <col min="2" max="2" width="30.5" customWidth="1"/>
    <col min="3" max="3" width="11.6640625" bestFit="1" customWidth="1"/>
    <col min="4" max="4" width="27.5" bestFit="1" customWidth="1"/>
    <col min="5" max="5" width="40" customWidth="1"/>
    <col min="6" max="6" width="34.5" customWidth="1"/>
    <col min="7" max="7" width="26.1640625" customWidth="1"/>
    <col min="8" max="8" width="11.83203125" customWidth="1"/>
    <col min="9" max="11" width="11.33203125" customWidth="1"/>
    <col min="12" max="12" width="13.33203125" customWidth="1"/>
    <col min="13" max="13" width="14.6640625" bestFit="1" customWidth="1"/>
    <col min="14" max="16" width="14.6640625" customWidth="1"/>
    <col min="17" max="17" width="56.33203125" customWidth="1"/>
    <col min="18" max="18" width="12.33203125" customWidth="1"/>
    <col min="19" max="19" width="13.6640625" bestFit="1" customWidth="1"/>
    <col min="21" max="21" width="7.33203125" customWidth="1"/>
    <col min="22" max="22" width="7.5" bestFit="1" customWidth="1"/>
    <col min="23" max="23" width="8.5" bestFit="1" customWidth="1"/>
    <col min="24" max="24" width="12.6640625" style="25" customWidth="1"/>
    <col min="26" max="26" width="13.33203125" customWidth="1"/>
  </cols>
  <sheetData>
    <row r="1" spans="1:32" ht="16" thickBot="1" x14ac:dyDescent="0.25">
      <c r="A1" s="4" t="s">
        <v>21</v>
      </c>
      <c r="X1"/>
    </row>
    <row r="2" spans="1:32" ht="19" x14ac:dyDescent="0.25">
      <c r="A2" s="27" t="s">
        <v>22</v>
      </c>
      <c r="B2" s="40" t="s">
        <v>1152</v>
      </c>
      <c r="G2" t="s">
        <v>5305</v>
      </c>
      <c r="V2" s="375" t="s">
        <v>3390</v>
      </c>
      <c r="X2" s="138"/>
      <c r="Y2" s="138"/>
      <c r="Z2" s="138"/>
      <c r="AA2" s="138"/>
      <c r="AB2" s="138"/>
      <c r="AC2" s="138"/>
      <c r="AD2" s="138"/>
      <c r="AE2" s="136"/>
      <c r="AF2" s="137"/>
    </row>
    <row r="3" spans="1:32" ht="16.5" customHeight="1" x14ac:dyDescent="0.2">
      <c r="A3" s="163" t="s">
        <v>0</v>
      </c>
      <c r="B3" s="163" t="s">
        <v>1153</v>
      </c>
      <c r="C3" s="163" t="s">
        <v>5319</v>
      </c>
      <c r="D3" s="163" t="s">
        <v>5318</v>
      </c>
      <c r="E3" s="163" t="s">
        <v>1154</v>
      </c>
      <c r="F3" s="163" t="s">
        <v>1155</v>
      </c>
      <c r="G3" s="163" t="s">
        <v>1156</v>
      </c>
      <c r="H3" s="217" t="s">
        <v>34</v>
      </c>
      <c r="I3" s="217" t="s">
        <v>3397</v>
      </c>
      <c r="J3" s="217" t="s">
        <v>36</v>
      </c>
      <c r="K3" s="217" t="s">
        <v>5479</v>
      </c>
      <c r="L3" s="217" t="s">
        <v>3393</v>
      </c>
      <c r="M3" s="217" t="s">
        <v>2812</v>
      </c>
      <c r="N3" s="217" t="s">
        <v>40</v>
      </c>
      <c r="O3" s="217" t="s">
        <v>41</v>
      </c>
      <c r="P3" s="217" t="s">
        <v>43</v>
      </c>
      <c r="Q3" s="163" t="s">
        <v>386</v>
      </c>
      <c r="R3" s="217" t="s">
        <v>57</v>
      </c>
      <c r="U3" s="171" t="s">
        <v>0</v>
      </c>
      <c r="V3" s="172" t="s">
        <v>25</v>
      </c>
      <c r="W3" s="172" t="s">
        <v>3392</v>
      </c>
      <c r="X3" s="172" t="s">
        <v>59</v>
      </c>
      <c r="Y3" s="172" t="s">
        <v>60</v>
      </c>
      <c r="Z3" s="172" t="s">
        <v>61</v>
      </c>
      <c r="AA3" s="172" t="s">
        <v>62</v>
      </c>
      <c r="AB3" s="172" t="s">
        <v>63</v>
      </c>
      <c r="AC3" s="172" t="s">
        <v>64</v>
      </c>
      <c r="AD3" s="173" t="s">
        <v>43</v>
      </c>
      <c r="AE3" s="137"/>
    </row>
    <row r="4" spans="1:32" ht="13.25" customHeight="1" x14ac:dyDescent="0.2">
      <c r="A4" t="s">
        <v>1206</v>
      </c>
      <c r="B4" s="130">
        <v>16</v>
      </c>
      <c r="C4" s="313">
        <f>Table10[[#This Row],[R-Value]]/Table10[[#This Row],[SIP Panel Thickness (in)]]</f>
        <v>3.4594594594594597</v>
      </c>
      <c r="D4" s="130">
        <v>4.625</v>
      </c>
      <c r="E4" s="130" t="s">
        <v>1166</v>
      </c>
      <c r="F4" s="131">
        <v>292.48</v>
      </c>
      <c r="G4" s="132">
        <v>9.14</v>
      </c>
      <c r="H4" s="132"/>
      <c r="I4" s="133"/>
      <c r="J4" s="218"/>
      <c r="K4" s="218"/>
      <c r="L4" s="218"/>
      <c r="M4" s="218"/>
      <c r="N4" s="218">
        <v>2023</v>
      </c>
      <c r="O4" s="218"/>
      <c r="P4" s="129" t="s">
        <v>1165</v>
      </c>
      <c r="Q4" s="133" t="s">
        <v>1167</v>
      </c>
      <c r="R4" s="315" t="s">
        <v>71</v>
      </c>
      <c r="S4" s="134"/>
      <c r="T4" s="133"/>
      <c r="U4" s="174" t="s">
        <v>3391</v>
      </c>
      <c r="V4" s="175"/>
      <c r="W4" s="178">
        <f>AVERAGE(I44:I65)</f>
        <v>0.8418181818181818</v>
      </c>
      <c r="X4" s="178" t="s">
        <v>366</v>
      </c>
      <c r="Y4" s="178">
        <f>W4</f>
        <v>0.8418181818181818</v>
      </c>
      <c r="Z4" s="178"/>
      <c r="AA4" s="176">
        <f>1+W4/AVERAGE(G44:G65)</f>
        <v>1.1128305105397831</v>
      </c>
      <c r="AB4" s="176" t="s">
        <v>366</v>
      </c>
      <c r="AC4" s="175">
        <v>2023</v>
      </c>
      <c r="AD4" s="177" t="s">
        <v>70</v>
      </c>
      <c r="AE4" s="137"/>
    </row>
    <row r="5" spans="1:32" x14ac:dyDescent="0.2">
      <c r="A5" t="s">
        <v>1206</v>
      </c>
      <c r="B5" s="130">
        <v>16</v>
      </c>
      <c r="C5" s="313">
        <f>Table10[[#This Row],[R-Value]]/Table10[[#This Row],[SIP Panel Thickness (in)]]</f>
        <v>3.4594594594594597</v>
      </c>
      <c r="D5" s="130">
        <v>4.625</v>
      </c>
      <c r="E5" s="130" t="s">
        <v>1171</v>
      </c>
      <c r="F5" s="131">
        <v>365.6</v>
      </c>
      <c r="G5" s="132">
        <v>9.14</v>
      </c>
      <c r="H5" s="132"/>
      <c r="I5" s="133"/>
      <c r="J5" s="133"/>
      <c r="K5" s="133"/>
      <c r="L5" s="133"/>
      <c r="M5" s="133"/>
      <c r="N5" s="377">
        <v>2023</v>
      </c>
      <c r="O5" s="133"/>
      <c r="P5" s="129" t="s">
        <v>1165</v>
      </c>
      <c r="Q5" s="133" t="s">
        <v>1167</v>
      </c>
      <c r="R5" s="315" t="s">
        <v>71</v>
      </c>
      <c r="S5" s="134"/>
      <c r="T5" s="133"/>
      <c r="U5" s="135" t="s">
        <v>1168</v>
      </c>
      <c r="V5" s="133"/>
      <c r="W5" s="133"/>
      <c r="X5" s="133"/>
      <c r="Y5" s="133"/>
      <c r="Z5" s="133"/>
      <c r="AA5" s="133"/>
      <c r="AB5" s="133"/>
      <c r="AC5" s="133"/>
      <c r="AD5" s="136"/>
      <c r="AE5" s="137"/>
    </row>
    <row r="6" spans="1:32" x14ac:dyDescent="0.2">
      <c r="A6" t="s">
        <v>1206</v>
      </c>
      <c r="B6" s="130">
        <v>16</v>
      </c>
      <c r="C6" s="313">
        <f>Table10[[#This Row],[R-Value]]/Table10[[#This Row],[SIP Panel Thickness (in)]]</f>
        <v>3.4594594594594597</v>
      </c>
      <c r="D6" s="130">
        <v>4.625</v>
      </c>
      <c r="E6" s="130" t="s">
        <v>1172</v>
      </c>
      <c r="F6" s="131">
        <v>438.72</v>
      </c>
      <c r="G6" s="132">
        <v>9.14</v>
      </c>
      <c r="H6" s="132"/>
      <c r="I6" s="133"/>
      <c r="J6" s="133"/>
      <c r="K6" s="133"/>
      <c r="L6" s="133"/>
      <c r="M6" s="133"/>
      <c r="N6" s="377">
        <v>2023</v>
      </c>
      <c r="O6" s="133"/>
      <c r="P6" s="129" t="s">
        <v>1165</v>
      </c>
      <c r="Q6" s="133" t="s">
        <v>1167</v>
      </c>
      <c r="R6" s="315" t="s">
        <v>71</v>
      </c>
      <c r="S6" s="134"/>
      <c r="T6" s="133"/>
      <c r="U6" s="135"/>
      <c r="V6" s="133"/>
      <c r="W6" s="133"/>
      <c r="X6" s="133"/>
      <c r="Y6" s="133"/>
      <c r="Z6" s="133"/>
      <c r="AA6" s="133"/>
      <c r="AB6" s="133"/>
      <c r="AC6" s="133"/>
      <c r="AD6" s="136"/>
      <c r="AE6" s="137"/>
    </row>
    <row r="7" spans="1:32" x14ac:dyDescent="0.2">
      <c r="A7" t="s">
        <v>1206</v>
      </c>
      <c r="B7" s="130">
        <v>16</v>
      </c>
      <c r="C7" s="313">
        <f>Table10[[#This Row],[R-Value]]/Table10[[#This Row],[SIP Panel Thickness (in)]]</f>
        <v>3.4594594594594597</v>
      </c>
      <c r="D7" s="130">
        <v>4.625</v>
      </c>
      <c r="E7" s="130" t="s">
        <v>1173</v>
      </c>
      <c r="F7" s="131">
        <v>511.84</v>
      </c>
      <c r="G7" s="132">
        <v>9.14</v>
      </c>
      <c r="H7" s="132"/>
      <c r="I7" s="133"/>
      <c r="J7" s="133"/>
      <c r="K7" s="133"/>
      <c r="L7" s="133"/>
      <c r="M7" s="133"/>
      <c r="N7" s="377">
        <v>2023</v>
      </c>
      <c r="O7" s="133"/>
      <c r="P7" s="129" t="s">
        <v>1165</v>
      </c>
      <c r="Q7" s="133" t="s">
        <v>1167</v>
      </c>
      <c r="R7" s="315" t="s">
        <v>71</v>
      </c>
      <c r="S7" s="134"/>
      <c r="T7" s="133"/>
      <c r="U7" s="135"/>
      <c r="V7" s="133"/>
      <c r="W7" s="133"/>
      <c r="X7" s="133"/>
      <c r="Y7" s="133"/>
      <c r="Z7" s="133"/>
      <c r="AA7" s="133"/>
      <c r="AB7" s="133"/>
      <c r="AC7" s="133"/>
      <c r="AD7" s="136"/>
      <c r="AE7" s="137"/>
    </row>
    <row r="8" spans="1:32" x14ac:dyDescent="0.2">
      <c r="A8" t="s">
        <v>1206</v>
      </c>
      <c r="B8" s="130">
        <v>16</v>
      </c>
      <c r="C8" s="313">
        <f>Table10[[#This Row],[R-Value]]/Table10[[#This Row],[SIP Panel Thickness (in)]]</f>
        <v>3.4594594594594597</v>
      </c>
      <c r="D8" s="130">
        <v>4.625</v>
      </c>
      <c r="E8" s="130" t="s">
        <v>1174</v>
      </c>
      <c r="F8" s="131">
        <v>584.96</v>
      </c>
      <c r="G8" s="132">
        <v>9.14</v>
      </c>
      <c r="H8" s="132"/>
      <c r="I8" s="133"/>
      <c r="J8" s="133"/>
      <c r="K8" s="133"/>
      <c r="L8" s="133"/>
      <c r="M8" s="133"/>
      <c r="N8" s="377">
        <v>2023</v>
      </c>
      <c r="O8" s="133"/>
      <c r="P8" s="129" t="s">
        <v>1165</v>
      </c>
      <c r="Q8" s="133" t="s">
        <v>1167</v>
      </c>
      <c r="R8" s="315" t="s">
        <v>71</v>
      </c>
      <c r="S8" s="134"/>
      <c r="T8" s="133"/>
      <c r="U8" s="135"/>
      <c r="V8" s="133"/>
      <c r="W8" s="133"/>
      <c r="X8" s="133"/>
      <c r="Y8" s="133"/>
      <c r="Z8" s="133"/>
      <c r="AA8" s="133"/>
      <c r="AB8" s="133"/>
      <c r="AC8" s="133"/>
      <c r="AD8" s="136"/>
      <c r="AE8" s="137"/>
    </row>
    <row r="9" spans="1:32" x14ac:dyDescent="0.2">
      <c r="A9" t="s">
        <v>1206</v>
      </c>
      <c r="B9" s="130">
        <v>16</v>
      </c>
      <c r="C9" s="313">
        <f>Table10[[#This Row],[R-Value]]/Table10[[#This Row],[SIP Panel Thickness (in)]]</f>
        <v>3.4594594594594597</v>
      </c>
      <c r="D9" s="130">
        <v>4.625</v>
      </c>
      <c r="E9" s="130" t="s">
        <v>1175</v>
      </c>
      <c r="F9" s="131">
        <v>731.2</v>
      </c>
      <c r="G9" s="132">
        <v>9.14</v>
      </c>
      <c r="H9" s="132"/>
      <c r="I9" s="133"/>
      <c r="J9" s="133"/>
      <c r="K9" s="133"/>
      <c r="L9" s="133"/>
      <c r="M9" s="133"/>
      <c r="N9" s="377">
        <v>2023</v>
      </c>
      <c r="O9" s="133"/>
      <c r="P9" s="129" t="s">
        <v>1165</v>
      </c>
      <c r="Q9" s="133" t="s">
        <v>1167</v>
      </c>
      <c r="R9" s="315" t="s">
        <v>71</v>
      </c>
      <c r="S9" s="134"/>
      <c r="T9" s="133"/>
      <c r="U9" s="135"/>
      <c r="V9" s="133"/>
      <c r="W9" s="133"/>
      <c r="X9" s="133"/>
      <c r="Y9" s="133"/>
      <c r="Z9" s="133"/>
      <c r="AA9" s="133"/>
      <c r="AB9" s="133"/>
      <c r="AC9" s="133"/>
      <c r="AD9" s="136"/>
      <c r="AE9" s="137"/>
    </row>
    <row r="10" spans="1:32" x14ac:dyDescent="0.2">
      <c r="A10" t="s">
        <v>1206</v>
      </c>
      <c r="B10" s="130">
        <v>16</v>
      </c>
      <c r="C10" s="313">
        <f>Table10[[#This Row],[R-Value]]/Table10[[#This Row],[SIP Panel Thickness (in)]]</f>
        <v>3.4594594594594597</v>
      </c>
      <c r="D10" s="130">
        <v>4.625</v>
      </c>
      <c r="E10" s="130" t="s">
        <v>1176</v>
      </c>
      <c r="F10" s="131">
        <v>877.44</v>
      </c>
      <c r="G10" s="132">
        <v>9.14</v>
      </c>
      <c r="H10" s="132"/>
      <c r="I10" s="133"/>
      <c r="J10" s="133"/>
      <c r="K10" s="133"/>
      <c r="L10" s="133"/>
      <c r="M10" s="133"/>
      <c r="N10" s="377">
        <v>2023</v>
      </c>
      <c r="O10" s="133"/>
      <c r="P10" s="129" t="s">
        <v>1165</v>
      </c>
      <c r="Q10" s="133" t="s">
        <v>1167</v>
      </c>
      <c r="R10" s="315" t="s">
        <v>71</v>
      </c>
      <c r="S10" s="134"/>
      <c r="T10" s="133"/>
      <c r="U10" s="135"/>
      <c r="V10" s="133"/>
      <c r="W10" s="133"/>
      <c r="X10" s="133"/>
      <c r="Y10" s="133"/>
      <c r="Z10" s="133"/>
      <c r="AA10" s="133"/>
      <c r="AB10" s="133"/>
      <c r="AC10" s="133"/>
      <c r="AD10" s="136"/>
      <c r="AE10" s="137"/>
    </row>
    <row r="11" spans="1:32" x14ac:dyDescent="0.2">
      <c r="A11" t="s">
        <v>1206</v>
      </c>
      <c r="B11" s="130">
        <v>16</v>
      </c>
      <c r="C11" s="313">
        <f>Table10[[#This Row],[R-Value]]/Table10[[#This Row],[SIP Panel Thickness (in)]]</f>
        <v>3.4594594594594597</v>
      </c>
      <c r="D11" s="130">
        <v>4.625</v>
      </c>
      <c r="E11" s="130" t="s">
        <v>1177</v>
      </c>
      <c r="F11" s="131">
        <v>1754.88</v>
      </c>
      <c r="G11" s="132">
        <v>9.14</v>
      </c>
      <c r="H11" s="132"/>
      <c r="I11" s="133"/>
      <c r="J11" s="133"/>
      <c r="K11" s="133"/>
      <c r="L11" s="133"/>
      <c r="M11" s="133"/>
      <c r="N11" s="377">
        <v>2023</v>
      </c>
      <c r="O11" s="133"/>
      <c r="P11" s="129" t="s">
        <v>1165</v>
      </c>
      <c r="Q11" s="133" t="s">
        <v>1167</v>
      </c>
      <c r="R11" s="315" t="s">
        <v>71</v>
      </c>
      <c r="S11" s="134"/>
      <c r="T11" s="133"/>
      <c r="U11" s="135"/>
      <c r="V11" s="133"/>
      <c r="W11" s="133"/>
      <c r="X11" s="133"/>
      <c r="Y11" s="133"/>
      <c r="Z11" s="133"/>
      <c r="AA11" s="133"/>
      <c r="AB11" s="133"/>
      <c r="AC11" s="133"/>
      <c r="AD11" s="136"/>
      <c r="AE11" s="137"/>
    </row>
    <row r="12" spans="1:32" x14ac:dyDescent="0.2">
      <c r="A12" t="s">
        <v>1206</v>
      </c>
      <c r="B12" s="130">
        <v>24</v>
      </c>
      <c r="C12" s="313">
        <f>Table10[[#This Row],[R-Value]]/Table10[[#This Row],[SIP Panel Thickness (in)]]</f>
        <v>3.6923076923076925</v>
      </c>
      <c r="D12" s="130">
        <v>6.5</v>
      </c>
      <c r="E12" s="130" t="s">
        <v>1166</v>
      </c>
      <c r="F12" s="131">
        <v>311.36</v>
      </c>
      <c r="G12" s="132">
        <v>9.73</v>
      </c>
      <c r="H12" s="132"/>
      <c r="I12" s="133"/>
      <c r="J12" s="133"/>
      <c r="K12" s="133"/>
      <c r="L12" s="133"/>
      <c r="M12" s="133"/>
      <c r="N12" s="377">
        <v>2023</v>
      </c>
      <c r="O12" s="133"/>
      <c r="P12" s="129" t="s">
        <v>1165</v>
      </c>
      <c r="Q12" s="133" t="s">
        <v>1167</v>
      </c>
      <c r="R12" s="315" t="s">
        <v>71</v>
      </c>
      <c r="S12" s="134"/>
      <c r="T12" s="133"/>
      <c r="U12" s="135"/>
      <c r="V12" s="133"/>
      <c r="W12" s="133"/>
      <c r="X12" s="133"/>
      <c r="Y12" s="133"/>
      <c r="Z12" s="133"/>
      <c r="AA12" s="133"/>
      <c r="AB12" s="133"/>
      <c r="AC12" s="133"/>
      <c r="AD12" s="136"/>
      <c r="AE12" s="137"/>
    </row>
    <row r="13" spans="1:32" x14ac:dyDescent="0.2">
      <c r="A13" t="s">
        <v>1206</v>
      </c>
      <c r="B13" s="130">
        <v>24</v>
      </c>
      <c r="C13" s="313">
        <f>Table10[[#This Row],[R-Value]]/Table10[[#This Row],[SIP Panel Thickness (in)]]</f>
        <v>3.6923076923076925</v>
      </c>
      <c r="D13" s="130">
        <v>6.5</v>
      </c>
      <c r="E13" s="130" t="s">
        <v>1171</v>
      </c>
      <c r="F13" s="131">
        <v>389.2</v>
      </c>
      <c r="G13" s="132">
        <v>9.73</v>
      </c>
      <c r="H13" s="132"/>
      <c r="I13" s="133"/>
      <c r="J13" s="133"/>
      <c r="K13" s="133"/>
      <c r="L13" s="133"/>
      <c r="M13" s="133"/>
      <c r="N13" s="377">
        <v>2023</v>
      </c>
      <c r="O13" s="133"/>
      <c r="P13" s="129" t="s">
        <v>1165</v>
      </c>
      <c r="Q13" s="133" t="s">
        <v>1167</v>
      </c>
      <c r="R13" s="315" t="s">
        <v>71</v>
      </c>
      <c r="S13" s="134"/>
      <c r="T13" s="133"/>
      <c r="U13" s="135"/>
      <c r="V13" s="133"/>
      <c r="W13" s="133"/>
      <c r="X13" s="133"/>
      <c r="Y13" s="133"/>
      <c r="Z13" s="133"/>
      <c r="AA13" s="133"/>
      <c r="AB13" s="133"/>
      <c r="AC13" s="133"/>
      <c r="AD13" s="136"/>
      <c r="AE13" s="137"/>
    </row>
    <row r="14" spans="1:32" x14ac:dyDescent="0.2">
      <c r="A14" t="s">
        <v>1206</v>
      </c>
      <c r="B14" s="130">
        <v>24</v>
      </c>
      <c r="C14" s="313">
        <f>Table10[[#This Row],[R-Value]]/Table10[[#This Row],[SIP Panel Thickness (in)]]</f>
        <v>3.6923076923076925</v>
      </c>
      <c r="D14" s="130">
        <v>6.5</v>
      </c>
      <c r="E14" s="130" t="s">
        <v>1172</v>
      </c>
      <c r="F14" s="131">
        <v>467.04</v>
      </c>
      <c r="G14" s="132">
        <v>9.73</v>
      </c>
      <c r="H14" s="132"/>
      <c r="I14" s="133"/>
      <c r="J14" s="133"/>
      <c r="K14" s="133"/>
      <c r="L14" s="133"/>
      <c r="M14" s="133"/>
      <c r="N14" s="377">
        <v>2023</v>
      </c>
      <c r="O14" s="133"/>
      <c r="P14" s="129" t="s">
        <v>1165</v>
      </c>
      <c r="Q14" s="133" t="s">
        <v>1167</v>
      </c>
      <c r="R14" s="315" t="s">
        <v>71</v>
      </c>
      <c r="S14" s="134"/>
      <c r="T14" s="133"/>
      <c r="U14" s="135"/>
      <c r="V14" s="133"/>
      <c r="W14" s="133"/>
      <c r="X14" s="133"/>
      <c r="Y14" s="133"/>
      <c r="Z14" s="133"/>
      <c r="AA14" s="133"/>
      <c r="AB14" s="133"/>
      <c r="AC14" s="133"/>
      <c r="AD14" s="136"/>
      <c r="AE14" s="137"/>
    </row>
    <row r="15" spans="1:32" x14ac:dyDescent="0.2">
      <c r="A15" t="s">
        <v>1206</v>
      </c>
      <c r="B15" s="130">
        <v>24</v>
      </c>
      <c r="C15" s="313">
        <f>Table10[[#This Row],[R-Value]]/Table10[[#This Row],[SIP Panel Thickness (in)]]</f>
        <v>3.6923076923076925</v>
      </c>
      <c r="D15" s="130">
        <v>6.5</v>
      </c>
      <c r="E15" s="130" t="s">
        <v>1173</v>
      </c>
      <c r="F15" s="131">
        <v>544.88</v>
      </c>
      <c r="G15" s="132">
        <v>9.73</v>
      </c>
      <c r="H15" s="132"/>
      <c r="I15" s="133"/>
      <c r="J15" s="133"/>
      <c r="K15" s="133"/>
      <c r="L15" s="133"/>
      <c r="M15" s="133"/>
      <c r="N15" s="377">
        <v>2023</v>
      </c>
      <c r="O15" s="133"/>
      <c r="P15" s="129" t="s">
        <v>1165</v>
      </c>
      <c r="Q15" s="133" t="s">
        <v>1167</v>
      </c>
      <c r="R15" s="315" t="s">
        <v>71</v>
      </c>
      <c r="S15" s="134"/>
      <c r="T15" s="133"/>
      <c r="U15" s="135"/>
      <c r="V15" s="133"/>
      <c r="W15" s="133"/>
      <c r="X15" s="133"/>
      <c r="Y15" s="133"/>
      <c r="Z15" s="133"/>
      <c r="AA15" s="133"/>
      <c r="AB15" s="133"/>
      <c r="AC15" s="133"/>
      <c r="AD15" s="136"/>
      <c r="AE15" s="137"/>
    </row>
    <row r="16" spans="1:32" x14ac:dyDescent="0.2">
      <c r="A16" t="s">
        <v>1206</v>
      </c>
      <c r="B16" s="130">
        <v>24</v>
      </c>
      <c r="C16" s="313">
        <f>Table10[[#This Row],[R-Value]]/Table10[[#This Row],[SIP Panel Thickness (in)]]</f>
        <v>3.6923076923076925</v>
      </c>
      <c r="D16" s="130">
        <v>6.5</v>
      </c>
      <c r="E16" s="130" t="s">
        <v>1174</v>
      </c>
      <c r="F16" s="131">
        <v>622.72</v>
      </c>
      <c r="G16" s="132">
        <v>9.73</v>
      </c>
      <c r="H16" s="132"/>
      <c r="I16" s="133"/>
      <c r="J16" s="133"/>
      <c r="K16" s="133"/>
      <c r="L16" s="133"/>
      <c r="M16" s="133"/>
      <c r="N16" s="377">
        <v>2023</v>
      </c>
      <c r="O16" s="133"/>
      <c r="P16" s="129" t="s">
        <v>1165</v>
      </c>
      <c r="Q16" s="133" t="s">
        <v>1167</v>
      </c>
      <c r="R16" s="315" t="s">
        <v>71</v>
      </c>
      <c r="S16" s="134"/>
      <c r="T16" s="133"/>
      <c r="U16" s="135"/>
      <c r="V16" s="133"/>
      <c r="W16" s="133"/>
      <c r="X16" s="133"/>
      <c r="Y16" s="133"/>
      <c r="Z16" s="133"/>
      <c r="AA16" s="133"/>
      <c r="AB16" s="133"/>
      <c r="AC16" s="133"/>
      <c r="AD16" s="136"/>
      <c r="AE16" s="137"/>
    </row>
    <row r="17" spans="1:31" x14ac:dyDescent="0.2">
      <c r="A17" t="s">
        <v>1206</v>
      </c>
      <c r="B17" s="130">
        <v>24</v>
      </c>
      <c r="C17" s="313">
        <f>Table10[[#This Row],[R-Value]]/Table10[[#This Row],[SIP Panel Thickness (in)]]</f>
        <v>3.6923076923076925</v>
      </c>
      <c r="D17" s="130">
        <v>6.5</v>
      </c>
      <c r="E17" s="130" t="s">
        <v>1175</v>
      </c>
      <c r="F17" s="131">
        <v>778.4</v>
      </c>
      <c r="G17" s="132">
        <v>9.73</v>
      </c>
      <c r="H17" s="132"/>
      <c r="I17" s="133"/>
      <c r="J17" s="133"/>
      <c r="K17" s="133"/>
      <c r="L17" s="133"/>
      <c r="M17" s="133"/>
      <c r="N17" s="377">
        <v>2023</v>
      </c>
      <c r="O17" s="133"/>
      <c r="P17" s="129" t="s">
        <v>1165</v>
      </c>
      <c r="Q17" s="133" t="s">
        <v>1167</v>
      </c>
      <c r="R17" s="315" t="s">
        <v>71</v>
      </c>
      <c r="S17" s="134"/>
      <c r="T17" s="133"/>
      <c r="U17" s="135"/>
      <c r="V17" s="133"/>
      <c r="W17" s="133"/>
      <c r="X17" s="133"/>
      <c r="Y17" s="133"/>
      <c r="Z17" s="133"/>
      <c r="AA17" s="133"/>
      <c r="AB17" s="133"/>
      <c r="AC17" s="133"/>
      <c r="AD17" s="136"/>
      <c r="AE17" s="137"/>
    </row>
    <row r="18" spans="1:31" x14ac:dyDescent="0.2">
      <c r="A18" t="s">
        <v>1206</v>
      </c>
      <c r="B18" s="130">
        <v>24</v>
      </c>
      <c r="C18" s="313">
        <f>Table10[[#This Row],[R-Value]]/Table10[[#This Row],[SIP Panel Thickness (in)]]</f>
        <v>3.6923076923076925</v>
      </c>
      <c r="D18" s="130">
        <v>6.5</v>
      </c>
      <c r="E18" s="130" t="s">
        <v>1176</v>
      </c>
      <c r="F18" s="131">
        <v>934.08</v>
      </c>
      <c r="G18" s="132">
        <v>9.73</v>
      </c>
      <c r="H18" s="132"/>
      <c r="I18" s="133"/>
      <c r="J18" s="133"/>
      <c r="K18" s="133"/>
      <c r="L18" s="133"/>
      <c r="M18" s="133"/>
      <c r="N18" s="377">
        <v>2023</v>
      </c>
      <c r="O18" s="133"/>
      <c r="P18" s="129" t="s">
        <v>1165</v>
      </c>
      <c r="Q18" s="133" t="s">
        <v>1167</v>
      </c>
      <c r="R18" s="315" t="s">
        <v>71</v>
      </c>
      <c r="S18" s="134"/>
      <c r="T18" s="133"/>
      <c r="U18" s="135"/>
      <c r="V18" s="133"/>
      <c r="W18" s="133"/>
      <c r="X18" s="133"/>
      <c r="Y18" s="133"/>
      <c r="Z18" s="133"/>
      <c r="AA18" s="133"/>
      <c r="AB18" s="133"/>
      <c r="AC18" s="133"/>
      <c r="AD18" s="136"/>
      <c r="AE18" s="137"/>
    </row>
    <row r="19" spans="1:31" x14ac:dyDescent="0.2">
      <c r="A19" t="s">
        <v>1206</v>
      </c>
      <c r="B19" s="130">
        <v>24</v>
      </c>
      <c r="C19" s="313">
        <f>Table10[[#This Row],[R-Value]]/Table10[[#This Row],[SIP Panel Thickness (in)]]</f>
        <v>3.6923076923076925</v>
      </c>
      <c r="D19" s="130">
        <v>6.5</v>
      </c>
      <c r="E19" s="130" t="s">
        <v>1177</v>
      </c>
      <c r="F19" s="131">
        <v>1868.16</v>
      </c>
      <c r="G19" s="132">
        <v>9.73</v>
      </c>
      <c r="H19" s="132"/>
      <c r="I19" s="133"/>
      <c r="J19" s="133"/>
      <c r="K19" s="133"/>
      <c r="L19" s="133"/>
      <c r="M19" s="133"/>
      <c r="N19" s="377">
        <v>2023</v>
      </c>
      <c r="O19" s="133"/>
      <c r="P19" s="129" t="s">
        <v>1165</v>
      </c>
      <c r="Q19" s="133" t="s">
        <v>1167</v>
      </c>
      <c r="R19" s="315" t="s">
        <v>71</v>
      </c>
      <c r="S19" s="134"/>
      <c r="T19" s="133"/>
      <c r="U19" s="135"/>
      <c r="V19" s="133"/>
      <c r="W19" s="133"/>
      <c r="X19" s="133"/>
      <c r="Y19" s="133"/>
      <c r="Z19" s="133"/>
      <c r="AA19" s="133"/>
      <c r="AB19" s="133"/>
      <c r="AC19" s="133"/>
      <c r="AD19" s="136"/>
      <c r="AE19" s="137"/>
    </row>
    <row r="20" spans="1:31" x14ac:dyDescent="0.2">
      <c r="A20" t="s">
        <v>1206</v>
      </c>
      <c r="B20" s="130">
        <v>32</v>
      </c>
      <c r="C20" s="313">
        <f>Table10[[#This Row],[R-Value]]/Table10[[#This Row],[SIP Panel Thickness (in)]]</f>
        <v>3.8787878787878789</v>
      </c>
      <c r="D20" s="130">
        <v>8.25</v>
      </c>
      <c r="E20" s="130" t="s">
        <v>1166</v>
      </c>
      <c r="F20" s="131">
        <v>332.8</v>
      </c>
      <c r="G20" s="132">
        <v>10.4</v>
      </c>
      <c r="H20" s="132"/>
      <c r="I20" s="133"/>
      <c r="J20" s="133"/>
      <c r="K20" s="133"/>
      <c r="L20" s="133"/>
      <c r="M20" s="133"/>
      <c r="N20" s="377">
        <v>2023</v>
      </c>
      <c r="O20" s="133"/>
      <c r="P20" s="129" t="s">
        <v>1165</v>
      </c>
      <c r="Q20" s="133" t="s">
        <v>1167</v>
      </c>
      <c r="R20" s="315" t="s">
        <v>71</v>
      </c>
      <c r="S20" s="134"/>
      <c r="T20" s="133"/>
      <c r="U20" s="135"/>
      <c r="V20" s="133"/>
      <c r="W20" s="133"/>
      <c r="X20" s="133"/>
      <c r="Y20" s="133"/>
      <c r="Z20" s="133"/>
      <c r="AA20" s="133"/>
      <c r="AB20" s="133"/>
      <c r="AC20" s="133"/>
      <c r="AD20" s="136"/>
      <c r="AE20" s="137"/>
    </row>
    <row r="21" spans="1:31" x14ac:dyDescent="0.2">
      <c r="A21" t="s">
        <v>1206</v>
      </c>
      <c r="B21" s="130">
        <v>32</v>
      </c>
      <c r="C21" s="313">
        <f>Table10[[#This Row],[R-Value]]/Table10[[#This Row],[SIP Panel Thickness (in)]]</f>
        <v>3.8787878787878789</v>
      </c>
      <c r="D21" s="130">
        <v>8.25</v>
      </c>
      <c r="E21" s="130" t="s">
        <v>1171</v>
      </c>
      <c r="F21" s="131">
        <v>416</v>
      </c>
      <c r="G21" s="132">
        <v>10.4</v>
      </c>
      <c r="H21" s="132"/>
      <c r="I21" s="133"/>
      <c r="J21" s="133"/>
      <c r="K21" s="133"/>
      <c r="L21" s="133"/>
      <c r="M21" s="133"/>
      <c r="N21" s="377">
        <v>2023</v>
      </c>
      <c r="O21" s="133"/>
      <c r="P21" s="129" t="s">
        <v>1165</v>
      </c>
      <c r="Q21" s="133" t="s">
        <v>1167</v>
      </c>
      <c r="R21" s="315" t="s">
        <v>71</v>
      </c>
      <c r="S21" s="134"/>
      <c r="T21" s="133"/>
      <c r="U21" s="135"/>
      <c r="V21" s="133"/>
      <c r="W21" s="133"/>
      <c r="X21" s="133"/>
      <c r="Y21" s="133"/>
      <c r="Z21" s="133"/>
      <c r="AA21" s="133"/>
      <c r="AB21" s="133"/>
      <c r="AC21" s="133"/>
      <c r="AD21" s="136"/>
      <c r="AE21" s="137"/>
    </row>
    <row r="22" spans="1:31" x14ac:dyDescent="0.2">
      <c r="A22" t="s">
        <v>1206</v>
      </c>
      <c r="B22" s="130">
        <v>32</v>
      </c>
      <c r="C22" s="313">
        <f>Table10[[#This Row],[R-Value]]/Table10[[#This Row],[SIP Panel Thickness (in)]]</f>
        <v>3.8787878787878789</v>
      </c>
      <c r="D22" s="130">
        <v>8.25</v>
      </c>
      <c r="E22" s="130" t="s">
        <v>1172</v>
      </c>
      <c r="F22" s="131">
        <v>499.2</v>
      </c>
      <c r="G22" s="132">
        <v>10.4</v>
      </c>
      <c r="H22" s="132"/>
      <c r="I22" s="133"/>
      <c r="J22" s="133"/>
      <c r="K22" s="133"/>
      <c r="L22" s="133"/>
      <c r="M22" s="133"/>
      <c r="N22" s="377">
        <v>2023</v>
      </c>
      <c r="O22" s="133"/>
      <c r="P22" s="129" t="s">
        <v>1165</v>
      </c>
      <c r="Q22" s="133" t="s">
        <v>1167</v>
      </c>
      <c r="R22" s="315" t="s">
        <v>71</v>
      </c>
      <c r="S22" s="134"/>
      <c r="T22" s="133"/>
      <c r="U22" s="135"/>
      <c r="V22" s="133"/>
      <c r="W22" s="133"/>
      <c r="X22" s="133"/>
      <c r="Y22" s="133"/>
      <c r="Z22" s="133"/>
      <c r="AA22" s="133"/>
      <c r="AB22" s="133"/>
      <c r="AC22" s="133"/>
      <c r="AD22" s="136"/>
      <c r="AE22" s="137"/>
    </row>
    <row r="23" spans="1:31" x14ac:dyDescent="0.2">
      <c r="A23" t="s">
        <v>1206</v>
      </c>
      <c r="B23" s="130">
        <v>32</v>
      </c>
      <c r="C23" s="313">
        <f>Table10[[#This Row],[R-Value]]/Table10[[#This Row],[SIP Panel Thickness (in)]]</f>
        <v>3.8787878787878789</v>
      </c>
      <c r="D23" s="130">
        <v>8.25</v>
      </c>
      <c r="E23" s="130" t="s">
        <v>1173</v>
      </c>
      <c r="F23" s="131">
        <v>582.4</v>
      </c>
      <c r="G23" s="132">
        <v>10.4</v>
      </c>
      <c r="H23" s="132"/>
      <c r="I23" s="133"/>
      <c r="J23" s="133"/>
      <c r="K23" s="133"/>
      <c r="L23" s="133"/>
      <c r="M23" s="133"/>
      <c r="N23" s="377">
        <v>2023</v>
      </c>
      <c r="O23" s="133"/>
      <c r="P23" s="129" t="s">
        <v>1165</v>
      </c>
      <c r="Q23" s="133" t="s">
        <v>1167</v>
      </c>
      <c r="R23" s="315" t="s">
        <v>71</v>
      </c>
      <c r="S23" s="134"/>
      <c r="T23" s="133"/>
      <c r="U23" s="135"/>
      <c r="V23" s="133"/>
      <c r="W23" s="133"/>
      <c r="X23" s="133"/>
      <c r="Y23" s="133"/>
      <c r="Z23" s="133"/>
      <c r="AA23" s="133"/>
      <c r="AB23" s="133"/>
      <c r="AC23" s="133"/>
      <c r="AD23" s="136"/>
      <c r="AE23" s="137"/>
    </row>
    <row r="24" spans="1:31" x14ac:dyDescent="0.2">
      <c r="A24" t="s">
        <v>1206</v>
      </c>
      <c r="B24" s="130">
        <v>32</v>
      </c>
      <c r="C24" s="313">
        <f>Table10[[#This Row],[R-Value]]/Table10[[#This Row],[SIP Panel Thickness (in)]]</f>
        <v>3.8787878787878789</v>
      </c>
      <c r="D24" s="130">
        <v>8.25</v>
      </c>
      <c r="E24" s="130" t="s">
        <v>1174</v>
      </c>
      <c r="F24" s="131">
        <v>665.6</v>
      </c>
      <c r="G24" s="132">
        <v>10.4</v>
      </c>
      <c r="H24" s="132"/>
      <c r="I24" s="133"/>
      <c r="J24" s="133"/>
      <c r="K24" s="133"/>
      <c r="L24" s="133"/>
      <c r="M24" s="133"/>
      <c r="N24" s="377">
        <v>2023</v>
      </c>
      <c r="O24" s="133"/>
      <c r="P24" s="129" t="s">
        <v>1165</v>
      </c>
      <c r="Q24" s="133" t="s">
        <v>1167</v>
      </c>
      <c r="R24" s="315" t="s">
        <v>71</v>
      </c>
      <c r="S24" s="134"/>
      <c r="T24" s="133"/>
      <c r="U24" s="135"/>
      <c r="V24" s="133"/>
      <c r="W24" s="133"/>
      <c r="X24" s="133"/>
      <c r="Y24" s="133"/>
      <c r="Z24" s="133"/>
      <c r="AA24" s="133"/>
      <c r="AB24" s="133"/>
      <c r="AC24" s="133"/>
      <c r="AD24" s="136"/>
      <c r="AE24" s="137"/>
    </row>
    <row r="25" spans="1:31" x14ac:dyDescent="0.2">
      <c r="A25" t="s">
        <v>1206</v>
      </c>
      <c r="B25" s="130">
        <v>32</v>
      </c>
      <c r="C25" s="313">
        <f>Table10[[#This Row],[R-Value]]/Table10[[#This Row],[SIP Panel Thickness (in)]]</f>
        <v>3.8787878787878789</v>
      </c>
      <c r="D25" s="130">
        <v>8.25</v>
      </c>
      <c r="E25" s="130" t="s">
        <v>1175</v>
      </c>
      <c r="F25" s="131">
        <v>832</v>
      </c>
      <c r="G25" s="132">
        <v>10.4</v>
      </c>
      <c r="H25" s="132"/>
      <c r="I25" s="133"/>
      <c r="J25" s="133"/>
      <c r="K25" s="133"/>
      <c r="L25" s="133"/>
      <c r="M25" s="133"/>
      <c r="N25" s="377">
        <v>2023</v>
      </c>
      <c r="O25" s="133"/>
      <c r="P25" s="129" t="s">
        <v>1165</v>
      </c>
      <c r="Q25" s="133" t="s">
        <v>1167</v>
      </c>
      <c r="R25" s="315" t="s">
        <v>71</v>
      </c>
      <c r="S25" s="134"/>
      <c r="T25" s="133"/>
      <c r="U25" s="135"/>
      <c r="V25" s="133"/>
      <c r="W25" s="133"/>
      <c r="X25" s="133"/>
      <c r="Y25" s="133"/>
      <c r="Z25" s="133"/>
      <c r="AA25" s="133"/>
      <c r="AB25" s="133"/>
      <c r="AC25" s="133"/>
      <c r="AD25" s="136"/>
      <c r="AE25" s="137"/>
    </row>
    <row r="26" spans="1:31" x14ac:dyDescent="0.2">
      <c r="A26" t="s">
        <v>1206</v>
      </c>
      <c r="B26" s="130">
        <v>32</v>
      </c>
      <c r="C26" s="313">
        <f>Table10[[#This Row],[R-Value]]/Table10[[#This Row],[SIP Panel Thickness (in)]]</f>
        <v>3.8787878787878789</v>
      </c>
      <c r="D26" s="130">
        <v>8.25</v>
      </c>
      <c r="E26" s="130" t="s">
        <v>1176</v>
      </c>
      <c r="F26" s="131">
        <v>998.4</v>
      </c>
      <c r="G26" s="132">
        <v>10.4</v>
      </c>
      <c r="H26" s="132"/>
      <c r="I26" s="133"/>
      <c r="J26" s="133"/>
      <c r="K26" s="133"/>
      <c r="L26" s="133"/>
      <c r="M26" s="133"/>
      <c r="N26" s="377">
        <v>2023</v>
      </c>
      <c r="O26" s="133"/>
      <c r="P26" s="129" t="s">
        <v>1165</v>
      </c>
      <c r="Q26" s="133" t="s">
        <v>1167</v>
      </c>
      <c r="R26" s="315" t="s">
        <v>71</v>
      </c>
      <c r="S26" s="134"/>
      <c r="T26" s="133"/>
      <c r="U26" s="135"/>
      <c r="V26" s="133"/>
      <c r="W26" s="133"/>
      <c r="X26" s="133"/>
      <c r="Y26" s="133"/>
      <c r="Z26" s="133"/>
      <c r="AA26" s="133"/>
      <c r="AB26" s="133"/>
      <c r="AC26" s="133"/>
      <c r="AD26" s="136"/>
      <c r="AE26" s="137"/>
    </row>
    <row r="27" spans="1:31" x14ac:dyDescent="0.2">
      <c r="A27" t="s">
        <v>1206</v>
      </c>
      <c r="B27" s="130">
        <v>32</v>
      </c>
      <c r="C27" s="313">
        <f>Table10[[#This Row],[R-Value]]/Table10[[#This Row],[SIP Panel Thickness (in)]]</f>
        <v>3.8787878787878789</v>
      </c>
      <c r="D27" s="130">
        <v>8.25</v>
      </c>
      <c r="E27" s="130" t="s">
        <v>1177</v>
      </c>
      <c r="F27" s="131">
        <v>1996.8</v>
      </c>
      <c r="G27" s="132">
        <v>10.4</v>
      </c>
      <c r="H27" s="132"/>
      <c r="I27" s="133"/>
      <c r="J27" s="133"/>
      <c r="K27" s="133"/>
      <c r="L27" s="133"/>
      <c r="M27" s="133"/>
      <c r="N27" s="377">
        <v>2023</v>
      </c>
      <c r="O27" s="133"/>
      <c r="P27" s="129" t="s">
        <v>1165</v>
      </c>
      <c r="Q27" s="133" t="s">
        <v>1167</v>
      </c>
      <c r="R27" s="315" t="s">
        <v>71</v>
      </c>
      <c r="S27" s="134"/>
      <c r="T27" s="133"/>
      <c r="U27" s="135"/>
      <c r="V27" s="133"/>
      <c r="W27" s="133"/>
      <c r="X27" s="133"/>
      <c r="Y27" s="133"/>
      <c r="Z27" s="133"/>
      <c r="AA27" s="133"/>
      <c r="AB27" s="133"/>
      <c r="AC27" s="133"/>
      <c r="AD27" s="136"/>
      <c r="AE27" s="137"/>
    </row>
    <row r="28" spans="1:31" x14ac:dyDescent="0.2">
      <c r="A28" t="s">
        <v>1206</v>
      </c>
      <c r="B28" s="130">
        <v>40</v>
      </c>
      <c r="C28" s="313">
        <f>Table10[[#This Row],[R-Value]]/Table10[[#This Row],[SIP Panel Thickness (in)]]</f>
        <v>3.9024390243902438</v>
      </c>
      <c r="D28" s="130">
        <v>10.25</v>
      </c>
      <c r="E28" s="130" t="s">
        <v>1166</v>
      </c>
      <c r="F28" s="131">
        <v>350.08</v>
      </c>
      <c r="G28" s="132">
        <v>10.94</v>
      </c>
      <c r="H28" s="132"/>
      <c r="I28" s="133"/>
      <c r="J28" s="133"/>
      <c r="K28" s="133"/>
      <c r="L28" s="133"/>
      <c r="M28" s="133"/>
      <c r="N28" s="377">
        <v>2023</v>
      </c>
      <c r="O28" s="133"/>
      <c r="P28" s="129" t="s">
        <v>1165</v>
      </c>
      <c r="Q28" s="133" t="s">
        <v>1167</v>
      </c>
      <c r="R28" s="315" t="s">
        <v>71</v>
      </c>
      <c r="S28" s="134"/>
      <c r="T28" s="133"/>
      <c r="U28" s="135"/>
      <c r="V28" s="133"/>
      <c r="W28" s="133"/>
      <c r="X28" s="133"/>
      <c r="Y28" s="133"/>
      <c r="Z28" s="133"/>
      <c r="AA28" s="133"/>
      <c r="AB28" s="133"/>
      <c r="AC28" s="133"/>
      <c r="AD28" s="136"/>
      <c r="AE28" s="137"/>
    </row>
    <row r="29" spans="1:31" x14ac:dyDescent="0.2">
      <c r="A29" t="s">
        <v>1206</v>
      </c>
      <c r="B29" s="130">
        <v>40</v>
      </c>
      <c r="C29" s="313">
        <f>Table10[[#This Row],[R-Value]]/Table10[[#This Row],[SIP Panel Thickness (in)]]</f>
        <v>3.9024390243902438</v>
      </c>
      <c r="D29" s="130">
        <v>10.25</v>
      </c>
      <c r="E29" s="130" t="s">
        <v>1171</v>
      </c>
      <c r="F29" s="131">
        <v>437.6</v>
      </c>
      <c r="G29" s="132">
        <v>10.94</v>
      </c>
      <c r="H29" s="132"/>
      <c r="I29" s="133"/>
      <c r="J29" s="133"/>
      <c r="K29" s="133"/>
      <c r="L29" s="133"/>
      <c r="M29" s="133"/>
      <c r="N29" s="377">
        <v>2023</v>
      </c>
      <c r="O29" s="133"/>
      <c r="P29" s="129" t="s">
        <v>1165</v>
      </c>
      <c r="Q29" s="133" t="s">
        <v>1167</v>
      </c>
      <c r="R29" s="315" t="s">
        <v>71</v>
      </c>
      <c r="S29" s="134"/>
      <c r="T29" s="133"/>
      <c r="U29" s="133"/>
      <c r="V29" s="133"/>
      <c r="W29" s="133"/>
      <c r="X29" s="133"/>
      <c r="Y29" s="133"/>
      <c r="Z29" s="133"/>
      <c r="AA29" s="133"/>
      <c r="AB29" s="136"/>
      <c r="AC29" s="137"/>
    </row>
    <row r="30" spans="1:31" x14ac:dyDescent="0.2">
      <c r="A30" t="s">
        <v>1206</v>
      </c>
      <c r="B30" s="130">
        <v>40</v>
      </c>
      <c r="C30" s="313">
        <f>Table10[[#This Row],[R-Value]]/Table10[[#This Row],[SIP Panel Thickness (in)]]</f>
        <v>3.9024390243902438</v>
      </c>
      <c r="D30" s="130">
        <v>10.25</v>
      </c>
      <c r="E30" s="130" t="s">
        <v>1172</v>
      </c>
      <c r="F30" s="131">
        <v>525.12</v>
      </c>
      <c r="G30" s="132">
        <v>10.94</v>
      </c>
      <c r="H30" s="132"/>
      <c r="I30" s="133"/>
      <c r="J30" s="133"/>
      <c r="K30" s="133"/>
      <c r="L30" s="133"/>
      <c r="M30" s="133"/>
      <c r="N30" s="377">
        <v>2023</v>
      </c>
      <c r="O30" s="133"/>
      <c r="P30" s="129" t="s">
        <v>1165</v>
      </c>
      <c r="Q30" s="133" t="s">
        <v>1167</v>
      </c>
      <c r="R30" s="315" t="s">
        <v>71</v>
      </c>
      <c r="S30" s="134"/>
      <c r="T30" s="133"/>
      <c r="U30" s="133"/>
      <c r="V30" s="133"/>
      <c r="W30" s="133"/>
      <c r="X30" s="133"/>
      <c r="Y30" s="133"/>
      <c r="Z30" s="133"/>
      <c r="AA30" s="133"/>
      <c r="AB30" s="136"/>
      <c r="AC30" s="137"/>
    </row>
    <row r="31" spans="1:31" x14ac:dyDescent="0.2">
      <c r="A31" t="s">
        <v>1206</v>
      </c>
      <c r="B31" s="130">
        <v>40</v>
      </c>
      <c r="C31" s="313">
        <f>Table10[[#This Row],[R-Value]]/Table10[[#This Row],[SIP Panel Thickness (in)]]</f>
        <v>3.9024390243902438</v>
      </c>
      <c r="D31" s="130">
        <v>10.25</v>
      </c>
      <c r="E31" s="130" t="s">
        <v>1173</v>
      </c>
      <c r="F31" s="131" t="s">
        <v>1178</v>
      </c>
      <c r="G31" s="132">
        <v>10.94</v>
      </c>
      <c r="H31" s="132"/>
      <c r="I31" s="133"/>
      <c r="J31" s="133"/>
      <c r="K31" s="133"/>
      <c r="L31" s="133"/>
      <c r="M31" s="133"/>
      <c r="N31" s="377">
        <v>2023</v>
      </c>
      <c r="O31" s="133"/>
      <c r="P31" s="129" t="s">
        <v>1165</v>
      </c>
      <c r="Q31" s="133" t="s">
        <v>1167</v>
      </c>
      <c r="R31" s="315" t="s">
        <v>71</v>
      </c>
      <c r="S31" s="134"/>
      <c r="T31" s="133"/>
      <c r="U31" s="133"/>
      <c r="V31" s="133"/>
      <c r="W31" s="133"/>
      <c r="X31" s="133"/>
      <c r="Y31" s="133"/>
      <c r="Z31" s="133"/>
      <c r="AA31" s="133"/>
      <c r="AB31" s="136"/>
      <c r="AC31" s="137"/>
    </row>
    <row r="32" spans="1:31" x14ac:dyDescent="0.2">
      <c r="A32" t="s">
        <v>1206</v>
      </c>
      <c r="B32" s="130">
        <v>40</v>
      </c>
      <c r="C32" s="313">
        <f>Table10[[#This Row],[R-Value]]/Table10[[#This Row],[SIP Panel Thickness (in)]]</f>
        <v>3.9024390243902438</v>
      </c>
      <c r="D32" s="130">
        <v>10.25</v>
      </c>
      <c r="E32" s="130" t="s">
        <v>1174</v>
      </c>
      <c r="F32" s="131">
        <v>700.16</v>
      </c>
      <c r="G32" s="132">
        <v>10.94</v>
      </c>
      <c r="H32" s="132"/>
      <c r="I32" s="133"/>
      <c r="J32" s="133"/>
      <c r="K32" s="133"/>
      <c r="L32" s="133"/>
      <c r="M32" s="133"/>
      <c r="N32" s="377">
        <v>2023</v>
      </c>
      <c r="O32" s="133"/>
      <c r="P32" s="129" t="s">
        <v>1165</v>
      </c>
      <c r="Q32" s="133" t="s">
        <v>1167</v>
      </c>
      <c r="R32" s="315" t="s">
        <v>71</v>
      </c>
      <c r="S32" s="134"/>
      <c r="T32" s="133"/>
      <c r="U32" s="138"/>
      <c r="V32" s="138"/>
      <c r="W32" s="138"/>
      <c r="X32" s="138"/>
      <c r="Y32" s="138"/>
      <c r="Z32" s="138"/>
      <c r="AA32" s="138"/>
      <c r="AB32" s="136"/>
      <c r="AC32" s="139"/>
    </row>
    <row r="33" spans="1:24" x14ac:dyDescent="0.2">
      <c r="A33" t="s">
        <v>1206</v>
      </c>
      <c r="B33" s="130">
        <v>40</v>
      </c>
      <c r="C33" s="313">
        <f>Table10[[#This Row],[R-Value]]/Table10[[#This Row],[SIP Panel Thickness (in)]]</f>
        <v>3.9024390243902438</v>
      </c>
      <c r="D33" s="130">
        <v>10.25</v>
      </c>
      <c r="E33" s="130" t="s">
        <v>1175</v>
      </c>
      <c r="F33" s="131">
        <v>875.2</v>
      </c>
      <c r="G33" s="132">
        <v>10.94</v>
      </c>
      <c r="H33" s="132"/>
      <c r="I33" s="133"/>
      <c r="J33" s="133"/>
      <c r="K33" s="133"/>
      <c r="L33" s="133"/>
      <c r="M33" s="133"/>
      <c r="N33" s="377">
        <v>2023</v>
      </c>
      <c r="O33" s="133"/>
      <c r="P33" s="129" t="s">
        <v>1165</v>
      </c>
      <c r="Q33" s="133" t="s">
        <v>1167</v>
      </c>
      <c r="R33" s="315" t="s">
        <v>71</v>
      </c>
      <c r="S33" s="134"/>
      <c r="T33" s="133"/>
      <c r="X33"/>
    </row>
    <row r="34" spans="1:24" x14ac:dyDescent="0.2">
      <c r="A34" t="s">
        <v>1206</v>
      </c>
      <c r="B34" s="130">
        <v>40</v>
      </c>
      <c r="C34" s="313">
        <f>Table10[[#This Row],[R-Value]]/Table10[[#This Row],[SIP Panel Thickness (in)]]</f>
        <v>3.9024390243902438</v>
      </c>
      <c r="D34" s="130">
        <v>10.25</v>
      </c>
      <c r="E34" s="130" t="s">
        <v>1176</v>
      </c>
      <c r="F34" s="131">
        <v>1050.24</v>
      </c>
      <c r="G34" s="132">
        <v>10.94</v>
      </c>
      <c r="H34" s="132"/>
      <c r="I34" s="133"/>
      <c r="J34" s="133"/>
      <c r="K34" s="133"/>
      <c r="L34" s="133"/>
      <c r="M34" s="133"/>
      <c r="N34" s="377">
        <v>2023</v>
      </c>
      <c r="O34" s="133"/>
      <c r="P34" s="129" t="s">
        <v>1165</v>
      </c>
      <c r="Q34" s="133" t="s">
        <v>1167</v>
      </c>
      <c r="R34" s="315" t="s">
        <v>71</v>
      </c>
      <c r="S34" s="134"/>
      <c r="T34" s="133"/>
      <c r="X34"/>
    </row>
    <row r="35" spans="1:24" x14ac:dyDescent="0.2">
      <c r="A35" t="s">
        <v>1206</v>
      </c>
      <c r="B35" s="130">
        <v>40</v>
      </c>
      <c r="C35" s="313">
        <f>Table10[[#This Row],[R-Value]]/Table10[[#This Row],[SIP Panel Thickness (in)]]</f>
        <v>3.9024390243902438</v>
      </c>
      <c r="D35" s="130">
        <v>10.25</v>
      </c>
      <c r="E35" s="130" t="s">
        <v>1177</v>
      </c>
      <c r="F35" s="131">
        <v>2100.48</v>
      </c>
      <c r="G35" s="132">
        <v>10.94</v>
      </c>
      <c r="H35" s="132"/>
      <c r="I35" s="133"/>
      <c r="J35" s="133"/>
      <c r="K35" s="133"/>
      <c r="L35" s="133"/>
      <c r="M35" s="133"/>
      <c r="N35" s="377">
        <v>2023</v>
      </c>
      <c r="O35" s="133"/>
      <c r="P35" s="129" t="s">
        <v>1165</v>
      </c>
      <c r="Q35" s="133" t="s">
        <v>1167</v>
      </c>
      <c r="R35" s="315" t="s">
        <v>71</v>
      </c>
      <c r="S35" s="134"/>
      <c r="T35" s="133"/>
      <c r="X35"/>
    </row>
    <row r="36" spans="1:24" x14ac:dyDescent="0.2">
      <c r="A36" t="s">
        <v>1206</v>
      </c>
      <c r="B36" s="130">
        <v>48</v>
      </c>
      <c r="C36" s="313">
        <f>Table10[[#This Row],[R-Value]]/Table10[[#This Row],[SIP Panel Thickness (in)]]</f>
        <v>3.9183673469387754</v>
      </c>
      <c r="D36" s="130">
        <v>12.25</v>
      </c>
      <c r="E36" s="130" t="s">
        <v>1166</v>
      </c>
      <c r="F36" s="131">
        <v>367.04</v>
      </c>
      <c r="G36" s="132">
        <v>11.47</v>
      </c>
      <c r="H36" s="132"/>
      <c r="I36" s="133"/>
      <c r="J36" s="133"/>
      <c r="K36" s="133"/>
      <c r="L36" s="133"/>
      <c r="M36" s="133"/>
      <c r="N36" s="377">
        <v>2023</v>
      </c>
      <c r="O36" s="133"/>
      <c r="P36" s="129" t="s">
        <v>1165</v>
      </c>
      <c r="Q36" s="133" t="s">
        <v>1167</v>
      </c>
      <c r="R36" s="315" t="s">
        <v>71</v>
      </c>
      <c r="S36" s="134"/>
      <c r="T36" s="133"/>
      <c r="X36"/>
    </row>
    <row r="37" spans="1:24" x14ac:dyDescent="0.2">
      <c r="A37" t="s">
        <v>1206</v>
      </c>
      <c r="B37" s="130">
        <v>48</v>
      </c>
      <c r="C37" s="313">
        <f>Table10[[#This Row],[R-Value]]/Table10[[#This Row],[SIP Panel Thickness (in)]]</f>
        <v>3.9183673469387754</v>
      </c>
      <c r="D37" s="130">
        <v>12.25</v>
      </c>
      <c r="E37" s="130" t="s">
        <v>1171</v>
      </c>
      <c r="F37" s="131">
        <v>458.8</v>
      </c>
      <c r="G37" s="132">
        <v>11.47</v>
      </c>
      <c r="H37" s="132"/>
      <c r="I37" s="133"/>
      <c r="J37" s="133"/>
      <c r="K37" s="133"/>
      <c r="L37" s="133"/>
      <c r="M37" s="133"/>
      <c r="N37" s="377">
        <v>2023</v>
      </c>
      <c r="O37" s="133"/>
      <c r="P37" s="129" t="s">
        <v>1165</v>
      </c>
      <c r="Q37" s="133" t="s">
        <v>1167</v>
      </c>
      <c r="R37" s="315" t="s">
        <v>71</v>
      </c>
      <c r="S37" s="134"/>
      <c r="T37" s="133"/>
      <c r="X37"/>
    </row>
    <row r="38" spans="1:24" x14ac:dyDescent="0.2">
      <c r="A38" t="s">
        <v>1206</v>
      </c>
      <c r="B38" s="130">
        <v>48</v>
      </c>
      <c r="C38" s="313">
        <f>Table10[[#This Row],[R-Value]]/Table10[[#This Row],[SIP Panel Thickness (in)]]</f>
        <v>3.9183673469387754</v>
      </c>
      <c r="D38" s="130">
        <v>12.25</v>
      </c>
      <c r="E38" s="130" t="s">
        <v>1172</v>
      </c>
      <c r="F38" s="131">
        <v>550.55999999999995</v>
      </c>
      <c r="G38" s="132">
        <v>11.47</v>
      </c>
      <c r="H38" s="132"/>
      <c r="I38" s="133"/>
      <c r="J38" s="133"/>
      <c r="K38" s="133"/>
      <c r="L38" s="133"/>
      <c r="M38" s="133"/>
      <c r="N38" s="377">
        <v>2023</v>
      </c>
      <c r="O38" s="133"/>
      <c r="P38" s="129" t="s">
        <v>1165</v>
      </c>
      <c r="Q38" s="133" t="s">
        <v>1167</v>
      </c>
      <c r="R38" s="315" t="s">
        <v>71</v>
      </c>
      <c r="S38" s="134"/>
      <c r="T38" s="133"/>
      <c r="X38"/>
    </row>
    <row r="39" spans="1:24" x14ac:dyDescent="0.2">
      <c r="A39" t="s">
        <v>1206</v>
      </c>
      <c r="B39" s="130">
        <v>48</v>
      </c>
      <c r="C39" s="313">
        <f>Table10[[#This Row],[R-Value]]/Table10[[#This Row],[SIP Panel Thickness (in)]]</f>
        <v>3.9183673469387754</v>
      </c>
      <c r="D39" s="130">
        <v>12.25</v>
      </c>
      <c r="E39" s="130" t="s">
        <v>1173</v>
      </c>
      <c r="F39" s="131">
        <v>642.32000000000005</v>
      </c>
      <c r="G39" s="132">
        <v>11.47</v>
      </c>
      <c r="H39" s="132"/>
      <c r="I39" s="133"/>
      <c r="J39" s="133"/>
      <c r="K39" s="133"/>
      <c r="L39" s="133"/>
      <c r="M39" s="133"/>
      <c r="N39" s="377">
        <v>2023</v>
      </c>
      <c r="O39" s="133"/>
      <c r="P39" s="129" t="s">
        <v>1165</v>
      </c>
      <c r="Q39" s="133" t="s">
        <v>1167</v>
      </c>
      <c r="R39" s="315" t="s">
        <v>71</v>
      </c>
      <c r="S39" s="134"/>
      <c r="T39" s="133"/>
      <c r="X39"/>
    </row>
    <row r="40" spans="1:24" x14ac:dyDescent="0.2">
      <c r="A40" t="s">
        <v>1206</v>
      </c>
      <c r="B40" s="130">
        <v>48</v>
      </c>
      <c r="C40" s="313">
        <f>Table10[[#This Row],[R-Value]]/Table10[[#This Row],[SIP Panel Thickness (in)]]</f>
        <v>3.9183673469387754</v>
      </c>
      <c r="D40" s="130">
        <v>12.25</v>
      </c>
      <c r="E40" s="130" t="s">
        <v>1174</v>
      </c>
      <c r="F40" s="131">
        <v>734.08</v>
      </c>
      <c r="G40" s="132">
        <v>11.47</v>
      </c>
      <c r="H40" s="132"/>
      <c r="I40" s="133"/>
      <c r="J40" s="133"/>
      <c r="K40" s="133"/>
      <c r="L40" s="133"/>
      <c r="M40" s="133"/>
      <c r="N40" s="377">
        <v>2023</v>
      </c>
      <c r="O40" s="133"/>
      <c r="P40" s="129" t="s">
        <v>1165</v>
      </c>
      <c r="Q40" s="133" t="s">
        <v>1167</v>
      </c>
      <c r="R40" s="315" t="s">
        <v>71</v>
      </c>
      <c r="S40" s="134"/>
      <c r="T40" s="133"/>
      <c r="X40"/>
    </row>
    <row r="41" spans="1:24" x14ac:dyDescent="0.2">
      <c r="A41" t="s">
        <v>1206</v>
      </c>
      <c r="B41" s="130">
        <v>48</v>
      </c>
      <c r="C41" s="313">
        <f>Table10[[#This Row],[R-Value]]/Table10[[#This Row],[SIP Panel Thickness (in)]]</f>
        <v>3.9183673469387754</v>
      </c>
      <c r="D41" s="130">
        <v>12.25</v>
      </c>
      <c r="E41" s="130" t="s">
        <v>1175</v>
      </c>
      <c r="F41" s="131">
        <v>917.6</v>
      </c>
      <c r="G41" s="132">
        <v>11.47</v>
      </c>
      <c r="H41" s="132"/>
      <c r="I41" s="133"/>
      <c r="J41" s="133"/>
      <c r="K41" s="133"/>
      <c r="L41" s="133"/>
      <c r="M41" s="133"/>
      <c r="N41" s="377">
        <v>2023</v>
      </c>
      <c r="O41" s="133"/>
      <c r="P41" s="129" t="s">
        <v>1165</v>
      </c>
      <c r="Q41" s="133" t="s">
        <v>1167</v>
      </c>
      <c r="R41" s="315" t="s">
        <v>71</v>
      </c>
      <c r="S41" s="134"/>
      <c r="T41" s="133"/>
      <c r="X41"/>
    </row>
    <row r="42" spans="1:24" x14ac:dyDescent="0.2">
      <c r="A42" t="s">
        <v>1206</v>
      </c>
      <c r="B42" s="130">
        <v>48</v>
      </c>
      <c r="C42" s="313">
        <f>Table10[[#This Row],[R-Value]]/Table10[[#This Row],[SIP Panel Thickness (in)]]</f>
        <v>3.9183673469387754</v>
      </c>
      <c r="D42" s="130">
        <v>12.25</v>
      </c>
      <c r="E42" s="130" t="s">
        <v>1176</v>
      </c>
      <c r="F42" s="131">
        <v>1101.1199999999999</v>
      </c>
      <c r="G42" s="132">
        <v>11.47</v>
      </c>
      <c r="H42" s="132"/>
      <c r="I42" s="133"/>
      <c r="J42" s="133"/>
      <c r="K42" s="133"/>
      <c r="L42" s="133"/>
      <c r="M42" s="133"/>
      <c r="N42" s="377">
        <v>2023</v>
      </c>
      <c r="O42" s="133"/>
      <c r="P42" s="129" t="s">
        <v>1165</v>
      </c>
      <c r="Q42" s="133" t="s">
        <v>1167</v>
      </c>
      <c r="R42" s="315" t="s">
        <v>71</v>
      </c>
      <c r="S42" s="134"/>
      <c r="T42" s="133"/>
      <c r="X42"/>
    </row>
    <row r="43" spans="1:24" x14ac:dyDescent="0.2">
      <c r="A43" t="s">
        <v>1206</v>
      </c>
      <c r="B43" s="194">
        <v>48</v>
      </c>
      <c r="C43" s="314">
        <f>Table10[[#This Row],[R-Value]]/Table10[[#This Row],[SIP Panel Thickness (in)]]</f>
        <v>3.9183673469387754</v>
      </c>
      <c r="D43" s="312">
        <v>12.25</v>
      </c>
      <c r="E43" s="194" t="s">
        <v>1177</v>
      </c>
      <c r="F43" s="195">
        <v>2202.2399999999998</v>
      </c>
      <c r="G43" s="196">
        <v>11.47</v>
      </c>
      <c r="H43" s="196"/>
      <c r="I43" s="138"/>
      <c r="J43" s="138"/>
      <c r="K43" s="138"/>
      <c r="L43" s="138"/>
      <c r="M43" s="133"/>
      <c r="N43" s="377">
        <v>2023</v>
      </c>
      <c r="O43" s="138"/>
      <c r="P43" s="193" t="s">
        <v>1165</v>
      </c>
      <c r="Q43" s="138" t="s">
        <v>1167</v>
      </c>
      <c r="R43" s="315" t="s">
        <v>71</v>
      </c>
      <c r="S43" s="134"/>
      <c r="T43" s="133"/>
      <c r="X43"/>
    </row>
    <row r="44" spans="1:24" x14ac:dyDescent="0.2">
      <c r="A44" t="s">
        <v>1206</v>
      </c>
      <c r="B44" s="130">
        <v>12</v>
      </c>
      <c r="C44" s="130">
        <f>Table10[[#This Row],[R-Value]]/Table10[[#This Row],[SIP Panel Thickness (in)]]</f>
        <v>3.3103448275862069</v>
      </c>
      <c r="D44" s="130">
        <v>3.625</v>
      </c>
      <c r="E44" s="130"/>
      <c r="F44" s="131"/>
      <c r="G44" s="131">
        <v>5.0999999999999996</v>
      </c>
      <c r="H44" s="131"/>
      <c r="I44" s="133">
        <v>0.69</v>
      </c>
      <c r="J44" s="133"/>
      <c r="K44" s="133"/>
      <c r="L44" s="133"/>
      <c r="M44" s="133">
        <v>7.8699999999999992</v>
      </c>
      <c r="N44" s="377">
        <v>2023</v>
      </c>
      <c r="O44" s="133" t="s">
        <v>5320</v>
      </c>
      <c r="P44" s="129" t="s">
        <v>70</v>
      </c>
      <c r="Q44" s="133"/>
      <c r="R44" s="315" t="s">
        <v>71</v>
      </c>
      <c r="S44" s="134"/>
      <c r="T44" s="133"/>
      <c r="X44"/>
    </row>
    <row r="45" spans="1:24" x14ac:dyDescent="0.2">
      <c r="A45" t="s">
        <v>1206</v>
      </c>
      <c r="B45" s="130">
        <v>12</v>
      </c>
      <c r="C45" s="130">
        <f>Table10[[#This Row],[R-Value]]/Table10[[#This Row],[SIP Panel Thickness (in)]]</f>
        <v>3.3103448275862069</v>
      </c>
      <c r="D45" s="130">
        <v>3.625</v>
      </c>
      <c r="E45" s="130"/>
      <c r="F45" s="131"/>
      <c r="G45" s="131">
        <v>7.1</v>
      </c>
      <c r="H45" s="131"/>
      <c r="I45" s="133">
        <v>0.69</v>
      </c>
      <c r="J45" s="133"/>
      <c r="K45" s="133"/>
      <c r="L45" s="133"/>
      <c r="M45" s="133">
        <v>10.07</v>
      </c>
      <c r="N45" s="377">
        <v>2023</v>
      </c>
      <c r="O45" s="133" t="s">
        <v>5320</v>
      </c>
      <c r="P45" s="129" t="s">
        <v>70</v>
      </c>
      <c r="Q45" s="133"/>
      <c r="R45" s="315" t="s">
        <v>71</v>
      </c>
      <c r="S45" s="134"/>
      <c r="T45" s="133"/>
      <c r="X45"/>
    </row>
    <row r="46" spans="1:24" x14ac:dyDescent="0.2">
      <c r="A46" t="s">
        <v>1206</v>
      </c>
      <c r="B46" s="130">
        <v>12</v>
      </c>
      <c r="C46" s="130">
        <f>Table10[[#This Row],[R-Value]]/Table10[[#This Row],[SIP Panel Thickness (in)]]</f>
        <v>3.3103448275862069</v>
      </c>
      <c r="D46" s="130">
        <v>3.625</v>
      </c>
      <c r="E46" s="130"/>
      <c r="F46" s="131"/>
      <c r="G46" s="131">
        <v>4.1500000000000004</v>
      </c>
      <c r="H46" s="131"/>
      <c r="I46" s="133">
        <v>0.69</v>
      </c>
      <c r="J46" s="133"/>
      <c r="K46" s="133"/>
      <c r="L46" s="133"/>
      <c r="M46" s="133">
        <v>6.84</v>
      </c>
      <c r="N46" s="377">
        <v>2023</v>
      </c>
      <c r="O46" s="133" t="s">
        <v>5320</v>
      </c>
      <c r="P46" s="129" t="s">
        <v>70</v>
      </c>
      <c r="Q46" s="133"/>
      <c r="R46" s="315" t="s">
        <v>71</v>
      </c>
      <c r="S46" s="134"/>
      <c r="T46" s="133"/>
      <c r="X46"/>
    </row>
    <row r="47" spans="1:24" x14ac:dyDescent="0.2">
      <c r="A47" t="s">
        <v>1206</v>
      </c>
      <c r="B47" s="130">
        <v>12</v>
      </c>
      <c r="C47" s="130">
        <f>Table10[[#This Row],[R-Value]]/Table10[[#This Row],[SIP Panel Thickness (in)]]</f>
        <v>3.3103448275862069</v>
      </c>
      <c r="D47" s="130">
        <v>3.625</v>
      </c>
      <c r="E47" s="130"/>
      <c r="F47" s="131"/>
      <c r="G47" s="131">
        <v>5.7</v>
      </c>
      <c r="H47" s="131"/>
      <c r="I47" s="133">
        <v>0.66</v>
      </c>
      <c r="J47" s="133"/>
      <c r="K47" s="133"/>
      <c r="L47" s="133"/>
      <c r="M47" s="133">
        <v>8.42</v>
      </c>
      <c r="N47" s="377">
        <v>2023</v>
      </c>
      <c r="O47" s="133" t="s">
        <v>5320</v>
      </c>
      <c r="P47" s="129" t="s">
        <v>70</v>
      </c>
      <c r="Q47" s="133"/>
      <c r="R47" s="315" t="s">
        <v>71</v>
      </c>
      <c r="S47" s="134"/>
      <c r="T47" s="133"/>
      <c r="X47"/>
    </row>
    <row r="48" spans="1:24" x14ac:dyDescent="0.2">
      <c r="A48" t="s">
        <v>1206</v>
      </c>
      <c r="B48" s="130">
        <v>15</v>
      </c>
      <c r="C48" s="130">
        <f>Table10[[#This Row],[R-Value]]/Table10[[#This Row],[SIP Panel Thickness (in)]]</f>
        <v>3.4285714285714284</v>
      </c>
      <c r="D48" s="130">
        <v>4.375</v>
      </c>
      <c r="E48" s="130"/>
      <c r="F48" s="131"/>
      <c r="G48" s="131">
        <v>9.4499999999999993</v>
      </c>
      <c r="H48" s="131"/>
      <c r="I48" s="133">
        <v>0.6</v>
      </c>
      <c r="J48" s="133"/>
      <c r="K48" s="133"/>
      <c r="L48" s="133"/>
      <c r="M48" s="133">
        <v>12.31</v>
      </c>
      <c r="N48" s="377">
        <v>2023</v>
      </c>
      <c r="O48" s="133" t="s">
        <v>5320</v>
      </c>
      <c r="P48" s="129" t="s">
        <v>70</v>
      </c>
      <c r="Q48" s="133"/>
      <c r="R48" s="315" t="s">
        <v>71</v>
      </c>
      <c r="S48" s="134"/>
      <c r="T48" s="133"/>
      <c r="X48"/>
    </row>
    <row r="49" spans="1:24" x14ac:dyDescent="0.2">
      <c r="A49" t="s">
        <v>1206</v>
      </c>
      <c r="B49" s="130">
        <v>15</v>
      </c>
      <c r="C49" s="130">
        <f>Table10[[#This Row],[R-Value]]/Table10[[#This Row],[SIP Panel Thickness (in)]]</f>
        <v>3.4285714285714284</v>
      </c>
      <c r="D49" s="130">
        <v>4.375</v>
      </c>
      <c r="E49" s="130"/>
      <c r="F49" s="131"/>
      <c r="G49" s="131">
        <v>9.4499999999999993</v>
      </c>
      <c r="H49" s="131"/>
      <c r="I49" s="133">
        <v>0.6</v>
      </c>
      <c r="J49" s="133"/>
      <c r="K49" s="133"/>
      <c r="L49" s="133"/>
      <c r="M49" s="133">
        <v>12.31</v>
      </c>
      <c r="N49" s="377">
        <v>2023</v>
      </c>
      <c r="O49" s="133" t="s">
        <v>5320</v>
      </c>
      <c r="P49" s="129" t="s">
        <v>70</v>
      </c>
      <c r="Q49" s="133"/>
      <c r="R49" s="315" t="s">
        <v>71</v>
      </c>
      <c r="S49" s="134"/>
      <c r="T49" s="133"/>
      <c r="X49"/>
    </row>
    <row r="50" spans="1:24" x14ac:dyDescent="0.2">
      <c r="A50" t="s">
        <v>1206</v>
      </c>
      <c r="B50" s="130">
        <v>15</v>
      </c>
      <c r="C50" s="130">
        <f>Table10[[#This Row],[R-Value]]/Table10[[#This Row],[SIP Panel Thickness (in)]]</f>
        <v>3.4285714285714284</v>
      </c>
      <c r="D50" s="130">
        <v>4.375</v>
      </c>
      <c r="E50" s="130"/>
      <c r="F50" s="131"/>
      <c r="G50" s="131">
        <v>9.4499999999999993</v>
      </c>
      <c r="H50" s="131"/>
      <c r="I50" s="133">
        <v>0.6</v>
      </c>
      <c r="J50" s="133"/>
      <c r="K50" s="133"/>
      <c r="L50" s="133"/>
      <c r="M50" s="133">
        <v>12.31</v>
      </c>
      <c r="N50" s="377">
        <v>2023</v>
      </c>
      <c r="O50" s="133" t="s">
        <v>5320</v>
      </c>
      <c r="P50" s="129" t="s">
        <v>70</v>
      </c>
      <c r="Q50" s="133"/>
      <c r="R50" s="315" t="s">
        <v>71</v>
      </c>
      <c r="S50" s="134"/>
      <c r="T50" s="133"/>
      <c r="X50"/>
    </row>
    <row r="51" spans="1:24" x14ac:dyDescent="0.2">
      <c r="A51" t="s">
        <v>1206</v>
      </c>
      <c r="B51" s="130">
        <v>20</v>
      </c>
      <c r="C51" s="130">
        <f>Table10[[#This Row],[R-Value]]/Table10[[#This Row],[SIP Panel Thickness (in)]]</f>
        <v>3.5555555555555554</v>
      </c>
      <c r="D51" s="130">
        <v>5.625</v>
      </c>
      <c r="E51" s="130"/>
      <c r="F51" s="131"/>
      <c r="G51" s="131">
        <v>5.35</v>
      </c>
      <c r="H51" s="131"/>
      <c r="I51" s="133">
        <v>0.83</v>
      </c>
      <c r="J51" s="133"/>
      <c r="K51" s="133"/>
      <c r="L51" s="133"/>
      <c r="M51" s="133">
        <v>8.6300000000000008</v>
      </c>
      <c r="N51" s="377">
        <v>2023</v>
      </c>
      <c r="O51" s="133" t="s">
        <v>5320</v>
      </c>
      <c r="P51" s="129" t="s">
        <v>70</v>
      </c>
      <c r="Q51" s="133"/>
      <c r="R51" s="315" t="s">
        <v>71</v>
      </c>
      <c r="S51" s="134"/>
      <c r="T51" s="133"/>
      <c r="X51"/>
    </row>
    <row r="52" spans="1:24" x14ac:dyDescent="0.2">
      <c r="A52" t="s">
        <v>1206</v>
      </c>
      <c r="B52" s="130">
        <v>20</v>
      </c>
      <c r="C52" s="130">
        <f>Table10[[#This Row],[R-Value]]/Table10[[#This Row],[SIP Panel Thickness (in)]]</f>
        <v>3.5555555555555554</v>
      </c>
      <c r="D52" s="130">
        <v>5.625</v>
      </c>
      <c r="E52" s="130"/>
      <c r="F52" s="131"/>
      <c r="G52" s="131">
        <v>6.2</v>
      </c>
      <c r="H52" s="131"/>
      <c r="I52" s="133">
        <v>0.83</v>
      </c>
      <c r="J52" s="133"/>
      <c r="K52" s="133"/>
      <c r="L52" s="133"/>
      <c r="M52" s="133">
        <v>9.5300000000000011</v>
      </c>
      <c r="N52" s="377">
        <v>2023</v>
      </c>
      <c r="O52" s="133" t="s">
        <v>5320</v>
      </c>
      <c r="P52" s="129" t="s">
        <v>70</v>
      </c>
      <c r="Q52" s="133"/>
      <c r="R52" s="315" t="s">
        <v>71</v>
      </c>
      <c r="S52" s="134"/>
      <c r="T52" s="133"/>
      <c r="X52"/>
    </row>
    <row r="53" spans="1:24" x14ac:dyDescent="0.2">
      <c r="A53" t="s">
        <v>1206</v>
      </c>
      <c r="B53" s="130">
        <v>20</v>
      </c>
      <c r="C53" s="130">
        <f>Table10[[#This Row],[R-Value]]/Table10[[#This Row],[SIP Panel Thickness (in)]]</f>
        <v>3.5555555555555554</v>
      </c>
      <c r="D53" s="130">
        <v>5.625</v>
      </c>
      <c r="E53" s="130"/>
      <c r="F53" s="131"/>
      <c r="G53" s="131">
        <v>5.9</v>
      </c>
      <c r="H53" s="131"/>
      <c r="I53" s="133">
        <v>0.78</v>
      </c>
      <c r="J53" s="133"/>
      <c r="K53" s="133"/>
      <c r="L53" s="133"/>
      <c r="M53" s="133">
        <v>9.08</v>
      </c>
      <c r="N53" s="377">
        <v>2023</v>
      </c>
      <c r="O53" s="133" t="s">
        <v>5320</v>
      </c>
      <c r="P53" s="129" t="s">
        <v>70</v>
      </c>
      <c r="Q53" s="133"/>
      <c r="R53" s="315" t="s">
        <v>71</v>
      </c>
      <c r="S53" s="134"/>
      <c r="T53" s="133"/>
      <c r="X53"/>
    </row>
    <row r="54" spans="1:24" x14ac:dyDescent="0.2">
      <c r="A54" t="s">
        <v>1206</v>
      </c>
      <c r="B54" s="130">
        <v>20</v>
      </c>
      <c r="C54" s="130">
        <f>Table10[[#This Row],[R-Value]]/Table10[[#This Row],[SIP Panel Thickness (in)]]</f>
        <v>3.5555555555555554</v>
      </c>
      <c r="D54" s="130">
        <v>5.625</v>
      </c>
      <c r="E54" s="130"/>
      <c r="F54" s="131"/>
      <c r="G54" s="131">
        <v>4.9400000000000004</v>
      </c>
      <c r="H54" s="131"/>
      <c r="I54" s="133">
        <v>0.83</v>
      </c>
      <c r="J54" s="133"/>
      <c r="K54" s="133"/>
      <c r="L54" s="133"/>
      <c r="M54" s="133">
        <v>8.18</v>
      </c>
      <c r="N54" s="377">
        <v>2023</v>
      </c>
      <c r="O54" s="133" t="s">
        <v>5320</v>
      </c>
      <c r="P54" s="129" t="s">
        <v>70</v>
      </c>
      <c r="Q54" s="133"/>
      <c r="R54" s="315" t="s">
        <v>71</v>
      </c>
      <c r="S54" s="134"/>
      <c r="T54" s="133"/>
      <c r="X54"/>
    </row>
    <row r="55" spans="1:24" x14ac:dyDescent="0.2">
      <c r="A55" t="s">
        <v>1206</v>
      </c>
      <c r="B55" s="130">
        <v>28</v>
      </c>
      <c r="C55" s="130">
        <f>Table10[[#This Row],[R-Value]]/Table10[[#This Row],[SIP Panel Thickness (in)]]</f>
        <v>3.7966101694915255</v>
      </c>
      <c r="D55" s="130">
        <v>7.375</v>
      </c>
      <c r="E55" s="130"/>
      <c r="F55" s="131"/>
      <c r="G55" s="131">
        <v>6.15</v>
      </c>
      <c r="H55" s="131"/>
      <c r="I55" s="133">
        <v>1</v>
      </c>
      <c r="J55" s="133"/>
      <c r="K55" s="133"/>
      <c r="L55" s="133"/>
      <c r="M55" s="133">
        <v>10.1</v>
      </c>
      <c r="N55" s="377">
        <v>2023</v>
      </c>
      <c r="O55" s="133" t="s">
        <v>5320</v>
      </c>
      <c r="P55" s="129" t="s">
        <v>70</v>
      </c>
      <c r="Q55" s="133"/>
      <c r="R55" s="315" t="s">
        <v>71</v>
      </c>
      <c r="S55" s="134"/>
      <c r="T55" s="133"/>
      <c r="X55"/>
    </row>
    <row r="56" spans="1:24" x14ac:dyDescent="0.2">
      <c r="A56" t="s">
        <v>1206</v>
      </c>
      <c r="B56" s="130">
        <v>28</v>
      </c>
      <c r="C56" s="130">
        <f>Table10[[#This Row],[R-Value]]/Table10[[#This Row],[SIP Panel Thickness (in)]]</f>
        <v>3.7966101694915255</v>
      </c>
      <c r="D56" s="130">
        <v>7.375</v>
      </c>
      <c r="E56" s="130"/>
      <c r="F56" s="131"/>
      <c r="G56" s="131">
        <v>6.15</v>
      </c>
      <c r="H56" s="131"/>
      <c r="I56" s="133">
        <v>1</v>
      </c>
      <c r="J56" s="133"/>
      <c r="K56" s="133"/>
      <c r="L56" s="133"/>
      <c r="M56" s="133">
        <v>10.1</v>
      </c>
      <c r="N56" s="377">
        <v>2023</v>
      </c>
      <c r="O56" s="133" t="s">
        <v>5320</v>
      </c>
      <c r="P56" s="129" t="s">
        <v>70</v>
      </c>
      <c r="Q56" s="133"/>
      <c r="R56" s="315" t="s">
        <v>71</v>
      </c>
      <c r="S56" s="134"/>
      <c r="T56" s="133"/>
      <c r="X56"/>
    </row>
    <row r="57" spans="1:24" x14ac:dyDescent="0.2">
      <c r="A57" t="s">
        <v>1206</v>
      </c>
      <c r="B57" s="130">
        <v>28</v>
      </c>
      <c r="C57" s="130">
        <f>Table10[[#This Row],[R-Value]]/Table10[[#This Row],[SIP Panel Thickness (in)]]</f>
        <v>3.7966101694915255</v>
      </c>
      <c r="D57" s="130">
        <v>7.375</v>
      </c>
      <c r="E57" s="130"/>
      <c r="F57" s="131"/>
      <c r="G57" s="131">
        <v>6.35</v>
      </c>
      <c r="H57" s="131"/>
      <c r="I57" s="133">
        <v>1</v>
      </c>
      <c r="J57" s="133"/>
      <c r="K57" s="133"/>
      <c r="L57" s="133"/>
      <c r="M57" s="133">
        <v>10.25</v>
      </c>
      <c r="N57" s="377">
        <v>2023</v>
      </c>
      <c r="O57" s="133" t="s">
        <v>5320</v>
      </c>
      <c r="P57" s="129" t="s">
        <v>70</v>
      </c>
      <c r="Q57" s="133"/>
      <c r="R57" s="315" t="s">
        <v>71</v>
      </c>
      <c r="S57" s="134"/>
      <c r="T57" s="133"/>
      <c r="X57"/>
    </row>
    <row r="58" spans="1:24" x14ac:dyDescent="0.2">
      <c r="A58" t="s">
        <v>1206</v>
      </c>
      <c r="B58" s="130">
        <v>28</v>
      </c>
      <c r="C58" s="130">
        <f>Table10[[#This Row],[R-Value]]/Table10[[#This Row],[SIP Panel Thickness (in)]]</f>
        <v>3.7966101694915255</v>
      </c>
      <c r="D58" s="130">
        <v>7.375</v>
      </c>
      <c r="E58" s="130"/>
      <c r="F58" s="131"/>
      <c r="G58" s="131">
        <v>6.8</v>
      </c>
      <c r="H58" s="131"/>
      <c r="I58" s="133">
        <v>0.94</v>
      </c>
      <c r="J58" s="133"/>
      <c r="K58" s="133"/>
      <c r="L58" s="133"/>
      <c r="M58" s="133">
        <v>10.540000000000001</v>
      </c>
      <c r="N58" s="377">
        <v>2023</v>
      </c>
      <c r="O58" s="133" t="s">
        <v>5320</v>
      </c>
      <c r="P58" s="129" t="s">
        <v>70</v>
      </c>
      <c r="Q58" s="133"/>
      <c r="R58" s="315" t="s">
        <v>71</v>
      </c>
      <c r="S58" s="134"/>
      <c r="T58" s="133"/>
      <c r="X58"/>
    </row>
    <row r="59" spans="1:24" x14ac:dyDescent="0.2">
      <c r="A59" t="s">
        <v>1206</v>
      </c>
      <c r="B59" s="130">
        <v>28</v>
      </c>
      <c r="C59" s="130">
        <f>Table10[[#This Row],[R-Value]]/Table10[[#This Row],[SIP Panel Thickness (in)]]</f>
        <v>3.5555555555555554</v>
      </c>
      <c r="D59" s="130">
        <v>7.875</v>
      </c>
      <c r="E59" s="130"/>
      <c r="F59" s="131"/>
      <c r="G59" s="131">
        <v>13.3</v>
      </c>
      <c r="H59" s="131"/>
      <c r="I59" s="133">
        <v>0.6</v>
      </c>
      <c r="J59" s="133"/>
      <c r="K59" s="133"/>
      <c r="L59" s="133"/>
      <c r="M59" s="133">
        <v>16.61</v>
      </c>
      <c r="N59" s="377">
        <v>2023</v>
      </c>
      <c r="O59" s="133" t="s">
        <v>5320</v>
      </c>
      <c r="P59" s="129" t="s">
        <v>70</v>
      </c>
      <c r="Q59" s="133"/>
      <c r="R59" s="315" t="s">
        <v>71</v>
      </c>
      <c r="S59" s="134"/>
      <c r="T59" s="133"/>
      <c r="X59"/>
    </row>
    <row r="60" spans="1:24" x14ac:dyDescent="0.2">
      <c r="A60" t="s">
        <v>1206</v>
      </c>
      <c r="B60" s="130">
        <v>28</v>
      </c>
      <c r="C60" s="130">
        <f>Table10[[#This Row],[R-Value]]/Table10[[#This Row],[SIP Panel Thickness (in)]]</f>
        <v>3.5555555555555554</v>
      </c>
      <c r="D60" s="130">
        <v>7.875</v>
      </c>
      <c r="E60" s="130"/>
      <c r="F60" s="131"/>
      <c r="G60" s="131">
        <v>13.3</v>
      </c>
      <c r="H60" s="131"/>
      <c r="I60" s="133">
        <v>0.6</v>
      </c>
      <c r="J60" s="133"/>
      <c r="K60" s="133"/>
      <c r="L60" s="133"/>
      <c r="M60" s="133">
        <v>16.61</v>
      </c>
      <c r="N60" s="377">
        <v>2023</v>
      </c>
      <c r="O60" s="133" t="s">
        <v>5320</v>
      </c>
      <c r="P60" s="129" t="s">
        <v>70</v>
      </c>
      <c r="Q60" s="133"/>
      <c r="R60" s="315" t="s">
        <v>71</v>
      </c>
      <c r="S60" s="134"/>
      <c r="T60" s="133"/>
      <c r="X60"/>
    </row>
    <row r="61" spans="1:24" x14ac:dyDescent="0.2">
      <c r="A61" t="s">
        <v>1206</v>
      </c>
      <c r="B61" s="130">
        <v>28</v>
      </c>
      <c r="C61" s="130">
        <f>Table10[[#This Row],[R-Value]]/Table10[[#This Row],[SIP Panel Thickness (in)]]</f>
        <v>3.5555555555555554</v>
      </c>
      <c r="D61" s="130">
        <v>7.875</v>
      </c>
      <c r="E61" s="130"/>
      <c r="F61" s="131"/>
      <c r="G61" s="131">
        <v>13.3</v>
      </c>
      <c r="H61" s="131"/>
      <c r="I61" s="133">
        <v>0.6</v>
      </c>
      <c r="J61" s="133"/>
      <c r="K61" s="133"/>
      <c r="L61" s="133"/>
      <c r="M61" s="133">
        <v>16.61</v>
      </c>
      <c r="N61" s="377">
        <v>2023</v>
      </c>
      <c r="O61" s="133" t="s">
        <v>5320</v>
      </c>
      <c r="P61" s="129" t="s">
        <v>70</v>
      </c>
      <c r="Q61" s="133"/>
      <c r="R61" s="315" t="s">
        <v>71</v>
      </c>
      <c r="S61" s="134"/>
      <c r="T61" s="133"/>
      <c r="X61"/>
    </row>
    <row r="62" spans="1:24" x14ac:dyDescent="0.2">
      <c r="A62" t="s">
        <v>1206</v>
      </c>
      <c r="B62" s="130">
        <v>38</v>
      </c>
      <c r="C62" s="130">
        <f>Table10[[#This Row],[R-Value]]/Table10[[#This Row],[SIP Panel Thickness (in)]]</f>
        <v>4.0533333333333337</v>
      </c>
      <c r="D62" s="130">
        <v>9.375</v>
      </c>
      <c r="E62" s="130"/>
      <c r="F62" s="131"/>
      <c r="G62" s="131">
        <v>6.15</v>
      </c>
      <c r="H62" s="131"/>
      <c r="I62" s="133">
        <v>1.27</v>
      </c>
      <c r="J62" s="133"/>
      <c r="K62" s="133"/>
      <c r="L62" s="133"/>
      <c r="M62" s="133">
        <v>10.93</v>
      </c>
      <c r="N62" s="377">
        <v>2023</v>
      </c>
      <c r="O62" s="133" t="s">
        <v>5320</v>
      </c>
      <c r="P62" s="129" t="s">
        <v>70</v>
      </c>
      <c r="Q62" s="133"/>
      <c r="R62" s="315" t="s">
        <v>71</v>
      </c>
      <c r="S62" s="134"/>
      <c r="T62" s="133"/>
      <c r="X62"/>
    </row>
    <row r="63" spans="1:24" x14ac:dyDescent="0.2">
      <c r="A63" t="s">
        <v>1206</v>
      </c>
      <c r="B63" s="130">
        <v>38</v>
      </c>
      <c r="C63" s="130">
        <f>Table10[[#This Row],[R-Value]]/Table10[[#This Row],[SIP Panel Thickness (in)]]</f>
        <v>4.0533333333333337</v>
      </c>
      <c r="D63" s="130">
        <v>9.375</v>
      </c>
      <c r="E63" s="130"/>
      <c r="F63" s="131"/>
      <c r="G63" s="131">
        <v>7.25</v>
      </c>
      <c r="H63" s="131"/>
      <c r="I63" s="133">
        <v>1.17</v>
      </c>
      <c r="J63" s="133"/>
      <c r="K63" s="133"/>
      <c r="L63" s="133"/>
      <c r="M63" s="133">
        <v>11.84</v>
      </c>
      <c r="N63" s="377">
        <v>2023</v>
      </c>
      <c r="O63" s="133" t="s">
        <v>5320</v>
      </c>
      <c r="P63" s="129" t="s">
        <v>70</v>
      </c>
      <c r="Q63" s="133"/>
      <c r="R63" s="315" t="s">
        <v>71</v>
      </c>
      <c r="S63" s="134"/>
      <c r="T63" s="133"/>
      <c r="X63"/>
    </row>
    <row r="64" spans="1:24" x14ac:dyDescent="0.2">
      <c r="A64" t="s">
        <v>1206</v>
      </c>
      <c r="B64" s="130">
        <v>38</v>
      </c>
      <c r="C64" s="130">
        <f>Table10[[#This Row],[R-Value]]/Table10[[#This Row],[SIP Panel Thickness (in)]]</f>
        <v>4.0533333333333337</v>
      </c>
      <c r="D64" s="130">
        <v>9.375</v>
      </c>
      <c r="E64" s="130"/>
      <c r="F64" s="131"/>
      <c r="G64" s="131">
        <v>5.9</v>
      </c>
      <c r="H64" s="131"/>
      <c r="I64" s="133">
        <v>1.27</v>
      </c>
      <c r="J64" s="133"/>
      <c r="K64" s="133"/>
      <c r="L64" s="133"/>
      <c r="M64" s="133">
        <v>10.68</v>
      </c>
      <c r="N64" s="377">
        <v>2023</v>
      </c>
      <c r="O64" s="133" t="s">
        <v>5320</v>
      </c>
      <c r="P64" s="129" t="s">
        <v>70</v>
      </c>
      <c r="Q64" s="133"/>
      <c r="R64" s="315" t="s">
        <v>71</v>
      </c>
      <c r="S64" s="134"/>
      <c r="T64" s="133"/>
      <c r="X64"/>
    </row>
    <row r="65" spans="1:24" x14ac:dyDescent="0.2">
      <c r="A65" t="s">
        <v>1206</v>
      </c>
      <c r="B65" s="130">
        <v>38</v>
      </c>
      <c r="C65" s="130">
        <f>Table10[[#This Row],[R-Value]]/Table10[[#This Row],[SIP Panel Thickness (in)]]</f>
        <v>4.0533333333333337</v>
      </c>
      <c r="D65" s="130">
        <v>9.375</v>
      </c>
      <c r="E65" s="130"/>
      <c r="F65" s="195"/>
      <c r="G65" s="131">
        <v>6.7</v>
      </c>
      <c r="H65" s="131"/>
      <c r="I65" s="133">
        <v>1.27</v>
      </c>
      <c r="J65" s="138"/>
      <c r="K65" s="138"/>
      <c r="L65" s="138"/>
      <c r="M65" s="138">
        <v>11.53</v>
      </c>
      <c r="N65" s="377">
        <v>2023</v>
      </c>
      <c r="O65" s="315" t="s">
        <v>5320</v>
      </c>
      <c r="P65" s="129" t="s">
        <v>70</v>
      </c>
      <c r="Q65" s="133"/>
      <c r="R65" s="315" t="s">
        <v>71</v>
      </c>
      <c r="S65" s="134"/>
      <c r="T65" s="133"/>
      <c r="X65"/>
    </row>
    <row r="66" spans="1:24" x14ac:dyDescent="0.2">
      <c r="A66" s="215"/>
      <c r="B66" s="194"/>
      <c r="C66" s="194"/>
      <c r="D66" s="194"/>
      <c r="E66" s="194"/>
      <c r="F66" s="195"/>
      <c r="G66" s="196"/>
      <c r="H66" s="196"/>
      <c r="I66" s="214"/>
      <c r="J66" s="214"/>
      <c r="K66" s="214"/>
      <c r="L66" s="214"/>
      <c r="M66" s="214"/>
      <c r="N66" s="214"/>
      <c r="O66" s="214"/>
      <c r="P66" s="214"/>
      <c r="Q66" s="138"/>
      <c r="R66" s="214"/>
      <c r="S66" s="134"/>
      <c r="T66" s="133"/>
      <c r="X66"/>
    </row>
    <row r="67" spans="1:24" x14ac:dyDescent="0.2">
      <c r="A67" s="140"/>
      <c r="B67" s="140"/>
      <c r="C67" s="140"/>
      <c r="D67" s="140"/>
      <c r="E67" s="140"/>
      <c r="F67" s="140"/>
      <c r="G67" s="141"/>
      <c r="H67" s="141"/>
      <c r="I67" s="142"/>
      <c r="J67" s="142"/>
      <c r="K67" s="142"/>
      <c r="L67" s="142"/>
      <c r="M67" s="143"/>
      <c r="N67" s="143"/>
      <c r="O67" s="143"/>
      <c r="P67" s="143"/>
      <c r="Q67" s="140"/>
      <c r="R67" s="316"/>
      <c r="U67" s="140"/>
      <c r="V67" s="144"/>
      <c r="W67" s="133"/>
      <c r="X67"/>
    </row>
    <row r="68" spans="1:24" ht="36" x14ac:dyDescent="0.2">
      <c r="A68" s="128" t="s">
        <v>43</v>
      </c>
      <c r="B68" s="128" t="s">
        <v>1179</v>
      </c>
      <c r="C68" s="128"/>
      <c r="D68" s="128" t="s">
        <v>1180</v>
      </c>
      <c r="E68" s="128" t="s">
        <v>1181</v>
      </c>
      <c r="F68" s="128" t="s">
        <v>1182</v>
      </c>
      <c r="G68" s="128" t="s">
        <v>1183</v>
      </c>
      <c r="H68" s="128"/>
      <c r="I68" s="128" t="s">
        <v>1160</v>
      </c>
      <c r="J68" s="128"/>
      <c r="K68" s="128"/>
      <c r="L68" s="128"/>
      <c r="M68" s="128" t="s">
        <v>1185</v>
      </c>
      <c r="N68" s="128"/>
      <c r="O68" s="128"/>
      <c r="P68" s="128"/>
      <c r="Q68" s="128" t="s">
        <v>1184</v>
      </c>
      <c r="R68" s="145"/>
      <c r="U68" s="128" t="s">
        <v>1186</v>
      </c>
      <c r="V68" s="145" t="s">
        <v>1187</v>
      </c>
      <c r="W68" s="133"/>
      <c r="X68"/>
    </row>
    <row r="69" spans="1:24" ht="144" x14ac:dyDescent="0.2">
      <c r="A69" s="146" t="s">
        <v>1188</v>
      </c>
      <c r="B69" s="147" t="s">
        <v>1189</v>
      </c>
      <c r="C69" s="147"/>
      <c r="D69" s="148" t="s">
        <v>1190</v>
      </c>
      <c r="E69" s="149"/>
      <c r="F69" s="149"/>
      <c r="G69" s="150"/>
      <c r="H69" s="150"/>
      <c r="I69" s="152"/>
      <c r="J69" s="153"/>
      <c r="K69" s="153"/>
      <c r="L69" s="153"/>
      <c r="M69" s="153"/>
      <c r="N69" s="153"/>
      <c r="O69" s="153"/>
      <c r="P69" s="153"/>
      <c r="Q69" s="151"/>
      <c r="R69" s="317"/>
      <c r="U69" s="153"/>
      <c r="V69" s="152"/>
      <c r="W69" s="133"/>
      <c r="X69"/>
    </row>
    <row r="70" spans="1:24" ht="40" x14ac:dyDescent="0.2">
      <c r="A70" s="146" t="s">
        <v>1191</v>
      </c>
      <c r="B70" s="147" t="s">
        <v>1192</v>
      </c>
      <c r="C70" s="147"/>
      <c r="D70" s="147"/>
      <c r="E70" s="149"/>
      <c r="F70" s="149"/>
      <c r="G70" s="150"/>
      <c r="H70" s="150"/>
      <c r="I70" s="152"/>
      <c r="J70" s="153"/>
      <c r="K70" s="153"/>
      <c r="L70" s="153"/>
      <c r="M70" s="153"/>
      <c r="N70" s="153"/>
      <c r="O70" s="153"/>
      <c r="P70" s="153"/>
      <c r="Q70" s="151"/>
      <c r="R70" s="317"/>
      <c r="U70" s="153"/>
      <c r="V70" s="152"/>
      <c r="W70" s="138"/>
      <c r="X70"/>
    </row>
    <row r="71" spans="1:24" ht="9" customHeight="1" x14ac:dyDescent="0.2">
      <c r="A71" s="146" t="s">
        <v>1193</v>
      </c>
      <c r="B71" s="147" t="s">
        <v>1194</v>
      </c>
      <c r="C71" s="147"/>
      <c r="D71" s="148" t="s">
        <v>1195</v>
      </c>
      <c r="E71" s="149" t="s">
        <v>1196</v>
      </c>
      <c r="F71" s="149" t="s">
        <v>1197</v>
      </c>
      <c r="G71" s="149" t="s">
        <v>1198</v>
      </c>
      <c r="H71" s="149"/>
      <c r="I71" s="152"/>
      <c r="J71" s="153"/>
      <c r="K71" s="153"/>
      <c r="L71" s="153"/>
      <c r="M71" s="153"/>
      <c r="N71" s="153"/>
      <c r="O71" s="153"/>
      <c r="P71" s="153"/>
      <c r="Q71" s="151"/>
      <c r="R71" s="317"/>
      <c r="U71" s="153"/>
      <c r="V71" s="152"/>
      <c r="X71"/>
    </row>
    <row r="72" spans="1:24" ht="40" x14ac:dyDescent="0.2">
      <c r="A72" s="146" t="s">
        <v>1199</v>
      </c>
      <c r="B72" s="147" t="s">
        <v>1200</v>
      </c>
      <c r="C72" s="147"/>
      <c r="D72" s="147"/>
      <c r="E72" s="149"/>
      <c r="F72" s="149"/>
      <c r="G72" s="150"/>
      <c r="H72" s="150"/>
      <c r="I72" s="152"/>
      <c r="J72" s="153"/>
      <c r="K72" s="153"/>
      <c r="L72" s="153"/>
      <c r="M72" s="153"/>
      <c r="N72" s="153"/>
      <c r="O72" s="153"/>
      <c r="P72" s="153"/>
      <c r="Q72" s="151"/>
      <c r="R72" s="317"/>
      <c r="U72" s="153"/>
      <c r="V72" s="152"/>
      <c r="X72"/>
    </row>
    <row r="73" spans="1:24" ht="66" x14ac:dyDescent="0.2">
      <c r="A73" s="146" t="s">
        <v>1201</v>
      </c>
      <c r="B73" s="147" t="s">
        <v>1202</v>
      </c>
      <c r="C73" s="147"/>
      <c r="D73" s="148" t="s">
        <v>1203</v>
      </c>
      <c r="E73" s="149" t="s">
        <v>1204</v>
      </c>
      <c r="F73" s="149" t="s">
        <v>1205</v>
      </c>
      <c r="G73" s="150"/>
      <c r="H73" s="150"/>
      <c r="I73" s="152"/>
      <c r="J73" s="153"/>
      <c r="K73" s="153"/>
      <c r="L73" s="153"/>
      <c r="M73" s="153"/>
      <c r="N73" s="153"/>
      <c r="O73" s="153"/>
      <c r="P73" s="153"/>
      <c r="Q73" s="151"/>
      <c r="R73" s="317"/>
      <c r="U73" s="153"/>
      <c r="V73" s="152"/>
      <c r="X73"/>
    </row>
    <row r="74" spans="1:24" x14ac:dyDescent="0.2">
      <c r="A74" s="154"/>
      <c r="B74" s="147"/>
      <c r="C74" s="147"/>
      <c r="D74" s="147"/>
      <c r="E74" s="149"/>
      <c r="F74" s="149"/>
      <c r="G74" s="150"/>
      <c r="H74" s="150"/>
      <c r="I74" s="152"/>
      <c r="J74" s="153"/>
      <c r="K74" s="153"/>
      <c r="L74" s="153"/>
      <c r="M74" s="153"/>
      <c r="N74" s="153"/>
      <c r="O74" s="153"/>
      <c r="P74" s="153"/>
      <c r="Q74" s="151"/>
      <c r="R74" s="317"/>
      <c r="U74" s="153"/>
      <c r="V74" s="152"/>
      <c r="X74"/>
    </row>
    <row r="75" spans="1:24" x14ac:dyDescent="0.2">
      <c r="A75" s="154"/>
      <c r="B75" s="147"/>
      <c r="C75" s="147"/>
      <c r="D75" s="147"/>
      <c r="E75" s="149"/>
      <c r="F75" s="149"/>
      <c r="G75" s="150"/>
      <c r="H75" s="150"/>
      <c r="I75" s="152"/>
      <c r="J75" s="153"/>
      <c r="K75" s="153"/>
      <c r="L75" s="153"/>
      <c r="M75" s="153"/>
      <c r="N75" s="153"/>
      <c r="O75" s="153"/>
      <c r="P75" s="153"/>
      <c r="Q75" s="151"/>
      <c r="R75" s="317"/>
      <c r="U75" s="153"/>
      <c r="V75" s="152"/>
      <c r="X75"/>
    </row>
    <row r="76" spans="1:24" x14ac:dyDescent="0.2">
      <c r="A76" s="154"/>
      <c r="B76" s="147"/>
      <c r="C76" s="147"/>
      <c r="D76" s="147"/>
      <c r="E76" s="149"/>
      <c r="F76" s="149"/>
      <c r="G76" s="150"/>
      <c r="H76" s="150"/>
      <c r="I76" s="152"/>
      <c r="J76" s="153"/>
      <c r="K76" s="153"/>
      <c r="L76" s="153"/>
      <c r="M76" s="153"/>
      <c r="N76" s="153"/>
      <c r="O76" s="153"/>
      <c r="P76" s="153"/>
      <c r="Q76" s="151"/>
      <c r="R76" s="317"/>
      <c r="U76" s="153"/>
      <c r="V76" s="152"/>
      <c r="X76"/>
    </row>
    <row r="77" spans="1:24" x14ac:dyDescent="0.2">
      <c r="A77" s="154"/>
      <c r="B77" s="147"/>
      <c r="C77" s="147"/>
      <c r="D77" s="147"/>
      <c r="E77" s="149"/>
      <c r="F77" s="149"/>
      <c r="G77" s="150"/>
      <c r="H77" s="150"/>
      <c r="I77" s="152"/>
      <c r="J77" s="153"/>
      <c r="K77" s="153"/>
      <c r="L77" s="153"/>
      <c r="M77" s="153"/>
      <c r="N77" s="153"/>
      <c r="O77" s="153"/>
      <c r="P77" s="153"/>
      <c r="Q77" s="151"/>
      <c r="R77" s="317"/>
      <c r="U77" s="153"/>
      <c r="V77" s="152"/>
      <c r="X77"/>
    </row>
    <row r="78" spans="1:24" x14ac:dyDescent="0.2">
      <c r="A78" s="154"/>
      <c r="B78" s="147"/>
      <c r="C78" s="147"/>
      <c r="D78" s="147"/>
      <c r="E78" s="149"/>
      <c r="F78" s="149"/>
      <c r="G78" s="150"/>
      <c r="H78" s="150"/>
      <c r="I78" s="152"/>
      <c r="J78" s="153"/>
      <c r="K78" s="153"/>
      <c r="L78" s="153"/>
      <c r="M78" s="153"/>
      <c r="N78" s="153"/>
      <c r="O78" s="153"/>
      <c r="P78" s="153"/>
      <c r="Q78" s="151"/>
      <c r="R78" s="317"/>
      <c r="U78" s="153"/>
      <c r="V78" s="152"/>
      <c r="X78"/>
    </row>
    <row r="79" spans="1:24" x14ac:dyDescent="0.2">
      <c r="A79" s="154"/>
      <c r="B79" s="147"/>
      <c r="C79" s="147"/>
      <c r="D79" s="147"/>
      <c r="E79" s="149"/>
      <c r="F79" s="149"/>
      <c r="G79" s="150"/>
      <c r="H79" s="150"/>
      <c r="I79" s="152"/>
      <c r="J79" s="153"/>
      <c r="K79" s="153"/>
      <c r="L79" s="153"/>
      <c r="M79" s="153"/>
      <c r="N79" s="153"/>
      <c r="O79" s="153"/>
      <c r="P79" s="153"/>
      <c r="Q79" s="151"/>
      <c r="R79" s="317"/>
      <c r="U79" s="153"/>
      <c r="V79" s="152"/>
      <c r="X79"/>
    </row>
    <row r="80" spans="1:24" x14ac:dyDescent="0.2">
      <c r="A80" s="154"/>
      <c r="B80" s="147"/>
      <c r="C80" s="147"/>
      <c r="D80" s="147"/>
      <c r="E80" s="149"/>
      <c r="F80" s="149"/>
      <c r="G80" s="150"/>
      <c r="H80" s="150"/>
      <c r="I80" s="152"/>
      <c r="J80" s="153"/>
      <c r="K80" s="153"/>
      <c r="L80" s="153"/>
      <c r="M80" s="153"/>
      <c r="N80" s="153"/>
      <c r="O80" s="153"/>
      <c r="P80" s="153"/>
      <c r="Q80" s="151"/>
      <c r="R80" s="317"/>
      <c r="U80" s="153"/>
      <c r="V80" s="152"/>
      <c r="X80"/>
    </row>
    <row r="81" spans="1:24" x14ac:dyDescent="0.2">
      <c r="A81" s="154"/>
      <c r="B81" s="147"/>
      <c r="C81" s="147"/>
      <c r="D81" s="147"/>
      <c r="E81" s="149"/>
      <c r="F81" s="149"/>
      <c r="G81" s="150"/>
      <c r="H81" s="150"/>
      <c r="I81" s="152"/>
      <c r="J81" s="153"/>
      <c r="K81" s="153"/>
      <c r="L81" s="153"/>
      <c r="M81" s="153"/>
      <c r="N81" s="153"/>
      <c r="O81" s="153"/>
      <c r="P81" s="153"/>
      <c r="Q81" s="151"/>
      <c r="R81" s="317"/>
      <c r="U81" s="153"/>
      <c r="V81" s="152"/>
      <c r="X81"/>
    </row>
    <row r="82" spans="1:24" x14ac:dyDescent="0.2">
      <c r="A82" s="154"/>
      <c r="B82" s="147"/>
      <c r="C82" s="147"/>
      <c r="D82" s="147"/>
      <c r="E82" s="149"/>
      <c r="F82" s="149"/>
      <c r="G82" s="150"/>
      <c r="H82" s="150"/>
      <c r="I82" s="152"/>
      <c r="J82" s="153"/>
      <c r="K82" s="153"/>
      <c r="L82" s="153"/>
      <c r="M82" s="153"/>
      <c r="N82" s="153"/>
      <c r="O82" s="153"/>
      <c r="P82" s="153"/>
      <c r="Q82" s="151"/>
      <c r="R82" s="317"/>
      <c r="U82" s="153"/>
      <c r="V82" s="152"/>
      <c r="X82"/>
    </row>
    <row r="83" spans="1:24" x14ac:dyDescent="0.2">
      <c r="A83" s="154"/>
      <c r="B83" s="147"/>
      <c r="C83" s="147"/>
      <c r="D83" s="147"/>
      <c r="E83" s="149"/>
      <c r="F83" s="149"/>
      <c r="G83" s="150"/>
      <c r="H83" s="150"/>
      <c r="I83" s="152"/>
      <c r="J83" s="153"/>
      <c r="K83" s="153"/>
      <c r="L83" s="153"/>
      <c r="M83" s="153"/>
      <c r="N83" s="153"/>
      <c r="O83" s="153"/>
      <c r="P83" s="153"/>
      <c r="Q83" s="151"/>
      <c r="R83" s="317"/>
      <c r="U83" s="153"/>
      <c r="V83" s="152"/>
      <c r="X83"/>
    </row>
    <row r="84" spans="1:24" x14ac:dyDescent="0.2">
      <c r="A84" s="154"/>
      <c r="B84" s="147"/>
      <c r="C84" s="147"/>
      <c r="D84" s="147"/>
      <c r="E84" s="149"/>
      <c r="F84" s="149"/>
      <c r="G84" s="150"/>
      <c r="H84" s="150"/>
      <c r="I84" s="152"/>
      <c r="J84" s="153"/>
      <c r="K84" s="153"/>
      <c r="L84" s="153"/>
      <c r="M84" s="153"/>
      <c r="N84" s="153"/>
      <c r="O84" s="153"/>
      <c r="P84" s="153"/>
      <c r="Q84" s="151"/>
      <c r="R84" s="317"/>
      <c r="U84" s="153"/>
      <c r="V84" s="152"/>
      <c r="X84"/>
    </row>
    <row r="85" spans="1:24" x14ac:dyDescent="0.2">
      <c r="A85" s="154"/>
      <c r="B85" s="147"/>
      <c r="C85" s="147"/>
      <c r="D85" s="147"/>
      <c r="E85" s="149"/>
      <c r="F85" s="149"/>
      <c r="G85" s="150"/>
      <c r="H85" s="150"/>
      <c r="I85" s="152"/>
      <c r="J85" s="153"/>
      <c r="K85" s="153"/>
      <c r="L85" s="153"/>
      <c r="M85" s="153"/>
      <c r="N85" s="153"/>
      <c r="O85" s="153"/>
      <c r="P85" s="153"/>
      <c r="Q85" s="151"/>
      <c r="R85" s="317"/>
      <c r="U85" s="153"/>
      <c r="V85" s="152"/>
      <c r="X85"/>
    </row>
    <row r="86" spans="1:24" x14ac:dyDescent="0.2">
      <c r="A86" s="154"/>
      <c r="B86" s="147"/>
      <c r="C86" s="147"/>
      <c r="D86" s="147"/>
      <c r="E86" s="149"/>
      <c r="F86" s="149"/>
      <c r="G86" s="150"/>
      <c r="H86" s="150"/>
      <c r="I86" s="152"/>
      <c r="J86" s="153"/>
      <c r="K86" s="153"/>
      <c r="L86" s="153"/>
      <c r="M86" s="153"/>
      <c r="N86" s="153"/>
      <c r="O86" s="153"/>
      <c r="P86" s="153"/>
      <c r="Q86" s="151"/>
      <c r="R86" s="317"/>
      <c r="U86" s="153"/>
      <c r="V86" s="152"/>
      <c r="X86"/>
    </row>
    <row r="87" spans="1:24" x14ac:dyDescent="0.2">
      <c r="A87" s="154"/>
      <c r="B87" s="147"/>
      <c r="C87" s="147"/>
      <c r="D87" s="147"/>
      <c r="E87" s="149"/>
      <c r="F87" s="149"/>
      <c r="G87" s="150"/>
      <c r="H87" s="150"/>
      <c r="I87" s="152"/>
      <c r="J87" s="153"/>
      <c r="K87" s="153"/>
      <c r="L87" s="153"/>
      <c r="M87" s="153"/>
      <c r="N87" s="153"/>
      <c r="O87" s="153"/>
      <c r="P87" s="153"/>
      <c r="Q87" s="151"/>
      <c r="R87" s="317"/>
      <c r="U87" s="153"/>
      <c r="V87" s="152"/>
      <c r="X87"/>
    </row>
    <row r="88" spans="1:24" x14ac:dyDescent="0.2">
      <c r="A88" s="154"/>
      <c r="B88" s="147"/>
      <c r="C88" s="147"/>
      <c r="D88" s="147"/>
      <c r="E88" s="149"/>
      <c r="F88" s="149"/>
      <c r="G88" s="150"/>
      <c r="H88" s="150"/>
      <c r="I88" s="152"/>
      <c r="J88" s="153"/>
      <c r="K88" s="153"/>
      <c r="L88" s="153"/>
      <c r="M88" s="153"/>
      <c r="N88" s="153"/>
      <c r="O88" s="153"/>
      <c r="P88" s="153"/>
      <c r="Q88" s="151"/>
      <c r="R88" s="317"/>
      <c r="U88" s="153"/>
      <c r="V88" s="152"/>
      <c r="X88"/>
    </row>
    <row r="89" spans="1:24" x14ac:dyDescent="0.2">
      <c r="A89" s="154"/>
      <c r="B89" s="147"/>
      <c r="C89" s="147"/>
      <c r="D89" s="147"/>
      <c r="E89" s="149"/>
      <c r="F89" s="149"/>
      <c r="G89" s="150"/>
      <c r="H89" s="150"/>
      <c r="I89" s="152"/>
      <c r="J89" s="153"/>
      <c r="K89" s="153"/>
      <c r="L89" s="153"/>
      <c r="M89" s="153"/>
      <c r="N89" s="153"/>
      <c r="O89" s="153"/>
      <c r="P89" s="153"/>
      <c r="Q89" s="151"/>
      <c r="R89" s="317"/>
      <c r="U89" s="153"/>
      <c r="V89" s="152"/>
      <c r="X89"/>
    </row>
    <row r="90" spans="1:24" x14ac:dyDescent="0.2">
      <c r="A90" s="154"/>
      <c r="B90" s="147"/>
      <c r="C90" s="147"/>
      <c r="D90" s="147"/>
      <c r="E90" s="149"/>
      <c r="F90" s="149"/>
      <c r="G90" s="150"/>
      <c r="H90" s="150"/>
      <c r="I90" s="152"/>
      <c r="J90" s="153"/>
      <c r="K90" s="153"/>
      <c r="L90" s="153"/>
      <c r="M90" s="153"/>
      <c r="N90" s="153"/>
      <c r="O90" s="153"/>
      <c r="P90" s="153"/>
      <c r="Q90" s="151"/>
      <c r="R90" s="317"/>
      <c r="U90" s="153"/>
      <c r="V90" s="152"/>
      <c r="X90"/>
    </row>
    <row r="91" spans="1:24" x14ac:dyDescent="0.2">
      <c r="A91" s="154"/>
      <c r="B91" s="147"/>
      <c r="C91" s="147"/>
      <c r="D91" s="147"/>
      <c r="E91" s="149"/>
      <c r="F91" s="149"/>
      <c r="G91" s="150"/>
      <c r="H91" s="150"/>
      <c r="I91" s="152"/>
      <c r="J91" s="153"/>
      <c r="K91" s="153"/>
      <c r="L91" s="153"/>
      <c r="M91" s="153"/>
      <c r="N91" s="153"/>
      <c r="O91" s="153"/>
      <c r="P91" s="153"/>
      <c r="Q91" s="151"/>
      <c r="R91" s="317"/>
      <c r="U91" s="153"/>
      <c r="V91" s="152"/>
      <c r="X91"/>
    </row>
    <row r="92" spans="1:24" x14ac:dyDescent="0.2">
      <c r="A92" s="154"/>
      <c r="B92" s="147"/>
      <c r="C92" s="147"/>
      <c r="D92" s="147"/>
      <c r="E92" s="149"/>
      <c r="F92" s="149"/>
      <c r="G92" s="150"/>
      <c r="H92" s="150"/>
      <c r="I92" s="152"/>
      <c r="J92" s="153"/>
      <c r="K92" s="153"/>
      <c r="L92" s="153"/>
      <c r="M92" s="153"/>
      <c r="N92" s="153"/>
      <c r="O92" s="153"/>
      <c r="P92" s="153"/>
      <c r="Q92" s="151"/>
      <c r="R92" s="317"/>
      <c r="U92" s="153"/>
      <c r="V92" s="152"/>
      <c r="X92"/>
    </row>
    <row r="93" spans="1:24" x14ac:dyDescent="0.2">
      <c r="A93" s="154"/>
      <c r="B93" s="147"/>
      <c r="C93" s="147"/>
      <c r="D93" s="147"/>
      <c r="E93" s="149"/>
      <c r="F93" s="149"/>
      <c r="G93" s="150"/>
      <c r="H93" s="150"/>
      <c r="I93" s="152"/>
      <c r="J93" s="153"/>
      <c r="K93" s="153"/>
      <c r="L93" s="153"/>
      <c r="M93" s="153"/>
      <c r="N93" s="153"/>
      <c r="O93" s="153"/>
      <c r="P93" s="153"/>
      <c r="Q93" s="151"/>
      <c r="R93" s="317"/>
      <c r="U93" s="153"/>
      <c r="V93" s="152"/>
      <c r="X93"/>
    </row>
    <row r="94" spans="1:24" x14ac:dyDescent="0.2">
      <c r="A94" s="154"/>
      <c r="B94" s="147"/>
      <c r="C94" s="147"/>
      <c r="D94" s="147"/>
      <c r="E94" s="149"/>
      <c r="F94" s="149"/>
      <c r="G94" s="150"/>
      <c r="H94" s="150"/>
      <c r="I94" s="152"/>
      <c r="J94" s="153"/>
      <c r="K94" s="153"/>
      <c r="L94" s="153"/>
      <c r="M94" s="153"/>
      <c r="N94" s="153"/>
      <c r="O94" s="153"/>
      <c r="P94" s="153"/>
      <c r="Q94" s="151"/>
      <c r="R94" s="317"/>
      <c r="U94" s="153"/>
      <c r="V94" s="152"/>
      <c r="X94"/>
    </row>
    <row r="95" spans="1:24" x14ac:dyDescent="0.2">
      <c r="A95" s="154"/>
      <c r="B95" s="147"/>
      <c r="C95" s="147"/>
      <c r="D95" s="147"/>
      <c r="E95" s="149"/>
      <c r="F95" s="149"/>
      <c r="G95" s="150"/>
      <c r="H95" s="150"/>
      <c r="I95" s="152"/>
      <c r="J95" s="153"/>
      <c r="K95" s="153"/>
      <c r="L95" s="153"/>
      <c r="M95" s="153"/>
      <c r="N95" s="153"/>
      <c r="O95" s="153"/>
      <c r="P95" s="153"/>
      <c r="Q95" s="151"/>
      <c r="R95" s="317"/>
      <c r="U95" s="153"/>
      <c r="V95" s="152"/>
      <c r="X95"/>
    </row>
    <row r="96" spans="1:24" x14ac:dyDescent="0.2">
      <c r="A96" s="154"/>
      <c r="B96" s="147"/>
      <c r="C96" s="147"/>
      <c r="D96" s="147"/>
      <c r="E96" s="149"/>
      <c r="F96" s="149"/>
      <c r="G96" s="150"/>
      <c r="H96" s="150"/>
      <c r="I96" s="152"/>
      <c r="J96" s="153"/>
      <c r="K96" s="153"/>
      <c r="L96" s="153"/>
      <c r="M96" s="153"/>
      <c r="N96" s="153"/>
      <c r="O96" s="153"/>
      <c r="P96" s="153"/>
      <c r="Q96" s="151"/>
      <c r="R96" s="317"/>
      <c r="U96" s="153"/>
      <c r="V96" s="152"/>
      <c r="X96"/>
    </row>
    <row r="97" spans="1:24" x14ac:dyDescent="0.2">
      <c r="A97" s="154"/>
      <c r="B97" s="147"/>
      <c r="C97" s="147"/>
      <c r="D97" s="147"/>
      <c r="E97" s="149"/>
      <c r="F97" s="149"/>
      <c r="G97" s="150"/>
      <c r="H97" s="150"/>
      <c r="I97" s="152"/>
      <c r="J97" s="153"/>
      <c r="K97" s="153"/>
      <c r="L97" s="153"/>
      <c r="M97" s="153"/>
      <c r="N97" s="153"/>
      <c r="O97" s="153"/>
      <c r="P97" s="153"/>
      <c r="Q97" s="151"/>
      <c r="R97" s="317"/>
      <c r="U97" s="153"/>
      <c r="V97" s="152"/>
      <c r="X97"/>
    </row>
    <row r="98" spans="1:24" x14ac:dyDescent="0.2">
      <c r="A98" s="154"/>
      <c r="B98" s="147"/>
      <c r="C98" s="147"/>
      <c r="D98" s="147"/>
      <c r="E98" s="149"/>
      <c r="F98" s="149"/>
      <c r="G98" s="150"/>
      <c r="H98" s="150"/>
      <c r="I98" s="152"/>
      <c r="J98" s="153"/>
      <c r="K98" s="153"/>
      <c r="L98" s="153"/>
      <c r="M98" s="153"/>
      <c r="N98" s="153"/>
      <c r="O98" s="153"/>
      <c r="P98" s="153"/>
      <c r="Q98" s="151"/>
      <c r="R98" s="317"/>
      <c r="U98" s="153"/>
      <c r="V98" s="152"/>
      <c r="X98"/>
    </row>
    <row r="99" spans="1:24" x14ac:dyDescent="0.2">
      <c r="A99" s="154"/>
      <c r="B99" s="147"/>
      <c r="C99" s="147"/>
      <c r="D99" s="147"/>
      <c r="E99" s="149"/>
      <c r="F99" s="149"/>
      <c r="G99" s="150"/>
      <c r="H99" s="150"/>
      <c r="I99" s="152"/>
      <c r="J99" s="153"/>
      <c r="K99" s="153"/>
      <c r="L99" s="153"/>
      <c r="M99" s="153"/>
      <c r="N99" s="153"/>
      <c r="O99" s="153"/>
      <c r="P99" s="153"/>
      <c r="Q99" s="151"/>
      <c r="R99" s="317"/>
      <c r="U99" s="153"/>
      <c r="V99" s="152"/>
      <c r="X99"/>
    </row>
    <row r="100" spans="1:24" x14ac:dyDescent="0.2">
      <c r="A100" s="154"/>
      <c r="B100" s="147"/>
      <c r="C100" s="147"/>
      <c r="D100" s="147"/>
      <c r="E100" s="149"/>
      <c r="F100" s="149"/>
      <c r="G100" s="150"/>
      <c r="H100" s="150"/>
      <c r="I100" s="152"/>
      <c r="J100" s="153"/>
      <c r="K100" s="153"/>
      <c r="L100" s="153"/>
      <c r="M100" s="153"/>
      <c r="N100" s="153"/>
      <c r="O100" s="153"/>
      <c r="P100" s="153"/>
      <c r="Q100" s="151"/>
      <c r="R100" s="317"/>
      <c r="U100" s="153"/>
      <c r="V100" s="152"/>
      <c r="X100"/>
    </row>
    <row r="101" spans="1:24" x14ac:dyDescent="0.2">
      <c r="V101" s="25"/>
      <c r="X101"/>
    </row>
    <row r="102" spans="1:24" x14ac:dyDescent="0.2">
      <c r="V102" s="25"/>
      <c r="X102"/>
    </row>
    <row r="103" spans="1:24" x14ac:dyDescent="0.2">
      <c r="V103" s="25"/>
      <c r="X103"/>
    </row>
    <row r="104" spans="1:24" x14ac:dyDescent="0.2">
      <c r="V104" s="25"/>
      <c r="X104"/>
    </row>
    <row r="105" spans="1:24" x14ac:dyDescent="0.2">
      <c r="V105" s="25"/>
      <c r="X105"/>
    </row>
    <row r="106" spans="1:24" x14ac:dyDescent="0.2">
      <c r="V106" s="25"/>
      <c r="X106"/>
    </row>
    <row r="107" spans="1:24" x14ac:dyDescent="0.2">
      <c r="V107" s="25"/>
      <c r="X107"/>
    </row>
    <row r="108" spans="1:24" x14ac:dyDescent="0.2">
      <c r="V108" s="25"/>
      <c r="X108"/>
    </row>
    <row r="109" spans="1:24" x14ac:dyDescent="0.2">
      <c r="V109" s="25"/>
      <c r="X109"/>
    </row>
    <row r="110" spans="1:24" x14ac:dyDescent="0.2">
      <c r="V110" s="25"/>
      <c r="X110"/>
    </row>
    <row r="111" spans="1:24" x14ac:dyDescent="0.2">
      <c r="V111" s="25"/>
      <c r="X111"/>
    </row>
    <row r="112" spans="1:24" x14ac:dyDescent="0.2">
      <c r="V112" s="25"/>
      <c r="X112"/>
    </row>
    <row r="113" spans="22:24" x14ac:dyDescent="0.2">
      <c r="V113" s="25"/>
      <c r="X113"/>
    </row>
    <row r="114" spans="22:24" x14ac:dyDescent="0.2">
      <c r="V114" s="25"/>
      <c r="X114"/>
    </row>
    <row r="115" spans="22:24" x14ac:dyDescent="0.2">
      <c r="V115" s="25"/>
      <c r="X115"/>
    </row>
    <row r="116" spans="22:24" x14ac:dyDescent="0.2">
      <c r="V116" s="25"/>
      <c r="X116"/>
    </row>
    <row r="117" spans="22:24" x14ac:dyDescent="0.2">
      <c r="V117" s="25"/>
      <c r="X117"/>
    </row>
    <row r="118" spans="22:24" x14ac:dyDescent="0.2">
      <c r="V118" s="25"/>
      <c r="X118"/>
    </row>
    <row r="119" spans="22:24" x14ac:dyDescent="0.2">
      <c r="V119" s="25"/>
      <c r="X119"/>
    </row>
    <row r="120" spans="22:24" x14ac:dyDescent="0.2">
      <c r="V120" s="25"/>
      <c r="X120"/>
    </row>
    <row r="121" spans="22:24" x14ac:dyDescent="0.2">
      <c r="V121" s="25"/>
      <c r="X121"/>
    </row>
    <row r="122" spans="22:24" x14ac:dyDescent="0.2">
      <c r="V122" s="25"/>
      <c r="X122"/>
    </row>
    <row r="123" spans="22:24" x14ac:dyDescent="0.2">
      <c r="V123" s="25"/>
      <c r="X123"/>
    </row>
    <row r="124" spans="22:24" x14ac:dyDescent="0.2">
      <c r="V124" s="25"/>
      <c r="X124"/>
    </row>
    <row r="125" spans="22:24" x14ac:dyDescent="0.2">
      <c r="V125" s="25"/>
      <c r="X125"/>
    </row>
    <row r="126" spans="22:24" x14ac:dyDescent="0.2">
      <c r="V126" s="25"/>
      <c r="X126"/>
    </row>
    <row r="127" spans="22:24" x14ac:dyDescent="0.2">
      <c r="V127" s="25"/>
      <c r="X127"/>
    </row>
    <row r="128" spans="22:24" x14ac:dyDescent="0.2">
      <c r="V128" s="25"/>
      <c r="X128"/>
    </row>
    <row r="129" spans="22:24" x14ac:dyDescent="0.2">
      <c r="V129" s="25"/>
      <c r="X129"/>
    </row>
    <row r="130" spans="22:24" x14ac:dyDescent="0.2">
      <c r="V130" s="25"/>
      <c r="X130"/>
    </row>
    <row r="131" spans="22:24" x14ac:dyDescent="0.2">
      <c r="V131" s="25"/>
      <c r="X131"/>
    </row>
    <row r="132" spans="22:24" x14ac:dyDescent="0.2">
      <c r="V132" s="25"/>
    </row>
    <row r="133" spans="22:24" x14ac:dyDescent="0.2">
      <c r="V133" s="25"/>
    </row>
    <row r="134" spans="22:24" x14ac:dyDescent="0.2">
      <c r="V134" s="25"/>
    </row>
    <row r="135" spans="22:24" x14ac:dyDescent="0.2">
      <c r="V135" s="25"/>
    </row>
    <row r="136" spans="22:24" x14ac:dyDescent="0.2">
      <c r="V136" s="25"/>
    </row>
    <row r="137" spans="22:24" x14ac:dyDescent="0.2">
      <c r="V137" s="25"/>
    </row>
    <row r="138" spans="22:24" x14ac:dyDescent="0.2">
      <c r="V138" s="25"/>
    </row>
    <row r="139" spans="22:24" x14ac:dyDescent="0.2">
      <c r="V139" s="25"/>
    </row>
    <row r="140" spans="22:24" x14ac:dyDescent="0.2">
      <c r="V140" s="25"/>
    </row>
    <row r="141" spans="22:24" x14ac:dyDescent="0.2">
      <c r="V141" s="25"/>
    </row>
    <row r="142" spans="22:24" x14ac:dyDescent="0.2">
      <c r="V142" s="25"/>
    </row>
    <row r="143" spans="22:24" x14ac:dyDescent="0.2">
      <c r="V143" s="25"/>
    </row>
    <row r="144" spans="22:24" x14ac:dyDescent="0.2">
      <c r="V144" s="25"/>
    </row>
    <row r="145" spans="22:22" x14ac:dyDescent="0.2">
      <c r="V145" s="25"/>
    </row>
    <row r="146" spans="22:22" x14ac:dyDescent="0.2">
      <c r="V146" s="25"/>
    </row>
    <row r="147" spans="22:22" x14ac:dyDescent="0.2">
      <c r="V147" s="25"/>
    </row>
    <row r="148" spans="22:22" x14ac:dyDescent="0.2">
      <c r="V148" s="25"/>
    </row>
    <row r="149" spans="22:22" x14ac:dyDescent="0.2">
      <c r="V149" s="25"/>
    </row>
    <row r="150" spans="22:22" x14ac:dyDescent="0.2">
      <c r="V150" s="25"/>
    </row>
    <row r="151" spans="22:22" x14ac:dyDescent="0.2">
      <c r="V151" s="25"/>
    </row>
    <row r="152" spans="22:22" x14ac:dyDescent="0.2">
      <c r="V152" s="25"/>
    </row>
    <row r="153" spans="22:22" x14ac:dyDescent="0.2">
      <c r="V153" s="25"/>
    </row>
    <row r="154" spans="22:22" x14ac:dyDescent="0.2">
      <c r="V154" s="25"/>
    </row>
    <row r="155" spans="22:22" x14ac:dyDescent="0.2">
      <c r="V155" s="25"/>
    </row>
    <row r="156" spans="22:22" x14ac:dyDescent="0.2">
      <c r="V156" s="25"/>
    </row>
    <row r="157" spans="22:22" x14ac:dyDescent="0.2">
      <c r="V157" s="25"/>
    </row>
    <row r="158" spans="22:22" x14ac:dyDescent="0.2">
      <c r="V158" s="25"/>
    </row>
    <row r="159" spans="22:22" x14ac:dyDescent="0.2">
      <c r="V159" s="25"/>
    </row>
    <row r="160" spans="22:22" x14ac:dyDescent="0.2">
      <c r="V160" s="25"/>
    </row>
    <row r="161" spans="22:22" x14ac:dyDescent="0.2">
      <c r="V161" s="25"/>
    </row>
    <row r="162" spans="22:22" x14ac:dyDescent="0.2">
      <c r="V162" s="25"/>
    </row>
    <row r="163" spans="22:22" x14ac:dyDescent="0.2">
      <c r="V163" s="25"/>
    </row>
    <row r="164" spans="22:22" x14ac:dyDescent="0.2">
      <c r="V164" s="25"/>
    </row>
    <row r="165" spans="22:22" x14ac:dyDescent="0.2">
      <c r="V165" s="25"/>
    </row>
    <row r="166" spans="22:22" x14ac:dyDescent="0.2">
      <c r="V166" s="25"/>
    </row>
    <row r="167" spans="22:22" x14ac:dyDescent="0.2">
      <c r="V167" s="25"/>
    </row>
    <row r="168" spans="22:22" x14ac:dyDescent="0.2">
      <c r="V168" s="25"/>
    </row>
    <row r="169" spans="22:22" x14ac:dyDescent="0.2">
      <c r="V169" s="25"/>
    </row>
  </sheetData>
  <phoneticPr fontId="25" type="noConversion"/>
  <hyperlinks>
    <hyperlink ref="A69" r:id="rId1" xr:uid="{0BB4E52E-4AC0-4168-B6A7-3B3B5F45ACF3}"/>
    <hyperlink ref="A70" r:id="rId2" location=":~:text=SIP%20Installation%20Cost%20by%20Location,foot%2C%20only%20for%20the%20panels." xr:uid="{99EB0219-1A5D-4869-94A7-69F11DE4B7C8}"/>
    <hyperlink ref="A71" r:id="rId3" xr:uid="{60277A3D-A791-4311-8F3A-B14FD782F5BA}"/>
    <hyperlink ref="A72" r:id="rId4" display="Premier SIPs" xr:uid="{E05752AD-2755-4938-9622-A499AFBA2D6B}"/>
    <hyperlink ref="A73" r:id="rId5" xr:uid="{82AD600B-24D1-4219-8F0E-9DE905C10AF0}"/>
    <hyperlink ref="A1" location="'Table of Contents'!A1" display="Table of Contents" xr:uid="{C16CF90E-A033-498C-973E-9BAC1DDD02E3}"/>
    <hyperlink ref="P4" r:id="rId6" xr:uid="{E76E7FB2-C9F6-4FBC-B4FC-997132E18EBD}"/>
    <hyperlink ref="P12" r:id="rId7" xr:uid="{977F4718-6EFE-4F64-9AB6-E22EC9F77C80}"/>
    <hyperlink ref="P20" r:id="rId8" xr:uid="{24E2BE17-0ADC-444F-B793-DB194B515505}"/>
    <hyperlink ref="P5" r:id="rId9" xr:uid="{4F1585E4-CA04-4678-81F1-3E0533E02977}"/>
    <hyperlink ref="P6" r:id="rId10" xr:uid="{F994237A-8F2B-4F16-ACAF-CCBD7C0D72C7}"/>
    <hyperlink ref="P7" r:id="rId11" xr:uid="{10F56AA2-82D2-406E-9DCE-0A3C9220ED6B}"/>
    <hyperlink ref="P8" r:id="rId12" xr:uid="{6EC37CDF-556C-40D6-8C6A-6D1D57FFBE12}"/>
    <hyperlink ref="P9" r:id="rId13" xr:uid="{D83FDF82-AEFF-4826-892B-F1A178D288FE}"/>
    <hyperlink ref="P10" r:id="rId14" xr:uid="{24E81997-1E28-4DA7-93E3-4E5952F2B525}"/>
    <hyperlink ref="P11" r:id="rId15" xr:uid="{DFA73F40-0B82-4877-9197-827839D6A869}"/>
    <hyperlink ref="P13" r:id="rId16" xr:uid="{2B572A0A-8D45-4146-83C1-BF26887986ED}"/>
    <hyperlink ref="P14" r:id="rId17" xr:uid="{3EC41D36-5C2F-4287-B586-4D6662FC6439}"/>
    <hyperlink ref="P15" r:id="rId18" xr:uid="{F31965C3-19AA-4845-89BA-BF49F7D79B5E}"/>
    <hyperlink ref="P16" r:id="rId19" xr:uid="{65C878F3-50D2-432F-8656-794C69D28316}"/>
    <hyperlink ref="P17" r:id="rId20" xr:uid="{04A29D9F-E7BE-4A60-A763-205DADB54F38}"/>
    <hyperlink ref="P18" r:id="rId21" xr:uid="{4B4DE74C-F744-4D45-B96B-92DB87D22BAA}"/>
    <hyperlink ref="P19" r:id="rId22" xr:uid="{326B724B-67E4-4C37-A43E-8A4FF6C435B4}"/>
    <hyperlink ref="P21" r:id="rId23" xr:uid="{4093A642-31CF-4CCB-A17A-1A7FE80931EF}"/>
    <hyperlink ref="P22" r:id="rId24" xr:uid="{41AF442B-B98A-4424-832A-EEF26F35D05D}"/>
    <hyperlink ref="P23" r:id="rId25" xr:uid="{505FE6D5-8F13-43CA-8BDF-4D70F47B7FD2}"/>
    <hyperlink ref="P24" r:id="rId26" xr:uid="{98FD5715-FC7C-461F-83A4-03681780BEE5}"/>
    <hyperlink ref="P25" r:id="rId27" xr:uid="{937A1545-3720-42DC-88E1-13A0FDEC81E9}"/>
    <hyperlink ref="P26" r:id="rId28" xr:uid="{34DDAA50-9A05-499B-BC10-A372C7327518}"/>
    <hyperlink ref="P27" r:id="rId29" xr:uid="{2531FA59-B97D-46E5-B9E3-AE39A8601288}"/>
    <hyperlink ref="P28" r:id="rId30" xr:uid="{B72BFD8B-74EC-448B-9501-6192811C916F}"/>
    <hyperlink ref="P29" r:id="rId31" xr:uid="{0780C7B1-D1DF-4F4D-856C-7FB69FAA85AF}"/>
    <hyperlink ref="P30" r:id="rId32" xr:uid="{05A4D0C6-6C86-44A3-96BF-6BE2D758AB28}"/>
    <hyperlink ref="P31" r:id="rId33" xr:uid="{A785F452-2FFE-4838-AC80-3B082C283C01}"/>
    <hyperlink ref="P32" r:id="rId34" xr:uid="{4B644DA6-F050-4360-9A73-8239A392F67D}"/>
    <hyperlink ref="P33" r:id="rId35" xr:uid="{078DC031-AD2F-4365-BABE-04E7C5BB7834}"/>
    <hyperlink ref="P34" r:id="rId36" xr:uid="{1923AABE-9036-4BE2-9842-2162DC54AAF5}"/>
    <hyperlink ref="P35" r:id="rId37" xr:uid="{4DD00637-C5BF-4A1F-9981-9D3942E0A50A}"/>
  </hyperlinks>
  <pageMargins left="0.7" right="0.7" top="0.75" bottom="0.75" header="0.3" footer="0.3"/>
  <pageSetup orientation="portrait" r:id="rId38"/>
  <legacyDrawing r:id="rId39"/>
  <tableParts count="1">
    <tablePart r:id="rId40"/>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0CBB7-6554-461F-B7A5-EE8F485A40EC}">
  <dimension ref="A1:AD34"/>
  <sheetViews>
    <sheetView showGridLines="0" zoomScale="90" zoomScaleNormal="90" workbookViewId="0"/>
  </sheetViews>
  <sheetFormatPr baseColWidth="10" defaultColWidth="8.83203125" defaultRowHeight="15" x14ac:dyDescent="0.2"/>
  <cols>
    <col min="1" max="1" width="25.5" customWidth="1"/>
    <col min="2" max="2" width="8.5" bestFit="1" customWidth="1"/>
    <col min="3" max="3" width="12.33203125" bestFit="1" customWidth="1"/>
    <col min="4" max="5" width="14.6640625" bestFit="1" customWidth="1"/>
    <col min="6" max="6" width="15.5" bestFit="1" customWidth="1"/>
    <col min="7" max="7" width="10" customWidth="1"/>
    <col min="8" max="8" width="7.6640625" bestFit="1" customWidth="1"/>
    <col min="9" max="10" width="12.5" bestFit="1" customWidth="1"/>
    <col min="11" max="12" width="14.6640625" bestFit="1" customWidth="1"/>
    <col min="13" max="13" width="15.5" bestFit="1" customWidth="1"/>
    <col min="14" max="14" width="18.5" bestFit="1" customWidth="1"/>
    <col min="15" max="15" width="8.5" bestFit="1" customWidth="1"/>
    <col min="16" max="17" width="12.5" bestFit="1" customWidth="1"/>
    <col min="18" max="18" width="7.5" bestFit="1" customWidth="1"/>
    <col min="19" max="19" width="12.5" customWidth="1"/>
    <col min="20" max="20" width="12.6640625" customWidth="1"/>
    <col min="21" max="21" width="16.5" bestFit="1" customWidth="1"/>
    <col min="22" max="22" width="13.33203125" customWidth="1"/>
    <col min="23" max="23" width="17" bestFit="1" customWidth="1"/>
    <col min="24" max="24" width="7.6640625" bestFit="1" customWidth="1"/>
    <col min="25" max="25" width="8.5" bestFit="1" customWidth="1"/>
    <col min="26" max="26" width="27.6640625" bestFit="1" customWidth="1"/>
    <col min="27" max="27" width="12.33203125" bestFit="1" customWidth="1"/>
    <col min="28" max="28" width="16.5" bestFit="1" customWidth="1"/>
    <col min="29" max="29" width="30.5" bestFit="1" customWidth="1"/>
  </cols>
  <sheetData>
    <row r="1" spans="1:30" x14ac:dyDescent="0.2">
      <c r="A1" s="4" t="s">
        <v>21</v>
      </c>
    </row>
    <row r="2" spans="1:30" ht="16" thickBot="1" x14ac:dyDescent="0.25">
      <c r="A2" s="41" t="s">
        <v>342</v>
      </c>
    </row>
    <row r="3" spans="1:30" x14ac:dyDescent="0.2">
      <c r="A3" s="434" t="s">
        <v>343</v>
      </c>
      <c r="B3" s="435"/>
      <c r="C3" s="436"/>
      <c r="D3" s="450" t="s">
        <v>344</v>
      </c>
      <c r="E3" s="437"/>
      <c r="F3" s="437"/>
      <c r="G3" s="437"/>
      <c r="H3" s="437"/>
      <c r="I3" s="437"/>
      <c r="J3" s="438"/>
      <c r="K3" s="439" t="s">
        <v>345</v>
      </c>
      <c r="L3" s="440"/>
      <c r="M3" s="440"/>
      <c r="N3" s="440"/>
      <c r="O3" s="440"/>
      <c r="P3" s="440"/>
      <c r="Q3" s="441"/>
      <c r="R3" s="442" t="s">
        <v>346</v>
      </c>
      <c r="S3" s="443"/>
      <c r="T3" s="443"/>
      <c r="U3" s="449" t="s">
        <v>4571</v>
      </c>
      <c r="V3" s="444"/>
      <c r="W3" s="449" t="s">
        <v>4572</v>
      </c>
      <c r="X3" s="430"/>
      <c r="Y3" s="431" t="s">
        <v>347</v>
      </c>
      <c r="Z3" s="432"/>
      <c r="AA3" s="432"/>
      <c r="AB3" s="432"/>
      <c r="AC3" s="433"/>
    </row>
    <row r="4" spans="1:30" ht="16" thickBot="1" x14ac:dyDescent="0.25">
      <c r="A4" s="181" t="s">
        <v>0</v>
      </c>
      <c r="B4" s="5" t="s">
        <v>348</v>
      </c>
      <c r="C4" s="6" t="s">
        <v>349</v>
      </c>
      <c r="D4" s="7" t="s">
        <v>350</v>
      </c>
      <c r="E4" s="8" t="s">
        <v>351</v>
      </c>
      <c r="F4" s="8" t="s">
        <v>352</v>
      </c>
      <c r="G4" s="8" t="s">
        <v>353</v>
      </c>
      <c r="H4" s="8" t="s">
        <v>354</v>
      </c>
      <c r="I4" s="8" t="s">
        <v>355</v>
      </c>
      <c r="J4" s="8" t="s">
        <v>356</v>
      </c>
      <c r="K4" s="111" t="s">
        <v>350</v>
      </c>
      <c r="L4" s="112" t="s">
        <v>351</v>
      </c>
      <c r="M4" s="112" t="s">
        <v>352</v>
      </c>
      <c r="N4" s="112" t="s">
        <v>353</v>
      </c>
      <c r="O4" s="112" t="s">
        <v>354</v>
      </c>
      <c r="P4" s="112" t="s">
        <v>355</v>
      </c>
      <c r="Q4" s="112" t="s">
        <v>356</v>
      </c>
      <c r="R4" s="11" t="s">
        <v>357</v>
      </c>
      <c r="S4" s="12" t="s">
        <v>358</v>
      </c>
      <c r="T4" s="12" t="s">
        <v>359</v>
      </c>
      <c r="U4" s="211" t="s">
        <v>360</v>
      </c>
      <c r="V4" s="212" t="s">
        <v>361</v>
      </c>
      <c r="W4" s="211" t="s">
        <v>360</v>
      </c>
      <c r="X4" s="116" t="s">
        <v>361</v>
      </c>
      <c r="Y4" s="102" t="s">
        <v>39</v>
      </c>
      <c r="Z4" s="103" t="s">
        <v>5321</v>
      </c>
      <c r="AA4" s="103" t="s">
        <v>362</v>
      </c>
      <c r="AB4" s="103" t="s">
        <v>5385</v>
      </c>
      <c r="AC4" s="182" t="s">
        <v>41</v>
      </c>
    </row>
    <row r="5" spans="1:30" ht="16" thickBot="1" x14ac:dyDescent="0.25">
      <c r="A5" s="156" t="s">
        <v>1206</v>
      </c>
      <c r="B5" s="157"/>
      <c r="C5" s="183" t="s">
        <v>364</v>
      </c>
      <c r="D5" s="184">
        <v>0.11</v>
      </c>
      <c r="E5" s="185">
        <v>7.3749999999999996E-2</v>
      </c>
      <c r="F5" s="185">
        <v>6.1212000000000003E-2</v>
      </c>
      <c r="G5" s="157" t="s">
        <v>1153</v>
      </c>
      <c r="H5" s="157" t="s">
        <v>365</v>
      </c>
      <c r="I5" s="192">
        <v>12</v>
      </c>
      <c r="J5" s="192">
        <v>46</v>
      </c>
      <c r="K5" s="186" t="s">
        <v>366</v>
      </c>
      <c r="L5" s="187" t="s">
        <v>366</v>
      </c>
      <c r="M5" s="187" t="s">
        <v>366</v>
      </c>
      <c r="N5" s="187" t="s">
        <v>366</v>
      </c>
      <c r="O5" s="187" t="s">
        <v>366</v>
      </c>
      <c r="P5" s="187" t="s">
        <v>366</v>
      </c>
      <c r="Q5" s="210" t="s">
        <v>366</v>
      </c>
      <c r="R5" s="189">
        <v>3.0700029999999998</v>
      </c>
      <c r="S5" s="189">
        <v>7.9600020000000002</v>
      </c>
      <c r="T5" s="189">
        <v>8.5318170000000002</v>
      </c>
      <c r="U5" s="188">
        <f>'SIP Data '!AA4</f>
        <v>1.1128305105397831</v>
      </c>
      <c r="V5" s="213" t="str">
        <f>'SIP Data '!AB4</f>
        <v>N/A</v>
      </c>
      <c r="W5" s="189" t="s">
        <v>366</v>
      </c>
      <c r="X5" s="189" t="s">
        <v>366</v>
      </c>
      <c r="Y5" s="332">
        <v>999</v>
      </c>
      <c r="Z5" s="333" t="s">
        <v>5442</v>
      </c>
      <c r="AA5" s="15" t="s">
        <v>3407</v>
      </c>
      <c r="AB5" s="15" t="s">
        <v>5391</v>
      </c>
      <c r="AC5" s="50" t="s">
        <v>5331</v>
      </c>
      <c r="AD5" t="s">
        <v>1168</v>
      </c>
    </row>
    <row r="10" spans="1:30" x14ac:dyDescent="0.2">
      <c r="A10" s="34" t="s">
        <v>372</v>
      </c>
    </row>
    <row r="11" spans="1:30" ht="16" thickBot="1" x14ac:dyDescent="0.25"/>
    <row r="12" spans="1:30" s="36" customFormat="1" x14ac:dyDescent="0.2">
      <c r="A12" s="35" t="s">
        <v>1206</v>
      </c>
    </row>
    <row r="13" spans="1:30" x14ac:dyDescent="0.2">
      <c r="A13" s="37" t="s">
        <v>1207</v>
      </c>
      <c r="B13" s="229" t="s">
        <v>5340</v>
      </c>
    </row>
    <row r="14" spans="1:30" x14ac:dyDescent="0.2">
      <c r="A14" s="190" t="s">
        <v>375</v>
      </c>
      <c r="B14" s="38">
        <v>62</v>
      </c>
      <c r="J14" s="41"/>
    </row>
    <row r="15" spans="1:30" ht="17" x14ac:dyDescent="0.2">
      <c r="A15" s="190" t="s">
        <v>376</v>
      </c>
      <c r="B15" s="38">
        <v>0.30990000000000001</v>
      </c>
    </row>
    <row r="21" spans="8:13" x14ac:dyDescent="0.2">
      <c r="H21" s="97"/>
    </row>
    <row r="22" spans="8:13" x14ac:dyDescent="0.2">
      <c r="H22" s="97"/>
    </row>
    <row r="23" spans="8:13" x14ac:dyDescent="0.2">
      <c r="H23" s="97"/>
    </row>
    <row r="24" spans="8:13" x14ac:dyDescent="0.2">
      <c r="H24" s="97"/>
      <c r="M24" s="97"/>
    </row>
    <row r="25" spans="8:13" x14ac:dyDescent="0.2">
      <c r="H25" s="97"/>
    </row>
    <row r="26" spans="8:13" x14ac:dyDescent="0.2">
      <c r="H26" s="97"/>
    </row>
    <row r="27" spans="8:13" x14ac:dyDescent="0.2">
      <c r="H27" s="97"/>
    </row>
    <row r="28" spans="8:13" x14ac:dyDescent="0.2">
      <c r="H28" s="97"/>
    </row>
    <row r="29" spans="8:13" x14ac:dyDescent="0.2">
      <c r="H29" s="97"/>
    </row>
    <row r="30" spans="8:13" x14ac:dyDescent="0.2">
      <c r="H30" s="97"/>
    </row>
    <row r="31" spans="8:13" x14ac:dyDescent="0.2">
      <c r="H31" s="97"/>
    </row>
    <row r="32" spans="8:13" x14ac:dyDescent="0.2">
      <c r="H32" s="97"/>
    </row>
    <row r="33" spans="8:8" x14ac:dyDescent="0.2">
      <c r="H33" s="97"/>
    </row>
    <row r="34" spans="8:8" x14ac:dyDescent="0.2">
      <c r="H34" s="97"/>
    </row>
  </sheetData>
  <mergeCells count="7">
    <mergeCell ref="W3:X3"/>
    <mergeCell ref="Y3:AC3"/>
    <mergeCell ref="A3:C3"/>
    <mergeCell ref="D3:J3"/>
    <mergeCell ref="K3:Q3"/>
    <mergeCell ref="R3:T3"/>
    <mergeCell ref="U3:V3"/>
  </mergeCells>
  <hyperlinks>
    <hyperlink ref="A1" location="'Table of Contents'!A1" display="Table of Contents" xr:uid="{32EE6173-F528-4505-AEE5-01ACA20131FD}"/>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95420-DC67-4467-BC64-00668761C122}">
  <dimension ref="A1:AH109"/>
  <sheetViews>
    <sheetView topLeftCell="W1" workbookViewId="0">
      <selection activeCell="AE4" sqref="AE4"/>
    </sheetView>
  </sheetViews>
  <sheetFormatPr baseColWidth="10" defaultColWidth="8.83203125" defaultRowHeight="15" x14ac:dyDescent="0.2"/>
  <cols>
    <col min="1" max="1" width="13.5" customWidth="1"/>
    <col min="2" max="2" width="14.5" customWidth="1"/>
    <col min="3" max="3" width="18.5" bestFit="1" customWidth="1"/>
    <col min="5" max="5" width="19.5" customWidth="1"/>
    <col min="6" max="6" width="13.5" bestFit="1" customWidth="1"/>
    <col min="7" max="8" width="12.5" bestFit="1" customWidth="1"/>
    <col min="9" max="9" width="15.5" bestFit="1" customWidth="1"/>
    <col min="10" max="10" width="11.5" customWidth="1"/>
    <col min="11" max="11" width="16.5" bestFit="1" customWidth="1"/>
    <col min="12" max="12" width="15.5" customWidth="1"/>
    <col min="13" max="13" width="10.5" customWidth="1"/>
    <col min="14" max="14" width="25.5" bestFit="1" customWidth="1"/>
    <col min="15" max="15" width="18.6640625" customWidth="1"/>
    <col min="16" max="17" width="10.5" customWidth="1"/>
    <col min="21" max="22" width="12.5" customWidth="1"/>
    <col min="25" max="25" width="21.5" bestFit="1" customWidth="1"/>
    <col min="26" max="26" width="12.6640625" customWidth="1"/>
    <col min="27" max="27" width="10.5" customWidth="1"/>
    <col min="28" max="28" width="14.5" customWidth="1"/>
    <col min="29" max="29" width="13.5" customWidth="1"/>
    <col min="30" max="30" width="15" customWidth="1"/>
    <col min="31" max="31" width="26.33203125" customWidth="1"/>
    <col min="32" max="32" width="20.5" customWidth="1"/>
    <col min="33" max="33" width="11.5" customWidth="1"/>
    <col min="34" max="34" width="8.5" bestFit="1" customWidth="1"/>
  </cols>
  <sheetData>
    <row r="1" spans="1:34" x14ac:dyDescent="0.2">
      <c r="A1" s="4" t="s">
        <v>21</v>
      </c>
      <c r="F1" s="41"/>
    </row>
    <row r="2" spans="1:34" ht="19" x14ac:dyDescent="0.25">
      <c r="A2" s="24" t="s">
        <v>22</v>
      </c>
      <c r="K2" s="40" t="s">
        <v>5305</v>
      </c>
      <c r="Y2" s="169" t="s">
        <v>23</v>
      </c>
      <c r="Z2" s="64"/>
      <c r="AA2" s="170"/>
      <c r="AB2" s="170"/>
      <c r="AC2" s="170"/>
      <c r="AD2" s="170"/>
      <c r="AE2" s="445" t="s">
        <v>24</v>
      </c>
      <c r="AF2" s="446"/>
      <c r="AG2" s="170"/>
      <c r="AH2" s="170"/>
    </row>
    <row r="3" spans="1:34" ht="24" x14ac:dyDescent="0.2">
      <c r="A3" s="41" t="s">
        <v>0</v>
      </c>
      <c r="B3" s="41" t="s">
        <v>25</v>
      </c>
      <c r="C3" s="93" t="s">
        <v>389</v>
      </c>
      <c r="D3" s="93" t="s">
        <v>1319</v>
      </c>
      <c r="E3" s="93" t="s">
        <v>2529</v>
      </c>
      <c r="F3" s="93" t="s">
        <v>3074</v>
      </c>
      <c r="G3" s="93" t="s">
        <v>3399</v>
      </c>
      <c r="H3" s="93" t="s">
        <v>3400</v>
      </c>
      <c r="I3" s="93" t="s">
        <v>3401</v>
      </c>
      <c r="J3" s="93" t="s">
        <v>3402</v>
      </c>
      <c r="K3" s="41" t="s">
        <v>33</v>
      </c>
      <c r="L3" s="41" t="s">
        <v>396</v>
      </c>
      <c r="M3" s="41" t="s">
        <v>35</v>
      </c>
      <c r="N3" s="41" t="s">
        <v>36</v>
      </c>
      <c r="O3" s="41" t="s">
        <v>37</v>
      </c>
      <c r="P3" s="41" t="s">
        <v>38</v>
      </c>
      <c r="Q3" s="41" t="s">
        <v>39</v>
      </c>
      <c r="R3" s="41" t="s">
        <v>40</v>
      </c>
      <c r="S3" s="41" t="s">
        <v>41</v>
      </c>
      <c r="T3" s="41" t="s">
        <v>43</v>
      </c>
      <c r="U3" s="41" t="s">
        <v>44</v>
      </c>
      <c r="V3" s="41" t="s">
        <v>57</v>
      </c>
      <c r="Y3" s="171" t="s">
        <v>0</v>
      </c>
      <c r="Z3" s="172" t="s">
        <v>25</v>
      </c>
      <c r="AA3" s="172" t="s">
        <v>58</v>
      </c>
      <c r="AB3" s="172" t="s">
        <v>59</v>
      </c>
      <c r="AC3" s="172" t="s">
        <v>60</v>
      </c>
      <c r="AD3" s="172" t="s">
        <v>61</v>
      </c>
      <c r="AE3" s="172" t="s">
        <v>62</v>
      </c>
      <c r="AF3" s="172" t="s">
        <v>63</v>
      </c>
      <c r="AG3" s="172" t="s">
        <v>64</v>
      </c>
      <c r="AH3" s="173" t="s">
        <v>43</v>
      </c>
    </row>
    <row r="4" spans="1:34" x14ac:dyDescent="0.2">
      <c r="A4" t="s">
        <v>2614</v>
      </c>
      <c r="C4" t="s">
        <v>2615</v>
      </c>
      <c r="D4" t="s">
        <v>2616</v>
      </c>
      <c r="F4">
        <v>96</v>
      </c>
      <c r="G4">
        <v>48</v>
      </c>
      <c r="H4">
        <v>32</v>
      </c>
      <c r="I4" t="s">
        <v>2617</v>
      </c>
      <c r="J4">
        <v>18.98</v>
      </c>
      <c r="K4" s="216">
        <v>0.59312500000000001</v>
      </c>
      <c r="R4">
        <v>2023</v>
      </c>
      <c r="T4" t="s">
        <v>99</v>
      </c>
      <c r="U4" t="s">
        <v>2618</v>
      </c>
      <c r="V4" t="s">
        <v>72</v>
      </c>
      <c r="Y4" s="225" t="s">
        <v>2614</v>
      </c>
      <c r="Z4" s="225" t="s">
        <v>2614</v>
      </c>
      <c r="AA4" s="226">
        <f>AVERAGEIF(A:A,"Drywall",N:N)</f>
        <v>1.3028571428571429</v>
      </c>
      <c r="AB4" s="226">
        <f>AVERAGEIF(A:A,"Drywall",P:P)</f>
        <v>0.24</v>
      </c>
      <c r="AC4" s="226">
        <f>AA4</f>
        <v>1.3028571428571429</v>
      </c>
      <c r="AD4" s="226">
        <f>AA4+AB4</f>
        <v>1.5428571428571429</v>
      </c>
      <c r="AE4" s="232">
        <f>1+(AA4/(AVERAGEIF(A:A,"Drywall",N:N)))</f>
        <v>2</v>
      </c>
      <c r="AF4" s="232">
        <f>AE4+(AB4/AVERAGEIF(A:A,"Drywall",N:N))</f>
        <v>2.1842105263157894</v>
      </c>
      <c r="AG4" s="225">
        <v>2023</v>
      </c>
      <c r="AH4" s="225" t="s">
        <v>3404</v>
      </c>
    </row>
    <row r="5" spans="1:34" x14ac:dyDescent="0.2">
      <c r="A5" t="s">
        <v>2614</v>
      </c>
      <c r="C5" t="s">
        <v>2615</v>
      </c>
      <c r="D5" t="s">
        <v>2619</v>
      </c>
      <c r="F5">
        <v>96</v>
      </c>
      <c r="G5">
        <v>48</v>
      </c>
      <c r="H5">
        <v>32</v>
      </c>
      <c r="I5" t="s">
        <v>2620</v>
      </c>
      <c r="J5">
        <v>15.98</v>
      </c>
      <c r="K5" s="216">
        <v>0.49937500000000001</v>
      </c>
      <c r="R5">
        <v>2023</v>
      </c>
      <c r="T5" t="s">
        <v>99</v>
      </c>
      <c r="U5" t="s">
        <v>2621</v>
      </c>
      <c r="V5" t="s">
        <v>72</v>
      </c>
      <c r="Y5" s="227" t="s">
        <v>2648</v>
      </c>
      <c r="Z5" s="227" t="s">
        <v>371</v>
      </c>
      <c r="AA5" s="230">
        <f>AVERAGEIF(B:B,"OSB",N:N)</f>
        <v>1.9733333333333334</v>
      </c>
      <c r="AB5" s="226">
        <f>AVERAGEIF(B:B,"OSB",P:P)</f>
        <v>1.62</v>
      </c>
      <c r="AC5" s="226">
        <f>AA5</f>
        <v>1.9733333333333334</v>
      </c>
      <c r="AD5" s="226">
        <f>AA5+AB5</f>
        <v>3.5933333333333337</v>
      </c>
      <c r="AE5" s="232">
        <f>1+(AA5/(AVERAGEIF(B:B,"OSB",N:N)))</f>
        <v>2</v>
      </c>
      <c r="AF5" s="232">
        <f>AE5+(AB5/AVERAGEIF(B:B,"OSB",N:N))</f>
        <v>2.8209459459459461</v>
      </c>
      <c r="AG5" s="231">
        <v>2023</v>
      </c>
      <c r="AH5" s="225" t="s">
        <v>3404</v>
      </c>
    </row>
    <row r="6" spans="1:34" x14ac:dyDescent="0.2">
      <c r="A6" t="s">
        <v>2614</v>
      </c>
      <c r="C6" t="s">
        <v>2615</v>
      </c>
      <c r="D6" t="s">
        <v>2622</v>
      </c>
      <c r="F6">
        <v>96</v>
      </c>
      <c r="G6">
        <v>48</v>
      </c>
      <c r="H6">
        <v>32</v>
      </c>
      <c r="I6" t="s">
        <v>2620</v>
      </c>
      <c r="J6">
        <v>20.48</v>
      </c>
      <c r="K6" s="216">
        <v>0.64</v>
      </c>
      <c r="R6">
        <v>2023</v>
      </c>
      <c r="T6" t="s">
        <v>99</v>
      </c>
      <c r="U6" t="s">
        <v>2623</v>
      </c>
      <c r="V6" t="s">
        <v>72</v>
      </c>
      <c r="Y6" s="227" t="s">
        <v>2648</v>
      </c>
      <c r="Z6" s="227" t="s">
        <v>3072</v>
      </c>
      <c r="AA6" s="230">
        <f>AVERAGEIF(B:B,"Plywood",N:N)</f>
        <v>2.3949999999999996</v>
      </c>
      <c r="AB6" s="227">
        <f>AVERAGEIF(B:B,"Plywood",P:P)</f>
        <v>1.62</v>
      </c>
      <c r="AC6" s="226">
        <f>AA6</f>
        <v>2.3949999999999996</v>
      </c>
      <c r="AD6" s="226">
        <f>AA6+AB6</f>
        <v>4.0149999999999997</v>
      </c>
      <c r="AE6" s="232">
        <f>1+(AA6/(AVERAGEIF(B:B,"Plywood",N:N)))</f>
        <v>2</v>
      </c>
      <c r="AF6" s="232">
        <f>AE6+(AB6/AVERAGEIF(B:B,"Plywood",N:N))</f>
        <v>2.6764091858037578</v>
      </c>
      <c r="AG6" s="231">
        <v>2023</v>
      </c>
      <c r="AH6" s="225" t="s">
        <v>3404</v>
      </c>
    </row>
    <row r="7" spans="1:34" x14ac:dyDescent="0.2">
      <c r="A7" t="s">
        <v>2614</v>
      </c>
      <c r="C7" t="s">
        <v>2615</v>
      </c>
      <c r="D7" t="s">
        <v>2624</v>
      </c>
      <c r="F7">
        <v>144</v>
      </c>
      <c r="G7">
        <v>48</v>
      </c>
      <c r="H7">
        <v>48</v>
      </c>
      <c r="I7" t="s">
        <v>2620</v>
      </c>
      <c r="J7">
        <v>20.48</v>
      </c>
      <c r="K7" s="216">
        <v>0.42666666666666669</v>
      </c>
      <c r="R7">
        <v>2023</v>
      </c>
      <c r="T7" t="s">
        <v>99</v>
      </c>
      <c r="U7" t="s">
        <v>2625</v>
      </c>
      <c r="V7" t="s">
        <v>72</v>
      </c>
    </row>
    <row r="8" spans="1:34" x14ac:dyDescent="0.2">
      <c r="A8" t="s">
        <v>2614</v>
      </c>
      <c r="C8" t="s">
        <v>2626</v>
      </c>
      <c r="D8" t="s">
        <v>2627</v>
      </c>
      <c r="F8">
        <v>96</v>
      </c>
      <c r="G8">
        <v>23.4</v>
      </c>
      <c r="H8">
        <v>15.6</v>
      </c>
      <c r="I8" t="s">
        <v>2620</v>
      </c>
      <c r="J8">
        <v>169.83</v>
      </c>
      <c r="K8" s="216">
        <v>10.886538461538461</v>
      </c>
      <c r="R8">
        <v>2023</v>
      </c>
      <c r="T8" t="s">
        <v>99</v>
      </c>
      <c r="U8" t="s">
        <v>2628</v>
      </c>
      <c r="V8" t="s">
        <v>72</v>
      </c>
    </row>
    <row r="9" spans="1:34" x14ac:dyDescent="0.2">
      <c r="A9" t="s">
        <v>2614</v>
      </c>
      <c r="C9" t="s">
        <v>2615</v>
      </c>
      <c r="D9" t="s">
        <v>2629</v>
      </c>
      <c r="F9">
        <v>96</v>
      </c>
      <c r="G9">
        <v>48</v>
      </c>
      <c r="H9">
        <v>32</v>
      </c>
      <c r="I9" t="s">
        <v>2630</v>
      </c>
      <c r="J9">
        <v>17.43</v>
      </c>
      <c r="K9" s="216">
        <v>0.54468749999999999</v>
      </c>
      <c r="R9">
        <v>2023</v>
      </c>
      <c r="T9" t="s">
        <v>99</v>
      </c>
      <c r="U9" t="s">
        <v>2631</v>
      </c>
      <c r="V9" t="s">
        <v>72</v>
      </c>
    </row>
    <row r="10" spans="1:34" x14ac:dyDescent="0.2">
      <c r="A10" t="s">
        <v>2614</v>
      </c>
      <c r="C10" t="s">
        <v>2626</v>
      </c>
      <c r="D10" t="s">
        <v>2632</v>
      </c>
      <c r="F10">
        <v>96</v>
      </c>
      <c r="G10">
        <v>21.75</v>
      </c>
      <c r="H10">
        <v>14.5</v>
      </c>
      <c r="I10" t="s">
        <v>2620</v>
      </c>
      <c r="J10">
        <v>144.99</v>
      </c>
      <c r="K10" s="216">
        <v>9.9993103448275864</v>
      </c>
      <c r="R10">
        <v>2023</v>
      </c>
      <c r="T10" t="s">
        <v>99</v>
      </c>
      <c r="U10" t="s">
        <v>2633</v>
      </c>
      <c r="V10" t="s">
        <v>72</v>
      </c>
    </row>
    <row r="11" spans="1:34" x14ac:dyDescent="0.2">
      <c r="A11" t="s">
        <v>2614</v>
      </c>
      <c r="C11" t="s">
        <v>2615</v>
      </c>
      <c r="D11" t="s">
        <v>2634</v>
      </c>
      <c r="F11">
        <v>96</v>
      </c>
      <c r="G11">
        <v>48</v>
      </c>
      <c r="H11">
        <v>32</v>
      </c>
      <c r="I11" t="s">
        <v>2617</v>
      </c>
      <c r="J11">
        <v>39.979999999999997</v>
      </c>
      <c r="K11" s="216">
        <v>1.2493749999999999</v>
      </c>
      <c r="R11">
        <v>2023</v>
      </c>
      <c r="T11" t="s">
        <v>99</v>
      </c>
      <c r="U11" t="s">
        <v>2635</v>
      </c>
      <c r="V11" t="s">
        <v>72</v>
      </c>
    </row>
    <row r="12" spans="1:34" x14ac:dyDescent="0.2">
      <c r="A12" t="s">
        <v>2614</v>
      </c>
      <c r="C12" t="s">
        <v>2636</v>
      </c>
      <c r="D12" t="s">
        <v>2637</v>
      </c>
      <c r="F12">
        <v>144</v>
      </c>
      <c r="G12">
        <v>48</v>
      </c>
      <c r="H12">
        <v>48</v>
      </c>
      <c r="I12" t="s">
        <v>2617</v>
      </c>
      <c r="J12">
        <v>20.45</v>
      </c>
      <c r="K12" s="216">
        <v>0.42604166666666671</v>
      </c>
      <c r="R12">
        <v>2023</v>
      </c>
      <c r="T12" t="s">
        <v>99</v>
      </c>
      <c r="U12" t="s">
        <v>2638</v>
      </c>
      <c r="V12" t="s">
        <v>72</v>
      </c>
    </row>
    <row r="13" spans="1:34" x14ac:dyDescent="0.2">
      <c r="A13" t="s">
        <v>2614</v>
      </c>
      <c r="C13" t="s">
        <v>2639</v>
      </c>
      <c r="D13" t="s">
        <v>2640</v>
      </c>
      <c r="F13">
        <v>144</v>
      </c>
      <c r="G13">
        <v>48</v>
      </c>
      <c r="H13">
        <v>48</v>
      </c>
      <c r="I13" t="s">
        <v>2617</v>
      </c>
      <c r="J13">
        <v>20.45</v>
      </c>
      <c r="K13" s="216">
        <v>0.42604166666666671</v>
      </c>
      <c r="R13">
        <v>2023</v>
      </c>
      <c r="T13" t="s">
        <v>99</v>
      </c>
      <c r="U13" t="s">
        <v>2641</v>
      </c>
      <c r="V13" t="s">
        <v>72</v>
      </c>
    </row>
    <row r="14" spans="1:34" x14ac:dyDescent="0.2">
      <c r="A14" t="s">
        <v>2614</v>
      </c>
      <c r="C14" t="s">
        <v>2636</v>
      </c>
      <c r="D14" t="s">
        <v>2642</v>
      </c>
      <c r="F14">
        <v>144</v>
      </c>
      <c r="G14">
        <v>48</v>
      </c>
      <c r="H14">
        <v>48</v>
      </c>
      <c r="I14" t="s">
        <v>2617</v>
      </c>
      <c r="J14">
        <v>20.45</v>
      </c>
      <c r="K14" s="216">
        <v>0.42604166666666671</v>
      </c>
      <c r="R14">
        <v>2023</v>
      </c>
      <c r="T14" t="s">
        <v>99</v>
      </c>
      <c r="U14" t="s">
        <v>2643</v>
      </c>
      <c r="V14" t="s">
        <v>72</v>
      </c>
    </row>
    <row r="15" spans="1:34" x14ac:dyDescent="0.2">
      <c r="A15" t="s">
        <v>2614</v>
      </c>
      <c r="D15" t="s">
        <v>2644</v>
      </c>
      <c r="F15">
        <v>144</v>
      </c>
      <c r="G15">
        <v>48</v>
      </c>
      <c r="H15">
        <v>48</v>
      </c>
      <c r="I15" t="s">
        <v>2617</v>
      </c>
      <c r="J15">
        <v>20.45</v>
      </c>
      <c r="K15" s="216">
        <v>0.42604166666666671</v>
      </c>
      <c r="R15">
        <v>2023</v>
      </c>
      <c r="T15" t="s">
        <v>99</v>
      </c>
      <c r="U15" t="s">
        <v>2645</v>
      </c>
      <c r="V15" t="s">
        <v>72</v>
      </c>
    </row>
    <row r="16" spans="1:34" x14ac:dyDescent="0.2">
      <c r="A16" t="s">
        <v>2614</v>
      </c>
      <c r="C16" t="s">
        <v>2636</v>
      </c>
      <c r="D16" t="s">
        <v>2646</v>
      </c>
      <c r="F16">
        <v>96</v>
      </c>
      <c r="G16">
        <v>48</v>
      </c>
      <c r="H16">
        <v>32</v>
      </c>
      <c r="I16" t="s">
        <v>2617</v>
      </c>
      <c r="J16">
        <v>18.98</v>
      </c>
      <c r="K16" s="216">
        <v>0.59312500000000001</v>
      </c>
      <c r="R16">
        <v>2023</v>
      </c>
      <c r="T16" t="s">
        <v>99</v>
      </c>
      <c r="U16" t="s">
        <v>2647</v>
      </c>
      <c r="V16" t="s">
        <v>72</v>
      </c>
    </row>
    <row r="17" spans="1:22" x14ac:dyDescent="0.2">
      <c r="A17" t="s">
        <v>2648</v>
      </c>
      <c r="B17" t="s">
        <v>371</v>
      </c>
      <c r="D17" t="s">
        <v>2649</v>
      </c>
      <c r="F17">
        <v>96</v>
      </c>
      <c r="G17">
        <v>48</v>
      </c>
      <c r="H17">
        <v>32</v>
      </c>
      <c r="I17" t="s">
        <v>2650</v>
      </c>
      <c r="J17">
        <v>20.48</v>
      </c>
      <c r="K17" s="216">
        <v>0.64</v>
      </c>
      <c r="R17">
        <v>2023</v>
      </c>
      <c r="T17" t="s">
        <v>99</v>
      </c>
      <c r="U17" t="s">
        <v>2651</v>
      </c>
      <c r="V17" t="s">
        <v>72</v>
      </c>
    </row>
    <row r="18" spans="1:22" x14ac:dyDescent="0.2">
      <c r="A18" t="s">
        <v>2648</v>
      </c>
      <c r="B18" t="s">
        <v>371</v>
      </c>
      <c r="D18" t="s">
        <v>2652</v>
      </c>
      <c r="F18">
        <v>95.75</v>
      </c>
      <c r="G18">
        <v>47.75</v>
      </c>
      <c r="H18">
        <v>31.750434027777779</v>
      </c>
      <c r="I18" t="s">
        <v>2653</v>
      </c>
      <c r="J18">
        <v>28</v>
      </c>
      <c r="K18" s="216">
        <v>0.8818777083646604</v>
      </c>
      <c r="R18">
        <v>2023</v>
      </c>
      <c r="T18" t="s">
        <v>99</v>
      </c>
      <c r="U18" t="s">
        <v>2654</v>
      </c>
      <c r="V18" t="s">
        <v>72</v>
      </c>
    </row>
    <row r="19" spans="1:22" x14ac:dyDescent="0.2">
      <c r="A19" t="s">
        <v>2648</v>
      </c>
      <c r="B19" t="s">
        <v>2655</v>
      </c>
      <c r="C19" t="s">
        <v>2656</v>
      </c>
      <c r="D19" t="s">
        <v>2657</v>
      </c>
      <c r="F19">
        <v>47.75</v>
      </c>
      <c r="G19">
        <v>23.75</v>
      </c>
      <c r="H19">
        <v>7.8754340277777777</v>
      </c>
      <c r="I19" t="s">
        <v>2658</v>
      </c>
      <c r="J19">
        <v>22.27</v>
      </c>
      <c r="K19" s="216">
        <v>2.827780655828052</v>
      </c>
      <c r="R19">
        <v>2023</v>
      </c>
      <c r="T19" t="s">
        <v>99</v>
      </c>
      <c r="U19" t="s">
        <v>2659</v>
      </c>
      <c r="V19" t="s">
        <v>72</v>
      </c>
    </row>
    <row r="20" spans="1:22" x14ac:dyDescent="0.2">
      <c r="A20" t="s">
        <v>2648</v>
      </c>
      <c r="B20" t="s">
        <v>2648</v>
      </c>
      <c r="D20" t="s">
        <v>2660</v>
      </c>
      <c r="F20">
        <v>96</v>
      </c>
      <c r="G20">
        <v>48</v>
      </c>
      <c r="H20">
        <v>32</v>
      </c>
      <c r="I20" t="s">
        <v>2661</v>
      </c>
      <c r="J20">
        <v>25</v>
      </c>
      <c r="K20" s="216">
        <v>0.78125</v>
      </c>
      <c r="R20">
        <v>2023</v>
      </c>
      <c r="T20" t="s">
        <v>99</v>
      </c>
      <c r="U20" t="s">
        <v>2662</v>
      </c>
      <c r="V20" t="s">
        <v>72</v>
      </c>
    </row>
    <row r="21" spans="1:22" x14ac:dyDescent="0.2">
      <c r="A21" t="s">
        <v>2648</v>
      </c>
      <c r="B21" t="s">
        <v>2488</v>
      </c>
      <c r="C21" t="s">
        <v>2663</v>
      </c>
      <c r="D21" t="s">
        <v>2664</v>
      </c>
      <c r="F21">
        <v>96</v>
      </c>
      <c r="G21">
        <v>48</v>
      </c>
      <c r="H21">
        <v>32</v>
      </c>
      <c r="I21" t="s">
        <v>2665</v>
      </c>
      <c r="J21">
        <v>43.98</v>
      </c>
      <c r="K21" s="216">
        <v>1.3743749999999999</v>
      </c>
      <c r="R21">
        <v>2023</v>
      </c>
      <c r="T21" t="s">
        <v>99</v>
      </c>
      <c r="U21" t="s">
        <v>2666</v>
      </c>
      <c r="V21" t="s">
        <v>72</v>
      </c>
    </row>
    <row r="22" spans="1:22" x14ac:dyDescent="0.2">
      <c r="A22" t="s">
        <v>2648</v>
      </c>
      <c r="B22" t="s">
        <v>371</v>
      </c>
      <c r="D22" t="s">
        <v>2667</v>
      </c>
      <c r="F22">
        <v>95.875</v>
      </c>
      <c r="G22">
        <v>47.875</v>
      </c>
      <c r="H22">
        <v>31.875108506944439</v>
      </c>
      <c r="I22" t="s">
        <v>2668</v>
      </c>
      <c r="J22">
        <v>33.200000000000003</v>
      </c>
      <c r="K22" s="216">
        <v>1.0415650818182129</v>
      </c>
      <c r="R22">
        <v>2023</v>
      </c>
      <c r="T22" t="s">
        <v>99</v>
      </c>
      <c r="U22" t="s">
        <v>2669</v>
      </c>
      <c r="V22" t="s">
        <v>72</v>
      </c>
    </row>
    <row r="23" spans="1:22" x14ac:dyDescent="0.2">
      <c r="A23" t="s">
        <v>2648</v>
      </c>
      <c r="B23" t="s">
        <v>2670</v>
      </c>
      <c r="C23" t="s">
        <v>2656</v>
      </c>
      <c r="D23" t="s">
        <v>2671</v>
      </c>
      <c r="F23">
        <v>47.75</v>
      </c>
      <c r="G23">
        <v>47.75</v>
      </c>
      <c r="H23">
        <v>15.833767361111111</v>
      </c>
      <c r="I23" t="s">
        <v>2661</v>
      </c>
      <c r="J23">
        <v>31.76</v>
      </c>
      <c r="K23" s="216">
        <v>2.0058397521997748</v>
      </c>
      <c r="R23">
        <v>2023</v>
      </c>
      <c r="T23" t="s">
        <v>99</v>
      </c>
      <c r="U23" t="s">
        <v>2672</v>
      </c>
      <c r="V23" t="s">
        <v>72</v>
      </c>
    </row>
    <row r="24" spans="1:22" x14ac:dyDescent="0.2">
      <c r="A24" t="s">
        <v>2648</v>
      </c>
      <c r="B24" t="s">
        <v>371</v>
      </c>
      <c r="D24" t="s">
        <v>2673</v>
      </c>
      <c r="F24">
        <v>95.875</v>
      </c>
      <c r="G24">
        <v>47.875</v>
      </c>
      <c r="H24">
        <v>31.875108506944439</v>
      </c>
      <c r="I24" t="s">
        <v>2661</v>
      </c>
      <c r="J24">
        <v>22.8</v>
      </c>
      <c r="K24" s="216">
        <v>0.71529168269443533</v>
      </c>
      <c r="R24">
        <v>2023</v>
      </c>
      <c r="T24" t="s">
        <v>99</v>
      </c>
      <c r="U24" t="s">
        <v>2674</v>
      </c>
      <c r="V24" t="s">
        <v>72</v>
      </c>
    </row>
    <row r="25" spans="1:22" x14ac:dyDescent="0.2">
      <c r="A25" t="s">
        <v>2648</v>
      </c>
      <c r="B25" t="s">
        <v>2488</v>
      </c>
      <c r="C25" t="s">
        <v>2675</v>
      </c>
      <c r="D25" t="s">
        <v>2676</v>
      </c>
      <c r="F25">
        <v>96</v>
      </c>
      <c r="G25">
        <v>48</v>
      </c>
      <c r="H25">
        <v>32</v>
      </c>
      <c r="I25" t="s">
        <v>2677</v>
      </c>
      <c r="J25">
        <v>27.98</v>
      </c>
      <c r="K25" s="216">
        <v>0.87437500000000001</v>
      </c>
      <c r="R25">
        <v>2023</v>
      </c>
      <c r="T25" t="s">
        <v>99</v>
      </c>
      <c r="U25" t="s">
        <v>2678</v>
      </c>
      <c r="V25" t="s">
        <v>72</v>
      </c>
    </row>
    <row r="26" spans="1:22" x14ac:dyDescent="0.2">
      <c r="A26" t="s">
        <v>2648</v>
      </c>
      <c r="B26" t="s">
        <v>2670</v>
      </c>
      <c r="C26" t="s">
        <v>2656</v>
      </c>
      <c r="D26" t="s">
        <v>2679</v>
      </c>
      <c r="F26">
        <v>47.75</v>
      </c>
      <c r="G26">
        <v>23.75</v>
      </c>
      <c r="H26">
        <v>7.8754340277777777</v>
      </c>
      <c r="I26" t="s">
        <v>2668</v>
      </c>
      <c r="J26">
        <v>25.79</v>
      </c>
      <c r="K26" s="216">
        <v>3.2747401488013228</v>
      </c>
      <c r="R26">
        <v>2023</v>
      </c>
      <c r="T26" t="s">
        <v>99</v>
      </c>
      <c r="U26" t="s">
        <v>2680</v>
      </c>
      <c r="V26" t="s">
        <v>72</v>
      </c>
    </row>
    <row r="27" spans="1:22" x14ac:dyDescent="0.2">
      <c r="A27" t="s">
        <v>2648</v>
      </c>
      <c r="B27" t="s">
        <v>2655</v>
      </c>
      <c r="C27" t="s">
        <v>2656</v>
      </c>
      <c r="D27" t="s">
        <v>2681</v>
      </c>
      <c r="F27">
        <v>47.75</v>
      </c>
      <c r="G27">
        <v>47.75</v>
      </c>
      <c r="H27">
        <v>15.833767361111111</v>
      </c>
      <c r="I27" t="s">
        <v>2668</v>
      </c>
      <c r="J27">
        <v>38.69</v>
      </c>
      <c r="K27" s="216">
        <v>2.4435119651325352</v>
      </c>
      <c r="R27">
        <v>2023</v>
      </c>
      <c r="T27" t="s">
        <v>99</v>
      </c>
      <c r="U27" t="s">
        <v>2682</v>
      </c>
      <c r="V27" t="s">
        <v>72</v>
      </c>
    </row>
    <row r="28" spans="1:22" x14ac:dyDescent="0.2">
      <c r="A28" t="s">
        <v>2648</v>
      </c>
      <c r="B28" t="s">
        <v>2670</v>
      </c>
      <c r="C28" t="s">
        <v>2656</v>
      </c>
      <c r="D28" t="s">
        <v>2683</v>
      </c>
      <c r="F28">
        <v>23.75</v>
      </c>
      <c r="G28">
        <v>23.75</v>
      </c>
      <c r="H28">
        <v>3.9171006944444451</v>
      </c>
      <c r="I28" t="s">
        <v>2668</v>
      </c>
      <c r="J28">
        <v>12.9</v>
      </c>
      <c r="K28" s="216">
        <v>3.2932520775623271</v>
      </c>
      <c r="R28">
        <v>2023</v>
      </c>
      <c r="T28" t="s">
        <v>99</v>
      </c>
      <c r="U28" t="s">
        <v>2684</v>
      </c>
      <c r="V28" t="s">
        <v>72</v>
      </c>
    </row>
    <row r="29" spans="1:22" x14ac:dyDescent="0.2">
      <c r="A29" t="s">
        <v>2648</v>
      </c>
      <c r="B29" t="s">
        <v>2670</v>
      </c>
      <c r="C29" t="s">
        <v>2656</v>
      </c>
      <c r="D29" t="s">
        <v>2685</v>
      </c>
      <c r="F29">
        <v>24</v>
      </c>
      <c r="G29">
        <v>23.75</v>
      </c>
      <c r="H29">
        <v>3.958333333333333</v>
      </c>
      <c r="I29" t="s">
        <v>2686</v>
      </c>
      <c r="J29">
        <v>7.88</v>
      </c>
      <c r="K29" s="216">
        <v>1.9907368421052629</v>
      </c>
      <c r="R29">
        <v>2023</v>
      </c>
      <c r="T29" t="s">
        <v>99</v>
      </c>
      <c r="U29" t="s">
        <v>2687</v>
      </c>
      <c r="V29" t="s">
        <v>72</v>
      </c>
    </row>
    <row r="30" spans="1:22" x14ac:dyDescent="0.2">
      <c r="A30" t="s">
        <v>2648</v>
      </c>
      <c r="B30" t="s">
        <v>2670</v>
      </c>
      <c r="C30" t="s">
        <v>2656</v>
      </c>
      <c r="D30" t="s">
        <v>2688</v>
      </c>
      <c r="F30">
        <v>23.75</v>
      </c>
      <c r="G30">
        <v>23.75</v>
      </c>
      <c r="H30">
        <v>3.9171006944444451</v>
      </c>
      <c r="I30" t="s">
        <v>2661</v>
      </c>
      <c r="J30">
        <v>10.59</v>
      </c>
      <c r="K30" s="216">
        <v>2.7035301939058169</v>
      </c>
      <c r="R30">
        <v>2023</v>
      </c>
      <c r="T30" t="s">
        <v>99</v>
      </c>
      <c r="U30" t="s">
        <v>2689</v>
      </c>
      <c r="V30" t="s">
        <v>72</v>
      </c>
    </row>
    <row r="31" spans="1:22" x14ac:dyDescent="0.2">
      <c r="A31" t="s">
        <v>2648</v>
      </c>
      <c r="B31" t="s">
        <v>2648</v>
      </c>
      <c r="D31" t="s">
        <v>2690</v>
      </c>
      <c r="F31">
        <v>96</v>
      </c>
      <c r="G31">
        <v>48</v>
      </c>
      <c r="H31">
        <v>32</v>
      </c>
      <c r="I31" t="s">
        <v>2661</v>
      </c>
      <c r="J31">
        <v>28.25</v>
      </c>
      <c r="K31" s="216">
        <v>0.8828125</v>
      </c>
      <c r="R31">
        <v>2023</v>
      </c>
      <c r="T31" t="s">
        <v>99</v>
      </c>
      <c r="U31" t="s">
        <v>2691</v>
      </c>
      <c r="V31" t="s">
        <v>72</v>
      </c>
    </row>
    <row r="32" spans="1:22" x14ac:dyDescent="0.2">
      <c r="A32" t="s">
        <v>2648</v>
      </c>
      <c r="B32" t="s">
        <v>2655</v>
      </c>
      <c r="C32" t="s">
        <v>2656</v>
      </c>
      <c r="D32" t="s">
        <v>2692</v>
      </c>
      <c r="F32">
        <v>48</v>
      </c>
      <c r="G32">
        <v>24</v>
      </c>
      <c r="H32">
        <v>8</v>
      </c>
      <c r="I32" t="s">
        <v>2620</v>
      </c>
      <c r="J32">
        <v>21.18</v>
      </c>
      <c r="K32" s="216">
        <v>2.6475</v>
      </c>
      <c r="R32">
        <v>2023</v>
      </c>
      <c r="T32" t="s">
        <v>99</v>
      </c>
      <c r="U32" t="s">
        <v>2693</v>
      </c>
      <c r="V32" t="s">
        <v>72</v>
      </c>
    </row>
    <row r="33" spans="1:22" x14ac:dyDescent="0.2">
      <c r="A33" t="s">
        <v>2648</v>
      </c>
      <c r="B33" t="s">
        <v>2648</v>
      </c>
      <c r="D33" t="s">
        <v>2694</v>
      </c>
      <c r="F33">
        <v>96</v>
      </c>
      <c r="G33">
        <v>48</v>
      </c>
      <c r="H33">
        <v>32</v>
      </c>
      <c r="I33" t="s">
        <v>2668</v>
      </c>
      <c r="J33">
        <v>36.979999999999997</v>
      </c>
      <c r="K33" s="216">
        <v>1.1556249999999999</v>
      </c>
      <c r="R33">
        <v>2023</v>
      </c>
      <c r="T33" t="s">
        <v>99</v>
      </c>
      <c r="U33" t="s">
        <v>2695</v>
      </c>
      <c r="V33" t="s">
        <v>72</v>
      </c>
    </row>
    <row r="34" spans="1:22" x14ac:dyDescent="0.2">
      <c r="A34" t="s">
        <v>2648</v>
      </c>
      <c r="B34" t="s">
        <v>2648</v>
      </c>
      <c r="D34" t="s">
        <v>2696</v>
      </c>
      <c r="F34">
        <v>96</v>
      </c>
      <c r="G34">
        <v>48</v>
      </c>
      <c r="H34">
        <v>32</v>
      </c>
      <c r="I34" t="s">
        <v>2653</v>
      </c>
      <c r="J34">
        <v>29</v>
      </c>
      <c r="K34" s="216">
        <v>0.90625</v>
      </c>
      <c r="R34">
        <v>2023</v>
      </c>
      <c r="T34" t="s">
        <v>99</v>
      </c>
      <c r="U34" t="s">
        <v>2697</v>
      </c>
      <c r="V34" t="s">
        <v>72</v>
      </c>
    </row>
    <row r="35" spans="1:22" x14ac:dyDescent="0.2">
      <c r="A35" t="s">
        <v>2648</v>
      </c>
      <c r="B35" t="s">
        <v>2648</v>
      </c>
      <c r="D35" t="s">
        <v>2698</v>
      </c>
      <c r="F35">
        <v>96</v>
      </c>
      <c r="G35">
        <v>48</v>
      </c>
      <c r="H35">
        <v>32</v>
      </c>
      <c r="I35" t="s">
        <v>2699</v>
      </c>
      <c r="J35">
        <v>61.58</v>
      </c>
      <c r="K35" s="216">
        <v>1.9243749999999999</v>
      </c>
      <c r="R35">
        <v>2023</v>
      </c>
      <c r="T35" t="s">
        <v>99</v>
      </c>
      <c r="U35" t="s">
        <v>2700</v>
      </c>
      <c r="V35" t="s">
        <v>72</v>
      </c>
    </row>
    <row r="36" spans="1:22" x14ac:dyDescent="0.2">
      <c r="A36" t="s">
        <v>2648</v>
      </c>
      <c r="B36" t="s">
        <v>371</v>
      </c>
      <c r="D36" t="s">
        <v>2701</v>
      </c>
      <c r="F36">
        <v>96</v>
      </c>
      <c r="G36">
        <v>48</v>
      </c>
      <c r="H36">
        <v>32</v>
      </c>
      <c r="I36" t="s">
        <v>2661</v>
      </c>
      <c r="J36">
        <v>27.8</v>
      </c>
      <c r="K36" s="216">
        <v>0.86875000000000002</v>
      </c>
      <c r="R36">
        <v>2023</v>
      </c>
      <c r="T36" t="s">
        <v>99</v>
      </c>
      <c r="U36" t="s">
        <v>2702</v>
      </c>
      <c r="V36" t="s">
        <v>72</v>
      </c>
    </row>
    <row r="37" spans="1:22" x14ac:dyDescent="0.2">
      <c r="A37" t="s">
        <v>2614</v>
      </c>
      <c r="B37" t="s">
        <v>3071</v>
      </c>
      <c r="I37" t="s">
        <v>2686</v>
      </c>
      <c r="K37">
        <v>0.41</v>
      </c>
      <c r="L37">
        <v>1.2E-2</v>
      </c>
      <c r="M37">
        <v>0.46</v>
      </c>
      <c r="N37">
        <v>1.21</v>
      </c>
      <c r="O37">
        <v>8.0000000000000002E-3</v>
      </c>
      <c r="P37">
        <v>0.24</v>
      </c>
      <c r="R37">
        <v>2023</v>
      </c>
      <c r="T37" t="s">
        <v>70</v>
      </c>
      <c r="V37" t="s">
        <v>72</v>
      </c>
    </row>
    <row r="38" spans="1:22" x14ac:dyDescent="0.2">
      <c r="A38" t="s">
        <v>2614</v>
      </c>
      <c r="B38" t="s">
        <v>3071</v>
      </c>
      <c r="I38" t="s">
        <v>2686</v>
      </c>
      <c r="K38">
        <v>0.35</v>
      </c>
      <c r="L38">
        <v>1.4999999999999999E-2</v>
      </c>
      <c r="M38">
        <v>0.59</v>
      </c>
      <c r="N38">
        <v>1.35</v>
      </c>
      <c r="O38">
        <v>8.0000000000000002E-3</v>
      </c>
      <c r="P38">
        <v>0.24</v>
      </c>
      <c r="R38">
        <v>2023</v>
      </c>
      <c r="T38" t="s">
        <v>70</v>
      </c>
      <c r="V38" t="s">
        <v>72</v>
      </c>
    </row>
    <row r="39" spans="1:22" x14ac:dyDescent="0.2">
      <c r="A39" t="s">
        <v>2614</v>
      </c>
      <c r="B39" t="s">
        <v>3071</v>
      </c>
      <c r="I39" t="s">
        <v>2686</v>
      </c>
      <c r="K39">
        <v>0.35</v>
      </c>
      <c r="L39">
        <v>1.4999999999999999E-2</v>
      </c>
      <c r="M39">
        <v>0.59</v>
      </c>
      <c r="N39">
        <v>1.35</v>
      </c>
      <c r="O39">
        <v>8.0000000000000002E-3</v>
      </c>
      <c r="P39">
        <v>0.24</v>
      </c>
      <c r="R39">
        <v>2023</v>
      </c>
      <c r="T39" t="s">
        <v>70</v>
      </c>
      <c r="V39" t="s">
        <v>72</v>
      </c>
    </row>
    <row r="40" spans="1:22" x14ac:dyDescent="0.2">
      <c r="A40" t="s">
        <v>2614</v>
      </c>
      <c r="B40" t="s">
        <v>3071</v>
      </c>
      <c r="I40" t="s">
        <v>2686</v>
      </c>
      <c r="K40">
        <v>0.41</v>
      </c>
      <c r="L40">
        <v>3.1E-2</v>
      </c>
      <c r="M40">
        <v>1.21</v>
      </c>
      <c r="N40">
        <v>2.42</v>
      </c>
      <c r="O40">
        <v>8.0000000000000002E-3</v>
      </c>
      <c r="P40">
        <v>0.24</v>
      </c>
      <c r="R40">
        <v>2023</v>
      </c>
      <c r="T40" t="s">
        <v>70</v>
      </c>
      <c r="V40" t="s">
        <v>72</v>
      </c>
    </row>
    <row r="41" spans="1:22" x14ac:dyDescent="0.2">
      <c r="A41" t="s">
        <v>2614</v>
      </c>
      <c r="B41" t="s">
        <v>3071</v>
      </c>
      <c r="I41" t="s">
        <v>2630</v>
      </c>
      <c r="K41">
        <v>0.38</v>
      </c>
      <c r="L41">
        <v>8.0000000000000002E-3</v>
      </c>
      <c r="M41">
        <v>0.31</v>
      </c>
      <c r="N41">
        <v>0.91999999999999993</v>
      </c>
      <c r="O41">
        <v>8.0000000000000002E-3</v>
      </c>
      <c r="P41">
        <v>0.24</v>
      </c>
      <c r="R41">
        <v>2023</v>
      </c>
      <c r="T41" t="s">
        <v>70</v>
      </c>
      <c r="V41" t="s">
        <v>72</v>
      </c>
    </row>
    <row r="42" spans="1:22" x14ac:dyDescent="0.2">
      <c r="A42" t="s">
        <v>2614</v>
      </c>
      <c r="B42" t="s">
        <v>3071</v>
      </c>
      <c r="I42" t="s">
        <v>2630</v>
      </c>
      <c r="K42">
        <v>0.38</v>
      </c>
      <c r="L42">
        <v>8.9999999999999993E-3</v>
      </c>
      <c r="M42">
        <v>0.34</v>
      </c>
      <c r="N42">
        <v>0.98</v>
      </c>
      <c r="O42">
        <v>8.0000000000000002E-3</v>
      </c>
      <c r="P42">
        <v>0.24</v>
      </c>
      <c r="R42">
        <v>2023</v>
      </c>
      <c r="T42" t="s">
        <v>70</v>
      </c>
      <c r="V42" t="s">
        <v>72</v>
      </c>
    </row>
    <row r="43" spans="1:22" x14ac:dyDescent="0.2">
      <c r="A43" t="s">
        <v>2614</v>
      </c>
      <c r="B43" t="s">
        <v>3071</v>
      </c>
      <c r="I43" t="s">
        <v>2620</v>
      </c>
      <c r="K43">
        <v>0.35</v>
      </c>
      <c r="L43">
        <v>8.0000000000000002E-3</v>
      </c>
      <c r="M43">
        <v>0.31</v>
      </c>
      <c r="N43">
        <v>0.89</v>
      </c>
      <c r="O43">
        <v>8.0000000000000002E-3</v>
      </c>
      <c r="P43">
        <v>0.24</v>
      </c>
      <c r="R43">
        <v>2023</v>
      </c>
      <c r="T43" t="s">
        <v>70</v>
      </c>
      <c r="V43" t="s">
        <v>72</v>
      </c>
    </row>
    <row r="44" spans="1:22" x14ac:dyDescent="0.2">
      <c r="A44" t="s">
        <v>2648</v>
      </c>
      <c r="B44" t="s">
        <v>3072</v>
      </c>
      <c r="I44" t="s">
        <v>2630</v>
      </c>
      <c r="K44">
        <v>1.08</v>
      </c>
      <c r="L44">
        <v>1.2999999999999999E-2</v>
      </c>
      <c r="M44">
        <v>0.52</v>
      </c>
      <c r="N44">
        <v>2.0299999999999998</v>
      </c>
      <c r="O44">
        <v>5.2999999999999999E-2</v>
      </c>
      <c r="P44">
        <v>1.62</v>
      </c>
      <c r="R44">
        <v>2023</v>
      </c>
      <c r="T44" t="s">
        <v>70</v>
      </c>
      <c r="V44" t="s">
        <v>72</v>
      </c>
    </row>
    <row r="45" spans="1:22" x14ac:dyDescent="0.2">
      <c r="A45" t="s">
        <v>2648</v>
      </c>
      <c r="B45" t="s">
        <v>3072</v>
      </c>
      <c r="I45" t="s">
        <v>2620</v>
      </c>
      <c r="K45">
        <v>1.1599999999999999</v>
      </c>
      <c r="L45">
        <v>1.4E-2</v>
      </c>
      <c r="M45">
        <v>0.55000000000000004</v>
      </c>
      <c r="N45">
        <v>2.17</v>
      </c>
      <c r="O45">
        <v>5.2999999999999999E-2</v>
      </c>
      <c r="P45">
        <v>1.62</v>
      </c>
      <c r="R45">
        <v>2023</v>
      </c>
      <c r="T45" t="s">
        <v>70</v>
      </c>
      <c r="V45" t="s">
        <v>72</v>
      </c>
    </row>
    <row r="46" spans="1:22" x14ac:dyDescent="0.2">
      <c r="A46" t="s">
        <v>2648</v>
      </c>
      <c r="B46" t="s">
        <v>3072</v>
      </c>
      <c r="I46" t="s">
        <v>2617</v>
      </c>
      <c r="K46">
        <v>1.37</v>
      </c>
      <c r="L46">
        <v>1.4999999999999999E-2</v>
      </c>
      <c r="M46">
        <v>0.59</v>
      </c>
      <c r="N46">
        <v>2.4699999999999998</v>
      </c>
      <c r="O46">
        <v>5.2999999999999999E-2</v>
      </c>
      <c r="P46">
        <v>1.62</v>
      </c>
      <c r="R46">
        <v>2023</v>
      </c>
      <c r="T46" t="s">
        <v>70</v>
      </c>
      <c r="V46" t="s">
        <v>72</v>
      </c>
    </row>
    <row r="47" spans="1:22" x14ac:dyDescent="0.2">
      <c r="A47" t="s">
        <v>2648</v>
      </c>
      <c r="B47" t="s">
        <v>3072</v>
      </c>
      <c r="I47" t="s">
        <v>3073</v>
      </c>
      <c r="K47">
        <v>1.71</v>
      </c>
      <c r="L47">
        <v>1.6E-2</v>
      </c>
      <c r="M47">
        <v>0.63</v>
      </c>
      <c r="N47">
        <v>2.91</v>
      </c>
      <c r="O47">
        <v>5.2999999999999999E-2</v>
      </c>
      <c r="P47">
        <v>1.62</v>
      </c>
      <c r="R47">
        <v>2023</v>
      </c>
      <c r="T47" t="s">
        <v>70</v>
      </c>
      <c r="V47" t="s">
        <v>72</v>
      </c>
    </row>
    <row r="48" spans="1:22" x14ac:dyDescent="0.2">
      <c r="A48" t="s">
        <v>2648</v>
      </c>
      <c r="B48" t="s">
        <v>371</v>
      </c>
      <c r="I48" t="s">
        <v>2650</v>
      </c>
      <c r="K48">
        <v>0.78</v>
      </c>
      <c r="L48">
        <v>1.2999999999999999E-2</v>
      </c>
      <c r="M48">
        <v>0.52</v>
      </c>
      <c r="N48">
        <v>1.7</v>
      </c>
      <c r="O48">
        <v>5.2999999999999999E-2</v>
      </c>
      <c r="P48">
        <v>1.62</v>
      </c>
      <c r="R48">
        <v>2023</v>
      </c>
      <c r="T48" t="s">
        <v>70</v>
      </c>
      <c r="V48" t="s">
        <v>72</v>
      </c>
    </row>
    <row r="49" spans="1:22" x14ac:dyDescent="0.2">
      <c r="A49" t="s">
        <v>2648</v>
      </c>
      <c r="B49" t="s">
        <v>371</v>
      </c>
      <c r="I49" t="s">
        <v>2620</v>
      </c>
      <c r="K49">
        <v>0.78</v>
      </c>
      <c r="L49">
        <v>1.2999999999999999E-2</v>
      </c>
      <c r="M49">
        <v>0.52</v>
      </c>
      <c r="N49">
        <v>1.7</v>
      </c>
      <c r="O49">
        <v>5.2999999999999999E-2</v>
      </c>
      <c r="P49">
        <v>1.62</v>
      </c>
      <c r="R49">
        <v>2023</v>
      </c>
      <c r="T49" t="s">
        <v>70</v>
      </c>
      <c r="V49" t="s">
        <v>72</v>
      </c>
    </row>
    <row r="50" spans="1:22" x14ac:dyDescent="0.2">
      <c r="A50" t="s">
        <v>2648</v>
      </c>
      <c r="B50" t="s">
        <v>371</v>
      </c>
      <c r="I50" t="s">
        <v>2617</v>
      </c>
      <c r="K50">
        <v>1.42</v>
      </c>
      <c r="L50">
        <v>1.4999999999999999E-2</v>
      </c>
      <c r="M50">
        <v>0.59</v>
      </c>
      <c r="N50">
        <v>2.52</v>
      </c>
      <c r="O50">
        <v>5.2999999999999999E-2</v>
      </c>
      <c r="P50">
        <v>1.62</v>
      </c>
      <c r="R50">
        <v>2023</v>
      </c>
      <c r="T50" t="s">
        <v>70</v>
      </c>
      <c r="V50" t="s">
        <v>72</v>
      </c>
    </row>
    <row r="51" spans="1:22" x14ac:dyDescent="0.2">
      <c r="A51" t="s">
        <v>2614</v>
      </c>
      <c r="B51" t="s">
        <v>3071</v>
      </c>
      <c r="C51" t="s">
        <v>2639</v>
      </c>
      <c r="D51">
        <v>50000103</v>
      </c>
      <c r="F51">
        <f>8*12</f>
        <v>96</v>
      </c>
      <c r="G51">
        <f t="shared" ref="G51:G63" si="0">4*12</f>
        <v>48</v>
      </c>
      <c r="H51">
        <f>Table18[[#This Row],[Length (inches)]]*Table18[[#This Row],[Width (inches)]]/144</f>
        <v>32</v>
      </c>
      <c r="I51" t="s">
        <v>2620</v>
      </c>
      <c r="J51">
        <v>13.61</v>
      </c>
      <c r="K51">
        <f>Table18[[#This Row],[Price ($)]]/Table18[[#This Row],[Area (sq. in.)]]</f>
        <v>0.42531249999999998</v>
      </c>
      <c r="T51" t="s">
        <v>321</v>
      </c>
      <c r="U51" s="4" t="s">
        <v>4625</v>
      </c>
    </row>
    <row r="52" spans="1:22" x14ac:dyDescent="0.2">
      <c r="A52" t="s">
        <v>2614</v>
      </c>
      <c r="B52" t="s">
        <v>3071</v>
      </c>
      <c r="C52" t="s">
        <v>4627</v>
      </c>
      <c r="D52">
        <v>640329</v>
      </c>
      <c r="F52">
        <f>12*8</f>
        <v>96</v>
      </c>
      <c r="G52">
        <f t="shared" si="0"/>
        <v>48</v>
      </c>
      <c r="H52">
        <f>Table18[[#This Row],[Width (inches)]]*Table18[[#This Row],[Length (inches)]]/144</f>
        <v>32</v>
      </c>
      <c r="I52" t="s">
        <v>2617</v>
      </c>
      <c r="J52">
        <v>17.649999999999999</v>
      </c>
      <c r="K52">
        <f>Table18[[#This Row],[Price ($)]]/Table18[[#This Row],[Area (sq. in.)]]</f>
        <v>0.55156249999999996</v>
      </c>
      <c r="T52" t="s">
        <v>321</v>
      </c>
      <c r="U52" s="4" t="s">
        <v>4626</v>
      </c>
    </row>
    <row r="53" spans="1:22" x14ac:dyDescent="0.2">
      <c r="A53" t="s">
        <v>2614</v>
      </c>
      <c r="B53" t="s">
        <v>3071</v>
      </c>
      <c r="C53" t="s">
        <v>2639</v>
      </c>
      <c r="D53">
        <v>50000944</v>
      </c>
      <c r="F53">
        <f>12*8</f>
        <v>96</v>
      </c>
      <c r="G53">
        <f t="shared" si="0"/>
        <v>48</v>
      </c>
      <c r="H53">
        <f>Table18[[#This Row],[Width (inches)]]*Table18[[#This Row],[Length (inches)]]/144</f>
        <v>32</v>
      </c>
      <c r="I53" s="94" t="s">
        <v>2630</v>
      </c>
      <c r="J53">
        <v>13.82</v>
      </c>
      <c r="K53">
        <f>Table18[[#This Row],[Price ($)]]/Table18[[#This Row],[Area (sq. in.)]]</f>
        <v>0.43187500000000001</v>
      </c>
      <c r="T53" t="s">
        <v>321</v>
      </c>
      <c r="U53" s="4" t="s">
        <v>4628</v>
      </c>
    </row>
    <row r="54" spans="1:22" x14ac:dyDescent="0.2">
      <c r="A54" t="s">
        <v>2614</v>
      </c>
      <c r="B54" t="s">
        <v>3071</v>
      </c>
      <c r="C54" t="s">
        <v>4630</v>
      </c>
      <c r="D54">
        <v>133</v>
      </c>
      <c r="F54">
        <f>12*8</f>
        <v>96</v>
      </c>
      <c r="G54">
        <f t="shared" si="0"/>
        <v>48</v>
      </c>
      <c r="H54">
        <f>Table18[[#This Row],[Width (inches)]]*Table18[[#This Row],[Length (inches)]]/144</f>
        <v>32</v>
      </c>
      <c r="I54" t="s">
        <v>2617</v>
      </c>
      <c r="J54">
        <v>17.649999999999999</v>
      </c>
      <c r="K54">
        <f>Table18[[#This Row],[Price ($)]]/Table18[[#This Row],[Area (sq. in.)]]</f>
        <v>0.55156249999999996</v>
      </c>
      <c r="T54" t="s">
        <v>321</v>
      </c>
      <c r="U54" s="4" t="s">
        <v>4629</v>
      </c>
    </row>
    <row r="55" spans="1:22" x14ac:dyDescent="0.2">
      <c r="A55" t="s">
        <v>2614</v>
      </c>
      <c r="B55" t="s">
        <v>3071</v>
      </c>
      <c r="C55" t="s">
        <v>2639</v>
      </c>
      <c r="D55">
        <v>50001464</v>
      </c>
      <c r="F55">
        <f>12*8</f>
        <v>96</v>
      </c>
      <c r="G55">
        <f t="shared" si="0"/>
        <v>48</v>
      </c>
      <c r="H55">
        <f>Table18[[#This Row],[Width (inches)]]*Table18[[#This Row],[Length (inches)]]/144</f>
        <v>32</v>
      </c>
      <c r="I55" t="s">
        <v>2620</v>
      </c>
      <c r="J55">
        <v>20.98</v>
      </c>
      <c r="K55">
        <f>Table18[[#This Row],[Price ($)]]/Table18[[#This Row],[Area (sq. in.)]]</f>
        <v>0.65562500000000001</v>
      </c>
      <c r="T55" t="s">
        <v>321</v>
      </c>
      <c r="U55" s="4" t="s">
        <v>4631</v>
      </c>
    </row>
    <row r="56" spans="1:22" x14ac:dyDescent="0.2">
      <c r="A56" t="s">
        <v>2614</v>
      </c>
      <c r="B56" t="s">
        <v>3071</v>
      </c>
      <c r="C56" t="s">
        <v>2639</v>
      </c>
      <c r="D56">
        <v>50000134</v>
      </c>
      <c r="F56">
        <f>12*12</f>
        <v>144</v>
      </c>
      <c r="G56">
        <f t="shared" si="0"/>
        <v>48</v>
      </c>
      <c r="H56">
        <f>Table18[[#This Row],[Width (inches)]]*Table18[[#This Row],[Length (inches)]]/144</f>
        <v>48</v>
      </c>
      <c r="I56" t="s">
        <v>2620</v>
      </c>
      <c r="J56">
        <v>22.7</v>
      </c>
      <c r="K56">
        <f>Table18[[#This Row],[Price ($)]]/Table18[[#This Row],[Area (sq. in.)]]</f>
        <v>0.47291666666666665</v>
      </c>
      <c r="T56" t="s">
        <v>321</v>
      </c>
      <c r="U56" s="4" t="s">
        <v>4634</v>
      </c>
    </row>
    <row r="57" spans="1:22" x14ac:dyDescent="0.2">
      <c r="A57" t="s">
        <v>2614</v>
      </c>
      <c r="B57" t="s">
        <v>3071</v>
      </c>
      <c r="C57" t="s">
        <v>2639</v>
      </c>
      <c r="D57">
        <v>50002104</v>
      </c>
      <c r="F57">
        <f t="shared" ref="F57:F63" si="1">12*8</f>
        <v>96</v>
      </c>
      <c r="G57">
        <f t="shared" si="0"/>
        <v>48</v>
      </c>
      <c r="H57">
        <f>Table18[[#This Row],[Width (inches)]]*Table18[[#This Row],[Length (inches)]]/144</f>
        <v>32</v>
      </c>
      <c r="I57" t="s">
        <v>2617</v>
      </c>
      <c r="J57">
        <v>17.649999999999999</v>
      </c>
      <c r="K57">
        <f>Table18[[#This Row],[Price ($)]]/Table18[[#This Row],[Area (sq. in.)]]</f>
        <v>0.55156249999999996</v>
      </c>
      <c r="T57" t="s">
        <v>321</v>
      </c>
      <c r="U57" s="4" t="s">
        <v>4641</v>
      </c>
    </row>
    <row r="58" spans="1:22" x14ac:dyDescent="0.2">
      <c r="A58" t="s">
        <v>2614</v>
      </c>
      <c r="B58" t="s">
        <v>3071</v>
      </c>
      <c r="C58" t="s">
        <v>4630</v>
      </c>
      <c r="D58">
        <v>60</v>
      </c>
      <c r="F58">
        <f t="shared" si="1"/>
        <v>96</v>
      </c>
      <c r="G58">
        <f t="shared" si="0"/>
        <v>48</v>
      </c>
      <c r="H58">
        <f>Table18[[#This Row],[Width (inches)]]*Table18[[#This Row],[Length (inches)]]/144</f>
        <v>32</v>
      </c>
      <c r="I58" s="94" t="s">
        <v>2686</v>
      </c>
      <c r="J58">
        <v>16.14</v>
      </c>
      <c r="K58">
        <f>Table18[[#This Row],[Price ($)]]/Table18[[#This Row],[Area (sq. in.)]]</f>
        <v>0.50437500000000002</v>
      </c>
      <c r="T58" t="s">
        <v>321</v>
      </c>
      <c r="U58" s="4" t="s">
        <v>4644</v>
      </c>
    </row>
    <row r="59" spans="1:22" x14ac:dyDescent="0.2">
      <c r="A59" t="s">
        <v>2614</v>
      </c>
      <c r="B59" t="s">
        <v>3071</v>
      </c>
      <c r="C59" t="s">
        <v>2636</v>
      </c>
      <c r="D59">
        <v>752278214084</v>
      </c>
      <c r="F59">
        <f t="shared" si="1"/>
        <v>96</v>
      </c>
      <c r="G59">
        <f t="shared" si="0"/>
        <v>48</v>
      </c>
      <c r="H59">
        <f>Table18[[#This Row],[Width (inches)]]*Table18[[#This Row],[Length (inches)]]/144</f>
        <v>32</v>
      </c>
      <c r="I59" s="94" t="s">
        <v>2686</v>
      </c>
      <c r="J59">
        <v>16.14</v>
      </c>
      <c r="K59">
        <f>Table18[[#This Row],[Price ($)]]/Table18[[#This Row],[Area (sq. in.)]]</f>
        <v>0.50437500000000002</v>
      </c>
      <c r="T59" t="s">
        <v>321</v>
      </c>
      <c r="U59" s="4" t="s">
        <v>4645</v>
      </c>
    </row>
    <row r="60" spans="1:22" x14ac:dyDescent="0.2">
      <c r="A60" t="s">
        <v>2614</v>
      </c>
      <c r="B60" t="s">
        <v>3071</v>
      </c>
      <c r="C60" t="s">
        <v>2639</v>
      </c>
      <c r="D60">
        <v>50001052</v>
      </c>
      <c r="F60">
        <f t="shared" si="1"/>
        <v>96</v>
      </c>
      <c r="G60">
        <f t="shared" si="0"/>
        <v>48</v>
      </c>
      <c r="H60">
        <f>Table18[[#This Row],[Width (inches)]]*Table18[[#This Row],[Length (inches)]]/144</f>
        <v>32</v>
      </c>
      <c r="I60" s="94" t="s">
        <v>2686</v>
      </c>
      <c r="J60">
        <v>16.14</v>
      </c>
      <c r="K60">
        <f>Table18[[#This Row],[Price ($)]]/Table18[[#This Row],[Area (sq. in.)]]</f>
        <v>0.50437500000000002</v>
      </c>
      <c r="T60" t="s">
        <v>321</v>
      </c>
      <c r="U60" s="4" t="s">
        <v>4646</v>
      </c>
    </row>
    <row r="61" spans="1:22" x14ac:dyDescent="0.2">
      <c r="A61" t="s">
        <v>2648</v>
      </c>
      <c r="B61" t="s">
        <v>371</v>
      </c>
      <c r="D61">
        <v>646214</v>
      </c>
      <c r="F61">
        <f t="shared" si="1"/>
        <v>96</v>
      </c>
      <c r="G61">
        <f t="shared" si="0"/>
        <v>48</v>
      </c>
      <c r="H61">
        <f>Table18[[#This Row],[Width (inches)]]*Table18[[#This Row],[Length (inches)]]/144</f>
        <v>32</v>
      </c>
      <c r="I61" s="94" t="s">
        <v>2650</v>
      </c>
      <c r="J61">
        <v>19.68</v>
      </c>
      <c r="K61">
        <f>Table18[[#This Row],[Price ($)]]/Table18[[#This Row],[Area (sq. in.)]]</f>
        <v>0.61499999999999999</v>
      </c>
      <c r="T61" t="s">
        <v>321</v>
      </c>
      <c r="U61" s="4" t="s">
        <v>4650</v>
      </c>
    </row>
    <row r="62" spans="1:22" x14ac:dyDescent="0.2">
      <c r="A62" t="s">
        <v>2648</v>
      </c>
      <c r="B62" t="s">
        <v>3072</v>
      </c>
      <c r="C62" t="s">
        <v>2476</v>
      </c>
      <c r="D62" t="s">
        <v>366</v>
      </c>
      <c r="F62">
        <f t="shared" si="1"/>
        <v>96</v>
      </c>
      <c r="G62">
        <f t="shared" si="0"/>
        <v>48</v>
      </c>
      <c r="H62">
        <f>Table18[[#This Row],[Width (inches)]]*Table18[[#This Row],[Length (inches)]]/144</f>
        <v>32</v>
      </c>
      <c r="I62" s="94" t="s">
        <v>2653</v>
      </c>
      <c r="J62">
        <v>22</v>
      </c>
      <c r="K62">
        <f>Table18[[#This Row],[Price ($)]]/Table18[[#This Row],[Area (sq. in.)]]</f>
        <v>0.6875</v>
      </c>
      <c r="T62" t="s">
        <v>321</v>
      </c>
      <c r="U62" s="4" t="s">
        <v>4654</v>
      </c>
    </row>
    <row r="63" spans="1:22" x14ac:dyDescent="0.2">
      <c r="A63" t="s">
        <v>2648</v>
      </c>
      <c r="B63" t="s">
        <v>3072</v>
      </c>
      <c r="D63">
        <v>721366</v>
      </c>
      <c r="F63">
        <f t="shared" si="1"/>
        <v>96</v>
      </c>
      <c r="G63">
        <f t="shared" si="0"/>
        <v>48</v>
      </c>
      <c r="H63">
        <f>Table18[[#This Row],[Width (inches)]]*Table18[[#This Row],[Length (inches)]]/144</f>
        <v>32</v>
      </c>
      <c r="I63" s="94" t="s">
        <v>2630</v>
      </c>
      <c r="J63">
        <v>20.38</v>
      </c>
      <c r="K63">
        <f>Table18[[#This Row],[Price ($)]]/Table18[[#This Row],[Area (sq. in.)]]</f>
        <v>0.63687499999999997</v>
      </c>
      <c r="T63" t="s">
        <v>321</v>
      </c>
      <c r="U63" t="s">
        <v>4656</v>
      </c>
    </row>
    <row r="64" spans="1:22" x14ac:dyDescent="0.2">
      <c r="A64" t="s">
        <v>2648</v>
      </c>
      <c r="B64" t="s">
        <v>3072</v>
      </c>
      <c r="D64">
        <v>128221</v>
      </c>
      <c r="F64">
        <f>4*12</f>
        <v>48</v>
      </c>
      <c r="G64">
        <f>2*12</f>
        <v>24</v>
      </c>
      <c r="H64">
        <f>Table18[[#This Row],[Width (inches)]]*Table18[[#This Row],[Length (inches)]]/144</f>
        <v>8</v>
      </c>
      <c r="I64" s="94" t="s">
        <v>2686</v>
      </c>
      <c r="J64">
        <v>24.98</v>
      </c>
      <c r="K64">
        <f>Table18[[#This Row],[Price ($)]]/Table18[[#This Row],[Area (sq. in.)]]</f>
        <v>3.1225000000000001</v>
      </c>
      <c r="T64" t="s">
        <v>321</v>
      </c>
      <c r="U64" t="s">
        <v>4657</v>
      </c>
    </row>
    <row r="65" spans="1:21" x14ac:dyDescent="0.2">
      <c r="A65" t="s">
        <v>2648</v>
      </c>
      <c r="B65" t="s">
        <v>3072</v>
      </c>
      <c r="C65" t="s">
        <v>2476</v>
      </c>
      <c r="D65" t="s">
        <v>366</v>
      </c>
      <c r="F65">
        <f>12*8</f>
        <v>96</v>
      </c>
      <c r="G65">
        <f>4*12</f>
        <v>48</v>
      </c>
      <c r="H65">
        <f>Table18[[#This Row],[Width (inches)]]*Table18[[#This Row],[Length (inches)]]/144</f>
        <v>32</v>
      </c>
      <c r="I65" s="94" t="s">
        <v>2661</v>
      </c>
      <c r="J65">
        <v>21.9</v>
      </c>
      <c r="K65">
        <f>Table18[[#This Row],[Price ($)]]/Table18[[#This Row],[Area (sq. in.)]]</f>
        <v>0.68437499999999996</v>
      </c>
      <c r="T65" t="s">
        <v>321</v>
      </c>
      <c r="U65" t="s">
        <v>4658</v>
      </c>
    </row>
    <row r="66" spans="1:21" x14ac:dyDescent="0.2">
      <c r="A66" t="s">
        <v>2648</v>
      </c>
      <c r="B66" t="s">
        <v>371</v>
      </c>
      <c r="D66">
        <v>776391100000</v>
      </c>
      <c r="F66">
        <f>12*8</f>
        <v>96</v>
      </c>
      <c r="G66">
        <f>4*12</f>
        <v>48</v>
      </c>
      <c r="H66">
        <f>Table18[[#This Row],[Width (inches)]]*Table18[[#This Row],[Length (inches)]]/144</f>
        <v>32</v>
      </c>
      <c r="I66" s="94" t="s">
        <v>2686</v>
      </c>
      <c r="J66">
        <v>18.7</v>
      </c>
      <c r="K66">
        <f>Table18[[#This Row],[Price ($)]]/Table18[[#This Row],[Area (sq. in.)]]</f>
        <v>0.58437499999999998</v>
      </c>
      <c r="T66" t="s">
        <v>321</v>
      </c>
      <c r="U66" t="s">
        <v>4659</v>
      </c>
    </row>
    <row r="67" spans="1:21" x14ac:dyDescent="0.2">
      <c r="A67" t="s">
        <v>2648</v>
      </c>
      <c r="B67" t="s">
        <v>3072</v>
      </c>
      <c r="C67" t="s">
        <v>4661</v>
      </c>
      <c r="D67" t="s">
        <v>4662</v>
      </c>
      <c r="F67">
        <f>12*8</f>
        <v>96</v>
      </c>
      <c r="G67">
        <f>4*12</f>
        <v>48</v>
      </c>
      <c r="H67">
        <f>Table18[[#This Row],[Width (inches)]]*Table18[[#This Row],[Length (inches)]]/144</f>
        <v>32</v>
      </c>
      <c r="I67" s="94" t="s">
        <v>2661</v>
      </c>
      <c r="J67">
        <v>35.380000000000003</v>
      </c>
      <c r="K67">
        <f>Table18[[#This Row],[Price ($)]]/Table18[[#This Row],[Area (sq. in.)]]</f>
        <v>1.1056250000000001</v>
      </c>
      <c r="T67" t="s">
        <v>321</v>
      </c>
      <c r="U67" t="s">
        <v>4660</v>
      </c>
    </row>
    <row r="68" spans="1:21" x14ac:dyDescent="0.2">
      <c r="A68" t="s">
        <v>2648</v>
      </c>
      <c r="B68" t="s">
        <v>3072</v>
      </c>
      <c r="D68">
        <v>727951</v>
      </c>
      <c r="F68">
        <f>4*12</f>
        <v>48</v>
      </c>
      <c r="G68">
        <f>2*12</f>
        <v>24</v>
      </c>
      <c r="H68">
        <f>Table18[[#This Row],[Width (inches)]]*Table18[[#This Row],[Length (inches)]]/144</f>
        <v>8</v>
      </c>
      <c r="I68" s="94" t="s">
        <v>2686</v>
      </c>
      <c r="J68">
        <v>24.98</v>
      </c>
      <c r="K68">
        <f>Table18[[#This Row],[Price ($)]]/Table18[[#This Row],[Area (sq. in.)]]</f>
        <v>3.1225000000000001</v>
      </c>
      <c r="T68" t="s">
        <v>321</v>
      </c>
      <c r="U68" t="s">
        <v>4663</v>
      </c>
    </row>
    <row r="69" spans="1:21" x14ac:dyDescent="0.2">
      <c r="A69" t="s">
        <v>2648</v>
      </c>
      <c r="B69" t="s">
        <v>3072</v>
      </c>
      <c r="C69" t="s">
        <v>4661</v>
      </c>
      <c r="D69" t="s">
        <v>4665</v>
      </c>
      <c r="F69">
        <f>12*8</f>
        <v>96</v>
      </c>
      <c r="G69">
        <f>4*12</f>
        <v>48</v>
      </c>
      <c r="H69">
        <f>Table18[[#This Row],[Width (inches)]]*Table18[[#This Row],[Length (inches)]]/144</f>
        <v>32</v>
      </c>
      <c r="I69" s="94" t="s">
        <v>2668</v>
      </c>
      <c r="J69">
        <v>47.38</v>
      </c>
      <c r="K69">
        <f>Table18[[#This Row],[Price ($)]]/Table18[[#This Row],[Area (sq. in.)]]</f>
        <v>1.4806250000000001</v>
      </c>
      <c r="T69" t="s">
        <v>321</v>
      </c>
      <c r="U69" t="s">
        <v>4664</v>
      </c>
    </row>
    <row r="70" spans="1:21" x14ac:dyDescent="0.2">
      <c r="A70" t="s">
        <v>2648</v>
      </c>
      <c r="B70" t="s">
        <v>3072</v>
      </c>
      <c r="D70">
        <v>107806</v>
      </c>
      <c r="F70">
        <v>23.75</v>
      </c>
      <c r="G70">
        <v>23.75</v>
      </c>
      <c r="H70">
        <f>Table18[[#This Row],[Width (inches)]]*Table18[[#This Row],[Length (inches)]]/144</f>
        <v>3.9171006944444446</v>
      </c>
      <c r="I70" s="94" t="s">
        <v>4667</v>
      </c>
      <c r="J70">
        <v>8.98</v>
      </c>
      <c r="K70">
        <f>Table18[[#This Row],[Price ($)]]/Table18[[#This Row],[Area (sq. in.)]]</f>
        <v>2.2925119113573409</v>
      </c>
      <c r="T70" t="s">
        <v>321</v>
      </c>
      <c r="U70" t="s">
        <v>4666</v>
      </c>
    </row>
    <row r="71" spans="1:21" x14ac:dyDescent="0.2">
      <c r="A71" t="s">
        <v>2648</v>
      </c>
      <c r="B71" t="s">
        <v>3072</v>
      </c>
      <c r="C71" t="s">
        <v>2476</v>
      </c>
      <c r="D71" t="s">
        <v>366</v>
      </c>
      <c r="F71">
        <f>12*8</f>
        <v>96</v>
      </c>
      <c r="G71">
        <f>4*12</f>
        <v>48</v>
      </c>
      <c r="H71">
        <f>Table18[[#This Row],[Width (inches)]]*Table18[[#This Row],[Length (inches)]]/144</f>
        <v>32</v>
      </c>
      <c r="I71" s="94" t="s">
        <v>2661</v>
      </c>
      <c r="J71">
        <v>23</v>
      </c>
      <c r="K71">
        <f>Table18[[#This Row],[Price ($)]]/Table18[[#This Row],[Area (sq. in.)]]</f>
        <v>0.71875</v>
      </c>
      <c r="T71" t="s">
        <v>321</v>
      </c>
      <c r="U71" t="s">
        <v>4668</v>
      </c>
    </row>
    <row r="72" spans="1:21" x14ac:dyDescent="0.2">
      <c r="A72" t="s">
        <v>2648</v>
      </c>
      <c r="B72" t="s">
        <v>3072</v>
      </c>
      <c r="D72">
        <v>128195</v>
      </c>
      <c r="F72">
        <f>4*12</f>
        <v>48</v>
      </c>
      <c r="G72">
        <f>2*12</f>
        <v>24</v>
      </c>
      <c r="H72">
        <f>Table18[[#This Row],[Width (inches)]]*Table18[[#This Row],[Length (inches)]]/144</f>
        <v>8</v>
      </c>
      <c r="I72" s="94" t="s">
        <v>2620</v>
      </c>
      <c r="J72">
        <v>24.98</v>
      </c>
      <c r="K72">
        <f>Table18[[#This Row],[Price ($)]]/Table18[[#This Row],[Area (sq. in.)]]</f>
        <v>3.1225000000000001</v>
      </c>
      <c r="T72" t="s">
        <v>321</v>
      </c>
      <c r="U72" t="s">
        <v>4669</v>
      </c>
    </row>
    <row r="73" spans="1:21" x14ac:dyDescent="0.2">
      <c r="A73" t="s">
        <v>2648</v>
      </c>
      <c r="B73" t="s">
        <v>3072</v>
      </c>
      <c r="D73">
        <v>92418</v>
      </c>
      <c r="F73">
        <f>4*12</f>
        <v>48</v>
      </c>
      <c r="G73">
        <f>2*12</f>
        <v>24</v>
      </c>
      <c r="H73">
        <f>Table18[[#This Row],[Width (inches)]]*Table18[[#This Row],[Length (inches)]]/144</f>
        <v>8</v>
      </c>
      <c r="I73" s="94" t="s">
        <v>2686</v>
      </c>
      <c r="J73">
        <v>12.98</v>
      </c>
      <c r="K73">
        <f>Table18[[#This Row],[Price ($)]]/Table18[[#This Row],[Area (sq. in.)]]</f>
        <v>1.6225000000000001</v>
      </c>
      <c r="T73" t="s">
        <v>321</v>
      </c>
      <c r="U73" t="s">
        <v>4670</v>
      </c>
    </row>
    <row r="74" spans="1:21" x14ac:dyDescent="0.2">
      <c r="A74" t="s">
        <v>2648</v>
      </c>
      <c r="B74" t="s">
        <v>3072</v>
      </c>
      <c r="D74">
        <v>100238</v>
      </c>
      <c r="F74">
        <f>4*12</f>
        <v>48</v>
      </c>
      <c r="G74">
        <f>2*12</f>
        <v>24</v>
      </c>
      <c r="H74">
        <f>Table18[[#This Row],[Width (inches)]]*Table18[[#This Row],[Length (inches)]]/144</f>
        <v>8</v>
      </c>
      <c r="I74" s="94" t="s">
        <v>2661</v>
      </c>
      <c r="J74">
        <v>21.72</v>
      </c>
      <c r="K74">
        <f>Table18[[#This Row],[Price ($)]]/Table18[[#This Row],[Area (sq. in.)]]</f>
        <v>2.7149999999999999</v>
      </c>
      <c r="T74" t="s">
        <v>321</v>
      </c>
      <c r="U74" t="s">
        <v>4671</v>
      </c>
    </row>
    <row r="75" spans="1:21" x14ac:dyDescent="0.2">
      <c r="A75" t="s">
        <v>2648</v>
      </c>
      <c r="B75" t="s">
        <v>4673</v>
      </c>
      <c r="C75" t="s">
        <v>4674</v>
      </c>
      <c r="D75">
        <v>1428873</v>
      </c>
      <c r="F75">
        <f>8*12</f>
        <v>96</v>
      </c>
      <c r="G75">
        <v>2</v>
      </c>
      <c r="H75">
        <f>Table18[[#This Row],[Width (inches)]]*Table18[[#This Row],[Length (inches)]]/144</f>
        <v>1.3333333333333333</v>
      </c>
      <c r="I75" s="94" t="s">
        <v>3803</v>
      </c>
      <c r="J75">
        <v>8.98</v>
      </c>
      <c r="K75">
        <f>Table18[[#This Row],[Price ($)]]/Table18[[#This Row],[Area (sq. in.)]]</f>
        <v>6.7350000000000003</v>
      </c>
      <c r="T75" t="s">
        <v>321</v>
      </c>
      <c r="U75" t="s">
        <v>4672</v>
      </c>
    </row>
    <row r="76" spans="1:21" x14ac:dyDescent="0.2">
      <c r="A76" t="s">
        <v>2648</v>
      </c>
      <c r="B76" t="s">
        <v>3072</v>
      </c>
      <c r="D76">
        <v>128222</v>
      </c>
      <c r="F76">
        <f>4*12</f>
        <v>48</v>
      </c>
      <c r="G76">
        <f>2*12</f>
        <v>24</v>
      </c>
      <c r="H76">
        <f>Table18[[#This Row],[Width (inches)]]*Table18[[#This Row],[Length (inches)]]/144</f>
        <v>8</v>
      </c>
      <c r="I76" s="94" t="s">
        <v>2620</v>
      </c>
      <c r="J76">
        <v>34.979999999999997</v>
      </c>
      <c r="K76">
        <f>Table18[[#This Row],[Price ($)]]/Table18[[#This Row],[Area (sq. in.)]]</f>
        <v>4.3724999999999996</v>
      </c>
      <c r="T76" t="s">
        <v>321</v>
      </c>
      <c r="U76" t="s">
        <v>4675</v>
      </c>
    </row>
    <row r="77" spans="1:21" x14ac:dyDescent="0.2">
      <c r="A77" t="s">
        <v>2648</v>
      </c>
      <c r="B77" t="s">
        <v>3072</v>
      </c>
      <c r="D77">
        <v>727954</v>
      </c>
      <c r="F77">
        <f>4*12</f>
        <v>48</v>
      </c>
      <c r="G77">
        <f>2*12</f>
        <v>24</v>
      </c>
      <c r="H77">
        <f>Table18[[#This Row],[Width (inches)]]*Table18[[#This Row],[Length (inches)]]/144</f>
        <v>8</v>
      </c>
      <c r="I77" s="94" t="s">
        <v>2620</v>
      </c>
      <c r="J77">
        <v>34.979999999999997</v>
      </c>
      <c r="K77">
        <f>Table18[[#This Row],[Price ($)]]/Table18[[#This Row],[Area (sq. in.)]]</f>
        <v>4.3724999999999996</v>
      </c>
      <c r="T77" t="s">
        <v>321</v>
      </c>
      <c r="U77" t="s">
        <v>4676</v>
      </c>
    </row>
    <row r="78" spans="1:21" x14ac:dyDescent="0.2">
      <c r="A78" t="s">
        <v>2648</v>
      </c>
      <c r="B78" t="s">
        <v>3072</v>
      </c>
      <c r="D78">
        <v>12611</v>
      </c>
      <c r="F78">
        <f>4*12</f>
        <v>48</v>
      </c>
      <c r="G78">
        <f>2*12</f>
        <v>24</v>
      </c>
      <c r="H78">
        <f>Table18[[#This Row],[Width (inches)]]*Table18[[#This Row],[Length (inches)]]/144</f>
        <v>8</v>
      </c>
      <c r="I78" s="94" t="s">
        <v>2668</v>
      </c>
      <c r="J78">
        <v>24.54</v>
      </c>
      <c r="K78">
        <f>Table18[[#This Row],[Price ($)]]/Table18[[#This Row],[Area (sq. in.)]]</f>
        <v>3.0674999999999999</v>
      </c>
      <c r="T78" t="s">
        <v>321</v>
      </c>
      <c r="U78" t="s">
        <v>4677</v>
      </c>
    </row>
    <row r="79" spans="1:21" x14ac:dyDescent="0.2">
      <c r="A79" t="s">
        <v>2648</v>
      </c>
      <c r="B79" t="s">
        <v>3072</v>
      </c>
      <c r="D79">
        <v>312059</v>
      </c>
      <c r="F79">
        <f>4*12</f>
        <v>48</v>
      </c>
      <c r="G79">
        <f>2*12</f>
        <v>24</v>
      </c>
      <c r="H79">
        <f>Table18[[#This Row],[Width (inches)]]*Table18[[#This Row],[Length (inches)]]/144</f>
        <v>8</v>
      </c>
      <c r="I79" s="94" t="s">
        <v>2620</v>
      </c>
      <c r="J79">
        <v>34.979999999999997</v>
      </c>
      <c r="K79">
        <f>Table18[[#This Row],[Price ($)]]/Table18[[#This Row],[Area (sq. in.)]]</f>
        <v>4.3724999999999996</v>
      </c>
      <c r="T79" t="s">
        <v>321</v>
      </c>
      <c r="U79" t="s">
        <v>4678</v>
      </c>
    </row>
    <row r="80" spans="1:21" x14ac:dyDescent="0.2">
      <c r="A80" t="s">
        <v>2648</v>
      </c>
      <c r="B80" t="s">
        <v>3072</v>
      </c>
      <c r="D80">
        <v>727957</v>
      </c>
      <c r="F80">
        <f>4*12</f>
        <v>48</v>
      </c>
      <c r="G80">
        <f>2*12</f>
        <v>24</v>
      </c>
      <c r="H80">
        <f>Table18[[#This Row],[Width (inches)]]*Table18[[#This Row],[Length (inches)]]/144</f>
        <v>8</v>
      </c>
      <c r="I80" s="94" t="s">
        <v>4680</v>
      </c>
      <c r="J80">
        <v>44.98</v>
      </c>
      <c r="K80">
        <f>Table18[[#This Row],[Price ($)]]/Table18[[#This Row],[Area (sq. in.)]]</f>
        <v>5.6224999999999996</v>
      </c>
      <c r="T80" t="s">
        <v>321</v>
      </c>
      <c r="U80" t="s">
        <v>4679</v>
      </c>
    </row>
    <row r="81" spans="1:21" x14ac:dyDescent="0.2">
      <c r="A81" t="s">
        <v>2648</v>
      </c>
      <c r="B81" t="s">
        <v>371</v>
      </c>
      <c r="C81" t="s">
        <v>4682</v>
      </c>
      <c r="D81">
        <v>721122</v>
      </c>
      <c r="F81">
        <f>8*12</f>
        <v>96</v>
      </c>
      <c r="G81">
        <f>4*12</f>
        <v>48</v>
      </c>
      <c r="H81">
        <f>Table18[[#This Row],[Width (inches)]]*Table18[[#This Row],[Length (inches)]]/144</f>
        <v>32</v>
      </c>
      <c r="I81" s="94" t="s">
        <v>2650</v>
      </c>
      <c r="J81">
        <v>23.65</v>
      </c>
      <c r="K81">
        <f>Table18[[#This Row],[Price ($)]]/Table18[[#This Row],[Area (sq. in.)]]</f>
        <v>0.73906249999999996</v>
      </c>
      <c r="T81" t="s">
        <v>321</v>
      </c>
      <c r="U81" t="s">
        <v>4681</v>
      </c>
    </row>
    <row r="82" spans="1:21" x14ac:dyDescent="0.2">
      <c r="A82" t="s">
        <v>2648</v>
      </c>
      <c r="B82" t="s">
        <v>3072</v>
      </c>
      <c r="D82">
        <v>100240</v>
      </c>
      <c r="F82">
        <v>48</v>
      </c>
      <c r="G82">
        <v>48</v>
      </c>
      <c r="H82">
        <f>Table18[[#This Row],[Width (inches)]]*Table18[[#This Row],[Length (inches)]]/144</f>
        <v>16</v>
      </c>
      <c r="I82" s="94" t="s">
        <v>2668</v>
      </c>
      <c r="J82">
        <v>33.78</v>
      </c>
      <c r="K82">
        <f>Table18[[#This Row],[Price ($)]]/Table18[[#This Row],[Area (sq. in.)]]</f>
        <v>2.1112500000000001</v>
      </c>
      <c r="T82" t="s">
        <v>321</v>
      </c>
      <c r="U82" t="s">
        <v>4683</v>
      </c>
    </row>
    <row r="83" spans="1:21" x14ac:dyDescent="0.2">
      <c r="A83" t="s">
        <v>2648</v>
      </c>
      <c r="B83" t="s">
        <v>3072</v>
      </c>
      <c r="D83">
        <v>100239</v>
      </c>
      <c r="F83">
        <v>48</v>
      </c>
      <c r="G83">
        <v>48</v>
      </c>
      <c r="H83">
        <f>Table18[[#This Row],[Width (inches)]]*Table18[[#This Row],[Length (inches)]]/144</f>
        <v>16</v>
      </c>
      <c r="I83" s="94" t="s">
        <v>2661</v>
      </c>
      <c r="J83">
        <v>27.31</v>
      </c>
      <c r="K83">
        <f>Table18[[#This Row],[Price ($)]]/Table18[[#This Row],[Area (sq. in.)]]</f>
        <v>1.7068749999999999</v>
      </c>
      <c r="T83" t="s">
        <v>321</v>
      </c>
      <c r="U83" t="s">
        <v>4684</v>
      </c>
    </row>
    <row r="84" spans="1:21" x14ac:dyDescent="0.2">
      <c r="A84" t="s">
        <v>2648</v>
      </c>
      <c r="B84" t="s">
        <v>3072</v>
      </c>
      <c r="D84">
        <v>312060</v>
      </c>
      <c r="F84">
        <v>48</v>
      </c>
      <c r="G84">
        <v>24</v>
      </c>
      <c r="H84">
        <f>Table18[[#This Row],[Width (inches)]]*Table18[[#This Row],[Length (inches)]]/144</f>
        <v>8</v>
      </c>
      <c r="I84" s="94" t="s">
        <v>4680</v>
      </c>
      <c r="J84">
        <v>44.98</v>
      </c>
      <c r="K84">
        <f>Table18[[#This Row],[Price ($)]]/Table18[[#This Row],[Area (sq. in.)]]</f>
        <v>5.6224999999999996</v>
      </c>
      <c r="U84" t="s">
        <v>4685</v>
      </c>
    </row>
    <row r="85" spans="1:21" x14ac:dyDescent="0.2">
      <c r="A85" t="s">
        <v>2648</v>
      </c>
      <c r="B85" t="s">
        <v>3072</v>
      </c>
      <c r="D85">
        <v>95170</v>
      </c>
      <c r="F85">
        <v>24</v>
      </c>
      <c r="G85">
        <v>24</v>
      </c>
      <c r="H85">
        <f>Table18[[#This Row],[Width (inches)]]*Table18[[#This Row],[Length (inches)]]/144</f>
        <v>4</v>
      </c>
      <c r="I85" s="94" t="s">
        <v>2668</v>
      </c>
      <c r="J85">
        <v>15.43</v>
      </c>
      <c r="K85">
        <f>Table18[[#This Row],[Price ($)]]/Table18[[#This Row],[Area (sq. in.)]]</f>
        <v>3.8574999999999999</v>
      </c>
      <c r="U85" t="s">
        <v>4686</v>
      </c>
    </row>
    <row r="86" spans="1:21" x14ac:dyDescent="0.2">
      <c r="A86" t="s">
        <v>2648</v>
      </c>
      <c r="B86" t="s">
        <v>3072</v>
      </c>
      <c r="D86">
        <v>13471</v>
      </c>
      <c r="F86">
        <v>48</v>
      </c>
      <c r="G86">
        <v>24</v>
      </c>
      <c r="H86">
        <f>Table18[[#This Row],[Width (inches)]]*Table18[[#This Row],[Length (inches)]]/144</f>
        <v>8</v>
      </c>
      <c r="I86" s="94" t="s">
        <v>4680</v>
      </c>
      <c r="J86">
        <v>29.98</v>
      </c>
      <c r="K86">
        <f>Table18[[#This Row],[Price ($)]]/Table18[[#This Row],[Area (sq. in.)]]</f>
        <v>3.7475000000000001</v>
      </c>
      <c r="U86" t="s">
        <v>4687</v>
      </c>
    </row>
    <row r="87" spans="1:21" x14ac:dyDescent="0.2">
      <c r="A87" t="s">
        <v>2648</v>
      </c>
      <c r="B87" t="s">
        <v>4673</v>
      </c>
      <c r="C87" t="s">
        <v>4674</v>
      </c>
      <c r="D87" t="s">
        <v>4689</v>
      </c>
      <c r="F87">
        <f>8*12</f>
        <v>96</v>
      </c>
      <c r="G87">
        <v>8</v>
      </c>
      <c r="H87">
        <f>Table18[[#This Row],[Width (inches)]]*Table18[[#This Row],[Length (inches)]]/144</f>
        <v>5.333333333333333</v>
      </c>
      <c r="I87" s="94" t="s">
        <v>3803</v>
      </c>
      <c r="J87">
        <v>20.98</v>
      </c>
      <c r="K87">
        <f>Table18[[#This Row],[Price ($)]]/Table18[[#This Row],[Area (sq. in.)]]</f>
        <v>3.9337500000000003</v>
      </c>
      <c r="U87" t="s">
        <v>4688</v>
      </c>
    </row>
    <row r="88" spans="1:21" x14ac:dyDescent="0.2">
      <c r="A88" t="s">
        <v>2648</v>
      </c>
      <c r="B88" t="s">
        <v>3072</v>
      </c>
      <c r="D88">
        <v>520360</v>
      </c>
      <c r="F88">
        <v>96</v>
      </c>
      <c r="G88">
        <v>48</v>
      </c>
      <c r="H88">
        <f>Table18[[#This Row],[Width (inches)]]*Table18[[#This Row],[Length (inches)]]/144</f>
        <v>32</v>
      </c>
      <c r="I88" s="94" t="s">
        <v>4680</v>
      </c>
      <c r="J88">
        <v>67.62</v>
      </c>
      <c r="K88">
        <f>Table18[[#This Row],[Price ($)]]/Table18[[#This Row],[Area (sq. in.)]]</f>
        <v>2.1131250000000001</v>
      </c>
      <c r="U88" t="s">
        <v>4690</v>
      </c>
    </row>
    <row r="89" spans="1:21" x14ac:dyDescent="0.2">
      <c r="I89" s="94"/>
    </row>
    <row r="90" spans="1:21" x14ac:dyDescent="0.2">
      <c r="I90" s="94"/>
    </row>
    <row r="91" spans="1:21" x14ac:dyDescent="0.2">
      <c r="I91" s="94"/>
    </row>
    <row r="92" spans="1:21" x14ac:dyDescent="0.2">
      <c r="I92" s="94"/>
    </row>
    <row r="93" spans="1:21" x14ac:dyDescent="0.2">
      <c r="I93" s="94"/>
    </row>
    <row r="94" spans="1:21" x14ac:dyDescent="0.2">
      <c r="I94" s="94"/>
    </row>
    <row r="95" spans="1:21" x14ac:dyDescent="0.2">
      <c r="I95" s="94"/>
    </row>
    <row r="96" spans="1:21" x14ac:dyDescent="0.2">
      <c r="I96" s="94"/>
    </row>
    <row r="97" spans="9:9" x14ac:dyDescent="0.2">
      <c r="I97" s="94"/>
    </row>
    <row r="98" spans="9:9" x14ac:dyDescent="0.2">
      <c r="I98" s="94"/>
    </row>
    <row r="99" spans="9:9" x14ac:dyDescent="0.2">
      <c r="I99" s="94"/>
    </row>
    <row r="100" spans="9:9" x14ac:dyDescent="0.2">
      <c r="I100" s="94"/>
    </row>
    <row r="101" spans="9:9" x14ac:dyDescent="0.2">
      <c r="I101" s="94"/>
    </row>
    <row r="102" spans="9:9" x14ac:dyDescent="0.2">
      <c r="I102" s="94"/>
    </row>
    <row r="103" spans="9:9" x14ac:dyDescent="0.2">
      <c r="I103" s="94"/>
    </row>
    <row r="104" spans="9:9" x14ac:dyDescent="0.2">
      <c r="I104" s="94"/>
    </row>
    <row r="105" spans="9:9" x14ac:dyDescent="0.2">
      <c r="I105" s="94"/>
    </row>
    <row r="106" spans="9:9" x14ac:dyDescent="0.2">
      <c r="I106" s="94"/>
    </row>
    <row r="107" spans="9:9" x14ac:dyDescent="0.2">
      <c r="I107" s="94"/>
    </row>
    <row r="108" spans="9:9" x14ac:dyDescent="0.2">
      <c r="I108" s="94"/>
    </row>
    <row r="109" spans="9:9" x14ac:dyDescent="0.2">
      <c r="I109" s="94"/>
    </row>
  </sheetData>
  <mergeCells count="1">
    <mergeCell ref="AE2:AF2"/>
  </mergeCells>
  <phoneticPr fontId="25" type="noConversion"/>
  <hyperlinks>
    <hyperlink ref="A1" location="'Table of Contents'!A1" display="Table of Contents" xr:uid="{A2737690-8438-4B27-8AFB-2751503D77AC}"/>
    <hyperlink ref="U54" r:id="rId1" xr:uid="{70F88866-FE80-4858-A2E2-8F97A9C904CC}"/>
    <hyperlink ref="U55" r:id="rId2" xr:uid="{361ED3B8-11BC-4026-8057-EB368C80AA04}"/>
  </hyperlinks>
  <pageMargins left="0.7" right="0.7" top="0.75" bottom="0.75" header="0.3" footer="0.3"/>
  <pageSetup orientation="portrait" r:id="rId3"/>
  <tableParts count="1">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4F2DA-0350-4837-BD93-B722B6736290}">
  <dimension ref="A1:AC14"/>
  <sheetViews>
    <sheetView showGridLines="0" topLeftCell="D1" zoomScale="50" zoomScaleNormal="50" workbookViewId="0"/>
  </sheetViews>
  <sheetFormatPr baseColWidth="10" defaultColWidth="8.83203125" defaultRowHeight="15" x14ac:dyDescent="0.2"/>
  <cols>
    <col min="1" max="1" width="23.5" bestFit="1" customWidth="1"/>
    <col min="2" max="2" width="17.5" customWidth="1"/>
    <col min="3" max="3" width="18.6640625" customWidth="1"/>
    <col min="4" max="4" width="19.33203125" customWidth="1"/>
    <col min="5" max="5" width="14.5" bestFit="1" customWidth="1"/>
    <col min="6" max="6" width="15" bestFit="1" customWidth="1"/>
    <col min="21" max="21" width="16.5" bestFit="1" customWidth="1"/>
    <col min="22" max="22" width="12.5" customWidth="1"/>
    <col min="23" max="23" width="17" bestFit="1" customWidth="1"/>
    <col min="24" max="24" width="7.6640625" bestFit="1" customWidth="1"/>
    <col min="25" max="25" width="8.5" bestFit="1" customWidth="1"/>
    <col min="26" max="26" width="27.6640625" bestFit="1" customWidth="1"/>
    <col min="27" max="27" width="12.33203125" bestFit="1" customWidth="1"/>
    <col min="28" max="28" width="45.6640625" bestFit="1" customWidth="1"/>
    <col min="29" max="29" width="6.33203125" bestFit="1" customWidth="1"/>
  </cols>
  <sheetData>
    <row r="1" spans="1:29" x14ac:dyDescent="0.2">
      <c r="A1" s="4" t="s">
        <v>21</v>
      </c>
      <c r="B1" s="4"/>
      <c r="C1" s="4"/>
      <c r="D1" s="4"/>
      <c r="P1" s="3"/>
    </row>
    <row r="2" spans="1:29" ht="16" thickBot="1" x14ac:dyDescent="0.25">
      <c r="A2" s="41" t="s">
        <v>342</v>
      </c>
      <c r="Y2" s="15"/>
      <c r="Z2" s="15"/>
      <c r="AA2" s="15"/>
      <c r="AB2" s="15"/>
      <c r="AC2" s="15"/>
    </row>
    <row r="3" spans="1:29" x14ac:dyDescent="0.2">
      <c r="A3" s="419" t="s">
        <v>343</v>
      </c>
      <c r="B3" s="419"/>
      <c r="C3" s="420"/>
      <c r="D3" s="421" t="s">
        <v>344</v>
      </c>
      <c r="E3" s="422"/>
      <c r="F3" s="422"/>
      <c r="G3" s="422"/>
      <c r="H3" s="422"/>
      <c r="I3" s="422"/>
      <c r="J3" s="423"/>
      <c r="K3" s="424" t="s">
        <v>345</v>
      </c>
      <c r="L3" s="425"/>
      <c r="M3" s="425"/>
      <c r="N3" s="425"/>
      <c r="O3" s="425"/>
      <c r="P3" s="425"/>
      <c r="Q3" s="426"/>
      <c r="R3" s="427" t="s">
        <v>346</v>
      </c>
      <c r="S3" s="428"/>
      <c r="T3" s="428"/>
      <c r="U3" s="430" t="s">
        <v>4571</v>
      </c>
      <c r="V3" s="444"/>
      <c r="W3" s="430" t="s">
        <v>4572</v>
      </c>
      <c r="X3" s="430"/>
      <c r="Y3" s="417" t="s">
        <v>347</v>
      </c>
      <c r="Z3" s="418"/>
      <c r="AA3" s="418"/>
      <c r="AB3" s="418"/>
      <c r="AC3" s="447"/>
    </row>
    <row r="4" spans="1:29" ht="16" thickBot="1" x14ac:dyDescent="0.25">
      <c r="A4" s="5" t="s">
        <v>0</v>
      </c>
      <c r="B4" s="5" t="s">
        <v>348</v>
      </c>
      <c r="C4" s="6" t="s">
        <v>349</v>
      </c>
      <c r="D4" s="7" t="s">
        <v>350</v>
      </c>
      <c r="E4" s="8" t="s">
        <v>351</v>
      </c>
      <c r="F4" s="8" t="s">
        <v>352</v>
      </c>
      <c r="G4" s="8" t="s">
        <v>353</v>
      </c>
      <c r="H4" s="8" t="s">
        <v>354</v>
      </c>
      <c r="I4" s="8" t="s">
        <v>355</v>
      </c>
      <c r="J4" s="8" t="s">
        <v>356</v>
      </c>
      <c r="K4" s="9" t="s">
        <v>350</v>
      </c>
      <c r="L4" s="10" t="s">
        <v>351</v>
      </c>
      <c r="M4" s="10" t="s">
        <v>352</v>
      </c>
      <c r="N4" s="10" t="s">
        <v>353</v>
      </c>
      <c r="O4" s="10" t="s">
        <v>354</v>
      </c>
      <c r="P4" s="10" t="s">
        <v>355</v>
      </c>
      <c r="Q4" s="10" t="s">
        <v>356</v>
      </c>
      <c r="R4" s="11" t="s">
        <v>357</v>
      </c>
      <c r="S4" s="12" t="s">
        <v>358</v>
      </c>
      <c r="T4" s="13" t="s">
        <v>359</v>
      </c>
      <c r="U4" s="14" t="s">
        <v>360</v>
      </c>
      <c r="V4" s="327" t="s">
        <v>361</v>
      </c>
      <c r="W4" s="116" t="s">
        <v>360</v>
      </c>
      <c r="X4" s="14" t="s">
        <v>361</v>
      </c>
      <c r="Y4" s="102" t="s">
        <v>39</v>
      </c>
      <c r="Z4" s="103" t="s">
        <v>5321</v>
      </c>
      <c r="AA4" s="103" t="s">
        <v>362</v>
      </c>
      <c r="AB4" s="46" t="s">
        <v>5385</v>
      </c>
      <c r="AC4" s="182" t="s">
        <v>41</v>
      </c>
    </row>
    <row r="5" spans="1:29" x14ac:dyDescent="0.2">
      <c r="A5" s="47" t="s">
        <v>20</v>
      </c>
      <c r="B5" s="36" t="s">
        <v>2614</v>
      </c>
      <c r="C5" s="122" t="s">
        <v>364</v>
      </c>
      <c r="D5" s="1" t="s">
        <v>366</v>
      </c>
      <c r="E5" s="1" t="s">
        <v>366</v>
      </c>
      <c r="F5" s="1" t="s">
        <v>366</v>
      </c>
      <c r="G5" s="1" t="s">
        <v>366</v>
      </c>
      <c r="H5" s="1" t="s">
        <v>366</v>
      </c>
      <c r="I5" s="1" t="s">
        <v>366</v>
      </c>
      <c r="J5" s="17" t="s">
        <v>366</v>
      </c>
      <c r="K5" s="1" t="s">
        <v>366</v>
      </c>
      <c r="L5" s="1" t="s">
        <v>366</v>
      </c>
      <c r="M5" s="1" t="s">
        <v>366</v>
      </c>
      <c r="N5" s="1" t="s">
        <v>366</v>
      </c>
      <c r="O5" s="1" t="s">
        <v>366</v>
      </c>
      <c r="P5" s="1" t="s">
        <v>366</v>
      </c>
      <c r="Q5" s="17" t="s">
        <v>366</v>
      </c>
      <c r="R5" s="222">
        <f t="shared" ref="R5:T7" si="0">C12</f>
        <v>0.377</v>
      </c>
      <c r="S5" s="222">
        <f t="shared" si="0"/>
        <v>0.48614583333333333</v>
      </c>
      <c r="T5" s="222">
        <f t="shared" si="0"/>
        <v>0.71500000000000086</v>
      </c>
      <c r="U5" s="233">
        <f>'Wall Sheathing Data'!AE4</f>
        <v>2</v>
      </c>
      <c r="V5" s="335">
        <f>'Wall Sheathing Data'!AF4</f>
        <v>2.1842105263157894</v>
      </c>
      <c r="W5" s="235" t="s">
        <v>366</v>
      </c>
      <c r="X5" s="334" t="s">
        <v>366</v>
      </c>
      <c r="Y5" s="47">
        <v>11</v>
      </c>
      <c r="Z5" s="36" t="s">
        <v>5442</v>
      </c>
      <c r="AA5" s="36" t="s">
        <v>370</v>
      </c>
      <c r="AB5" s="36" t="s">
        <v>5392</v>
      </c>
      <c r="AC5" s="49"/>
    </row>
    <row r="6" spans="1:29" x14ac:dyDescent="0.2">
      <c r="A6" s="18" t="s">
        <v>20</v>
      </c>
      <c r="B6" t="s">
        <v>371</v>
      </c>
      <c r="C6" s="16" t="s">
        <v>364</v>
      </c>
      <c r="D6" s="1" t="s">
        <v>366</v>
      </c>
      <c r="E6" s="1" t="s">
        <v>366</v>
      </c>
      <c r="F6" s="1" t="s">
        <v>366</v>
      </c>
      <c r="G6" s="1" t="s">
        <v>366</v>
      </c>
      <c r="H6" s="1" t="s">
        <v>366</v>
      </c>
      <c r="I6" s="1" t="s">
        <v>366</v>
      </c>
      <c r="J6" s="17" t="s">
        <v>366</v>
      </c>
      <c r="K6" s="1" t="s">
        <v>366</v>
      </c>
      <c r="L6" s="1" t="s">
        <v>366</v>
      </c>
      <c r="M6" s="1" t="s">
        <v>366</v>
      </c>
      <c r="N6" s="1" t="s">
        <v>366</v>
      </c>
      <c r="O6" s="1" t="s">
        <v>366</v>
      </c>
      <c r="P6" s="1" t="s">
        <v>366</v>
      </c>
      <c r="Q6" s="17" t="s">
        <v>366</v>
      </c>
      <c r="R6" s="222">
        <f t="shared" si="0"/>
        <v>0.61499999999999999</v>
      </c>
      <c r="S6" s="222">
        <f t="shared" si="0"/>
        <v>0.78</v>
      </c>
      <c r="T6" s="222">
        <f t="shared" si="0"/>
        <v>1.0415650818182129</v>
      </c>
      <c r="U6" s="233">
        <f>'Wall Sheathing Data'!AE5</f>
        <v>2</v>
      </c>
      <c r="V6" s="335">
        <f>'Wall Sheathing Data'!AF5</f>
        <v>2.8209459459459461</v>
      </c>
      <c r="W6" s="334" t="s">
        <v>366</v>
      </c>
      <c r="X6" s="334" t="s">
        <v>366</v>
      </c>
      <c r="Y6" s="18">
        <v>11</v>
      </c>
      <c r="Z6" t="s">
        <v>5442</v>
      </c>
      <c r="AA6" t="s">
        <v>370</v>
      </c>
      <c r="AB6" t="s">
        <v>5392</v>
      </c>
      <c r="AC6" s="49"/>
    </row>
    <row r="7" spans="1:29" ht="16" thickBot="1" x14ac:dyDescent="0.25">
      <c r="A7" s="23" t="s">
        <v>20</v>
      </c>
      <c r="B7" s="15" t="s">
        <v>3072</v>
      </c>
      <c r="C7" s="20" t="s">
        <v>364</v>
      </c>
      <c r="D7" s="21" t="s">
        <v>366</v>
      </c>
      <c r="E7" s="21" t="s">
        <v>366</v>
      </c>
      <c r="F7" s="21" t="s">
        <v>366</v>
      </c>
      <c r="G7" s="21" t="s">
        <v>366</v>
      </c>
      <c r="H7" s="21" t="s">
        <v>366</v>
      </c>
      <c r="I7" s="21" t="s">
        <v>366</v>
      </c>
      <c r="J7" s="22" t="s">
        <v>366</v>
      </c>
      <c r="K7" s="21" t="s">
        <v>366</v>
      </c>
      <c r="L7" s="21" t="s">
        <v>366</v>
      </c>
      <c r="M7" s="21" t="s">
        <v>366</v>
      </c>
      <c r="N7" s="21" t="s">
        <v>366</v>
      </c>
      <c r="O7" s="21" t="s">
        <v>366</v>
      </c>
      <c r="P7" s="21" t="s">
        <v>366</v>
      </c>
      <c r="Q7" s="22" t="s">
        <v>366</v>
      </c>
      <c r="R7" s="223">
        <f t="shared" si="0"/>
        <v>0.70625000000000004</v>
      </c>
      <c r="S7" s="223">
        <f t="shared" si="0"/>
        <v>2.1131250000000001</v>
      </c>
      <c r="T7" s="223">
        <f t="shared" si="0"/>
        <v>4.3724999999999996</v>
      </c>
      <c r="U7" s="234">
        <f>'Wall Sheathing Data'!AE6</f>
        <v>2</v>
      </c>
      <c r="V7" s="336">
        <f>'Wall Sheathing Data'!AF6</f>
        <v>2.6764091858037578</v>
      </c>
      <c r="W7" s="236" t="s">
        <v>366</v>
      </c>
      <c r="X7" s="236" t="s">
        <v>366</v>
      </c>
      <c r="Y7" s="23">
        <v>11</v>
      </c>
      <c r="Z7" s="15" t="s">
        <v>5442</v>
      </c>
      <c r="AA7" s="15" t="s">
        <v>370</v>
      </c>
      <c r="AB7" s="15" t="s">
        <v>5390</v>
      </c>
      <c r="AC7" s="50"/>
    </row>
    <row r="10" spans="1:29" ht="16" thickBot="1" x14ac:dyDescent="0.25"/>
    <row r="11" spans="1:29" ht="16" thickBot="1" x14ac:dyDescent="0.25">
      <c r="A11" s="124" t="s">
        <v>27</v>
      </c>
      <c r="B11" s="125" t="s">
        <v>4767</v>
      </c>
      <c r="C11" s="125" t="s">
        <v>1148</v>
      </c>
      <c r="D11" s="125" t="s">
        <v>1149</v>
      </c>
      <c r="E11" s="126" t="s">
        <v>1150</v>
      </c>
    </row>
    <row r="12" spans="1:29" x14ac:dyDescent="0.2">
      <c r="A12" s="104" t="s">
        <v>2614</v>
      </c>
      <c r="B12" cm="1">
        <f t="array" ref="B12">COUNT(IF('Wall Sheathing Data'!A:A="Drywall",'Wall Sheathing Data'!K:K),0.1)</f>
        <v>31</v>
      </c>
      <c r="C12" s="39" cm="1">
        <f t="array" ref="C12">_xlfn.PERCENTILE.INC(IF('Wall Sheathing Data'!A:A="Drywall",'Wall Sheathing Data'!K:K),0.1)</f>
        <v>0.377</v>
      </c>
      <c r="D12" s="39" cm="1">
        <f t="array" ref="D12">_xlfn.PERCENTILE.INC(IF('Wall Sheathing Data'!A:A="Drywall",'Wall Sheathing Data'!K:K),0.5)</f>
        <v>0.48614583333333333</v>
      </c>
      <c r="E12" s="39" cm="1">
        <f t="array" ref="E12">_xlfn.PERCENTILE.INC(IF('Wall Sheathing Data'!A:A="Drywall",'Wall Sheathing Data'!K:K),0.9)</f>
        <v>0.71500000000000086</v>
      </c>
    </row>
    <row r="13" spans="1:29" x14ac:dyDescent="0.2">
      <c r="A13" s="219" t="s">
        <v>371</v>
      </c>
      <c r="B13" cm="1">
        <f t="array" ref="B13">COUNT(IF('Wall Sheathing Data'!B:B="OSB",'Wall Sheathing Data'!K:K),0.1)</f>
        <v>12</v>
      </c>
      <c r="C13" s="39" cm="1">
        <f t="array" ref="C13">_xlfn.PERCENTILE.INC(IF('Wall Sheathing Data'!B:B="OSB",'Wall Sheathing Data'!K:K),0.1)</f>
        <v>0.61499999999999999</v>
      </c>
      <c r="D13" s="39" cm="1">
        <f t="array" ref="D13">_xlfn.PERCENTILE.INC(IF('Wall Sheathing Data'!B:B="OSB",'Wall Sheathing Data'!K:K),0.5)</f>
        <v>0.78</v>
      </c>
      <c r="E13" s="39" cm="1">
        <f t="array" ref="E13">_xlfn.PERCENTILE.INC(IF('Wall Sheathing Data'!B:B="OSB",'Wall Sheathing Data'!K:K),0.9)</f>
        <v>1.0415650818182129</v>
      </c>
      <c r="J13" s="41"/>
    </row>
    <row r="14" spans="1:29" x14ac:dyDescent="0.2">
      <c r="A14" s="38" t="s">
        <v>3072</v>
      </c>
      <c r="B14" cm="1">
        <f t="array" ref="B14">COUNT(IF('Wall Sheathing Data'!B:B="Plywood",'Wall Sheathing Data'!K:K),0.1)</f>
        <v>28</v>
      </c>
      <c r="C14" s="39" cm="1">
        <f t="array" ref="C14">_xlfn.PERCENTILE.INC(IF('Wall Sheathing Data'!B:B="Plywood",'Wall Sheathing Data'!K:K),0.1)</f>
        <v>0.70625000000000004</v>
      </c>
      <c r="D14" s="39" cm="1">
        <f t="array" ref="D14">_xlfn.PERCENTILE.INC(IF('Wall Sheathing Data'!B:B="Plywood",'Wall Sheathing Data'!K:K),0.5)</f>
        <v>2.1131250000000001</v>
      </c>
      <c r="E14" s="39" cm="1">
        <f t="array" ref="E14">_xlfn.PERCENTILE.INC(IF('Wall Sheathing Data'!B:B="Plywood",'Wall Sheathing Data'!K:K),0.9)</f>
        <v>4.3724999999999996</v>
      </c>
    </row>
  </sheetData>
  <mergeCells count="7">
    <mergeCell ref="W3:X3"/>
    <mergeCell ref="Y3:AC3"/>
    <mergeCell ref="A3:C3"/>
    <mergeCell ref="D3:J3"/>
    <mergeCell ref="K3:Q3"/>
    <mergeCell ref="R3:T3"/>
    <mergeCell ref="U3:V3"/>
  </mergeCells>
  <hyperlinks>
    <hyperlink ref="A1" location="'Table of Contents'!A1" display="Table of Contents" xr:uid="{863F2525-426B-4007-A233-5B8803B8673A}"/>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D36CC-41D6-4A15-8607-E1BE35C09678}">
  <dimension ref="A1:AK335"/>
  <sheetViews>
    <sheetView zoomScale="110" zoomScaleNormal="110" workbookViewId="0">
      <selection activeCell="A2" sqref="A2"/>
    </sheetView>
  </sheetViews>
  <sheetFormatPr baseColWidth="10" defaultColWidth="8.83203125" defaultRowHeight="15" x14ac:dyDescent="0.2"/>
  <cols>
    <col min="1" max="1" width="16.33203125" customWidth="1"/>
    <col min="2" max="3" width="14.5" customWidth="1"/>
    <col min="6" max="6" width="12" bestFit="1" customWidth="1"/>
    <col min="7" max="8" width="19.5" bestFit="1" customWidth="1"/>
    <col min="9" max="10" width="19.5" customWidth="1"/>
    <col min="11" max="11" width="26.83203125" customWidth="1"/>
    <col min="12" max="12" width="20.83203125" customWidth="1"/>
    <col min="13" max="13" width="13.6640625" style="39" customWidth="1"/>
    <col min="14" max="14" width="13.5" customWidth="1"/>
    <col min="15" max="15" width="11.5" customWidth="1"/>
    <col min="16" max="16" width="11.5" bestFit="1" customWidth="1"/>
    <col min="17" max="17" width="13.5" customWidth="1"/>
    <col min="18" max="18" width="13" customWidth="1"/>
    <col min="19" max="19" width="12.5" customWidth="1"/>
    <col min="20" max="20" width="10" customWidth="1"/>
    <col min="22" max="22" width="14.5" customWidth="1"/>
    <col min="23" max="23" width="11.5" bestFit="1" customWidth="1"/>
    <col min="24" max="24" width="12.5" customWidth="1"/>
    <col min="25" max="25" width="11" bestFit="1" customWidth="1"/>
    <col min="26" max="26" width="11" customWidth="1"/>
    <col min="29" max="29" width="14.5" customWidth="1"/>
    <col min="30" max="30" width="12.5" customWidth="1"/>
    <col min="31" max="31" width="10.5" customWidth="1"/>
    <col min="32" max="32" width="10.1640625" customWidth="1"/>
    <col min="33" max="33" width="10.33203125" customWidth="1"/>
    <col min="35" max="35" width="19.5" customWidth="1"/>
    <col min="36" max="36" width="21.6640625" customWidth="1"/>
  </cols>
  <sheetData>
    <row r="1" spans="1:37" x14ac:dyDescent="0.2">
      <c r="A1" s="51" t="s">
        <v>21</v>
      </c>
    </row>
    <row r="2" spans="1:37" ht="19" x14ac:dyDescent="0.25">
      <c r="A2" s="24" t="s">
        <v>22</v>
      </c>
      <c r="G2" s="40" t="s">
        <v>1152</v>
      </c>
      <c r="H2" s="40" t="s">
        <v>1318</v>
      </c>
      <c r="N2" s="40" t="s">
        <v>5305</v>
      </c>
      <c r="AB2" s="169" t="s">
        <v>23</v>
      </c>
      <c r="AC2" s="64"/>
      <c r="AD2" s="170"/>
      <c r="AE2" s="170"/>
      <c r="AF2" s="170"/>
      <c r="AG2" s="170"/>
      <c r="AH2" s="445" t="s">
        <v>24</v>
      </c>
      <c r="AI2" s="446"/>
      <c r="AJ2" s="170"/>
      <c r="AK2" s="170"/>
    </row>
    <row r="3" spans="1:37" s="70" customFormat="1" ht="48" x14ac:dyDescent="0.2">
      <c r="A3" s="59" t="s">
        <v>0</v>
      </c>
      <c r="B3" s="60" t="s">
        <v>348</v>
      </c>
      <c r="C3" s="337" t="s">
        <v>1324</v>
      </c>
      <c r="D3" s="69" t="s">
        <v>389</v>
      </c>
      <c r="E3" s="69" t="s">
        <v>1319</v>
      </c>
      <c r="F3" s="69" t="s">
        <v>1320</v>
      </c>
      <c r="G3" s="69" t="s">
        <v>1321</v>
      </c>
      <c r="H3" s="69" t="s">
        <v>1322</v>
      </c>
      <c r="I3" s="69" t="s">
        <v>3388</v>
      </c>
      <c r="J3" s="69" t="s">
        <v>3075</v>
      </c>
      <c r="K3" s="69" t="s">
        <v>1323</v>
      </c>
      <c r="L3" s="69" t="s">
        <v>27</v>
      </c>
      <c r="M3" s="71" t="s">
        <v>395</v>
      </c>
      <c r="N3" s="60" t="s">
        <v>33</v>
      </c>
      <c r="O3" s="60" t="s">
        <v>34</v>
      </c>
      <c r="P3" s="60" t="s">
        <v>1325</v>
      </c>
      <c r="Q3" s="60" t="s">
        <v>1326</v>
      </c>
      <c r="R3" s="60" t="s">
        <v>37</v>
      </c>
      <c r="S3" s="60" t="s">
        <v>1327</v>
      </c>
      <c r="T3" s="60" t="s">
        <v>39</v>
      </c>
      <c r="U3" s="62" t="s">
        <v>40</v>
      </c>
      <c r="V3" s="62" t="s">
        <v>41</v>
      </c>
      <c r="W3" s="62" t="s">
        <v>43</v>
      </c>
      <c r="X3" s="69" t="s">
        <v>44</v>
      </c>
      <c r="Y3" s="123" t="s">
        <v>57</v>
      </c>
      <c r="Z3" s="123" t="s">
        <v>3434</v>
      </c>
      <c r="AB3" s="171" t="s">
        <v>0</v>
      </c>
      <c r="AC3" s="172" t="s">
        <v>25</v>
      </c>
      <c r="AD3" s="172" t="s">
        <v>58</v>
      </c>
      <c r="AE3" s="172" t="s">
        <v>59</v>
      </c>
      <c r="AF3" s="172" t="s">
        <v>60</v>
      </c>
      <c r="AG3" s="172" t="s">
        <v>61</v>
      </c>
      <c r="AH3" s="172" t="s">
        <v>62</v>
      </c>
      <c r="AI3" s="172" t="s">
        <v>63</v>
      </c>
      <c r="AJ3" s="172" t="s">
        <v>64</v>
      </c>
      <c r="AK3" s="173" t="s">
        <v>43</v>
      </c>
    </row>
    <row r="4" spans="1:37" hidden="1" x14ac:dyDescent="0.2">
      <c r="A4" t="s">
        <v>1328</v>
      </c>
      <c r="B4" t="s">
        <v>3398</v>
      </c>
      <c r="D4" s="64" t="s">
        <v>1329</v>
      </c>
      <c r="E4" s="64" t="s">
        <v>1330</v>
      </c>
      <c r="F4" s="64" t="s">
        <v>1331</v>
      </c>
      <c r="G4" s="64">
        <v>0.5</v>
      </c>
      <c r="H4" s="64">
        <v>0.68</v>
      </c>
      <c r="I4" s="64" t="s">
        <v>3377</v>
      </c>
      <c r="J4" s="64">
        <v>2160</v>
      </c>
      <c r="K4" s="64" t="s">
        <v>1332</v>
      </c>
      <c r="L4" s="64" t="s">
        <v>401</v>
      </c>
      <c r="M4" s="65">
        <v>2992.57</v>
      </c>
      <c r="N4" s="66">
        <f>Table16[[#This Row],[Price]]/Table16[[#This Row],[Area (sq. in)]]*144</f>
        <v>199.50466666666668</v>
      </c>
      <c r="U4">
        <v>2023</v>
      </c>
      <c r="V4" t="s">
        <v>3310</v>
      </c>
      <c r="W4" t="s">
        <v>99</v>
      </c>
      <c r="X4" s="64" t="s">
        <v>1356</v>
      </c>
      <c r="Y4" t="s">
        <v>71</v>
      </c>
      <c r="Z4" t="s">
        <v>71</v>
      </c>
      <c r="AB4" s="25" t="s">
        <v>1328</v>
      </c>
      <c r="AC4" s="25"/>
      <c r="AD4" s="197">
        <f>AVERAGE(P227:P267,P283:P335)</f>
        <v>145.66438356164383</v>
      </c>
      <c r="AE4" s="197">
        <f>AVERAGE(S$227:S$1048576)</f>
        <v>169.05</v>
      </c>
      <c r="AF4" s="197">
        <f>AD4</f>
        <v>145.66438356164383</v>
      </c>
      <c r="AG4" s="197">
        <f>AF4+AE4</f>
        <v>314.71438356164384</v>
      </c>
      <c r="AH4" s="198">
        <f>1+(AD4/AVERAGE(M227,M229:M230,M237:M240,M244:M247,M252,M254:M255,M259:M260,M264:M267,M283:M335))</f>
        <v>1.3137878070264744</v>
      </c>
      <c r="AI4" s="198">
        <f>AH4+(AE4/AVERAGE(M52:M74))</f>
        <v>1.6725950404784211</v>
      </c>
      <c r="AJ4" s="25">
        <v>2021</v>
      </c>
      <c r="AK4" s="25" t="s">
        <v>5517</v>
      </c>
    </row>
    <row r="5" spans="1:37" hidden="1" x14ac:dyDescent="0.2">
      <c r="A5" t="s">
        <v>1328</v>
      </c>
      <c r="B5" t="s">
        <v>3398</v>
      </c>
      <c r="D5" s="64" t="s">
        <v>1329</v>
      </c>
      <c r="E5" s="64" t="s">
        <v>1334</v>
      </c>
      <c r="F5" s="64" t="s">
        <v>1331</v>
      </c>
      <c r="G5" s="64">
        <v>0.5</v>
      </c>
      <c r="H5" s="64">
        <v>0.68</v>
      </c>
      <c r="I5" s="64" t="s">
        <v>3377</v>
      </c>
      <c r="J5" s="64">
        <v>2160</v>
      </c>
      <c r="K5" s="64" t="s">
        <v>1332</v>
      </c>
      <c r="L5" s="64" t="s">
        <v>401</v>
      </c>
      <c r="M5" s="65">
        <v>2526.11</v>
      </c>
      <c r="N5" s="66">
        <f>Table16[[#This Row],[Price]]/Table16[[#This Row],[Area (sq. in)]]*144</f>
        <v>168.40733333333333</v>
      </c>
      <c r="U5">
        <v>2023</v>
      </c>
      <c r="V5" t="s">
        <v>3309</v>
      </c>
      <c r="W5" t="s">
        <v>99</v>
      </c>
      <c r="X5" s="64" t="s">
        <v>1463</v>
      </c>
      <c r="Y5" t="s">
        <v>71</v>
      </c>
      <c r="Z5" t="s">
        <v>71</v>
      </c>
      <c r="AB5" s="25" t="s">
        <v>1328</v>
      </c>
      <c r="AC5" s="25"/>
      <c r="AD5" s="197">
        <f>AVERAGE(P268:P282)</f>
        <v>36.033333333333331</v>
      </c>
      <c r="AE5" s="197">
        <v>36.033333333333331</v>
      </c>
      <c r="AF5" s="197">
        <f>AD5</f>
        <v>36.033333333333331</v>
      </c>
      <c r="AG5" s="197">
        <f>AF5+AE5</f>
        <v>72.066666666666663</v>
      </c>
      <c r="AH5" s="198">
        <f>1+(AD5/AVERAGE(M268:M282))</f>
        <v>1.1456873315363882</v>
      </c>
      <c r="AI5" s="198">
        <f>AH5+(AE5/AVERAGE(M53:M75))</f>
        <v>1.2228370223542624</v>
      </c>
      <c r="AJ5" s="25">
        <v>2021</v>
      </c>
      <c r="AK5" s="25" t="s">
        <v>5518</v>
      </c>
    </row>
    <row r="6" spans="1:37" hidden="1" x14ac:dyDescent="0.2">
      <c r="A6" t="s">
        <v>1328</v>
      </c>
      <c r="B6" t="s">
        <v>3398</v>
      </c>
      <c r="D6" s="64" t="s">
        <v>1329</v>
      </c>
      <c r="E6" s="64" t="s">
        <v>1336</v>
      </c>
      <c r="F6" s="64" t="s">
        <v>1331</v>
      </c>
      <c r="G6" s="64">
        <v>0.5</v>
      </c>
      <c r="H6" s="64">
        <v>0.68</v>
      </c>
      <c r="I6" s="64" t="s">
        <v>3372</v>
      </c>
      <c r="J6" s="64">
        <v>1440</v>
      </c>
      <c r="K6" s="64" t="s">
        <v>1332</v>
      </c>
      <c r="L6" s="64" t="s">
        <v>401</v>
      </c>
      <c r="M6" s="65">
        <v>2309.42</v>
      </c>
      <c r="N6" s="66">
        <f>Table16[[#This Row],[Price]]/Table16[[#This Row],[Area (sq. in)]]*144</f>
        <v>230.94200000000001</v>
      </c>
      <c r="U6">
        <v>2023</v>
      </c>
      <c r="V6" t="s">
        <v>3257</v>
      </c>
      <c r="W6" t="s">
        <v>99</v>
      </c>
      <c r="X6" s="64" t="s">
        <v>1378</v>
      </c>
      <c r="Y6" t="s">
        <v>71</v>
      </c>
      <c r="Z6" t="s">
        <v>72</v>
      </c>
    </row>
    <row r="7" spans="1:37" hidden="1" x14ac:dyDescent="0.2">
      <c r="A7" t="s">
        <v>1328</v>
      </c>
      <c r="B7" t="s">
        <v>3398</v>
      </c>
      <c r="D7" s="64" t="s">
        <v>1329</v>
      </c>
      <c r="E7" s="64" t="s">
        <v>1342</v>
      </c>
      <c r="F7" s="64" t="s">
        <v>1331</v>
      </c>
      <c r="G7" s="64">
        <v>0.5</v>
      </c>
      <c r="H7" s="64">
        <v>0.68</v>
      </c>
      <c r="I7" s="64" t="s">
        <v>3364</v>
      </c>
      <c r="J7" s="64">
        <v>2304</v>
      </c>
      <c r="K7" s="64" t="s">
        <v>1332</v>
      </c>
      <c r="L7" s="64" t="s">
        <v>401</v>
      </c>
      <c r="M7" s="65">
        <v>2258</v>
      </c>
      <c r="N7" s="66">
        <f>Table16[[#This Row],[Price]]/Table16[[#This Row],[Area (sq. in)]]*144</f>
        <v>141.125</v>
      </c>
      <c r="U7">
        <v>2023</v>
      </c>
      <c r="V7" t="s">
        <v>3298</v>
      </c>
      <c r="W7" t="s">
        <v>99</v>
      </c>
      <c r="X7" s="64" t="s">
        <v>1401</v>
      </c>
      <c r="Y7" t="s">
        <v>71</v>
      </c>
      <c r="Z7" t="s">
        <v>72</v>
      </c>
    </row>
    <row r="8" spans="1:37" hidden="1" x14ac:dyDescent="0.2">
      <c r="A8" t="s">
        <v>1328</v>
      </c>
      <c r="B8" t="s">
        <v>3398</v>
      </c>
      <c r="D8" s="64" t="s">
        <v>1329</v>
      </c>
      <c r="E8" s="64" t="s">
        <v>1344</v>
      </c>
      <c r="F8" s="64" t="s">
        <v>1331</v>
      </c>
      <c r="G8" s="64">
        <v>0.5</v>
      </c>
      <c r="H8" s="64">
        <v>0.68</v>
      </c>
      <c r="I8" s="64" t="s">
        <v>3353</v>
      </c>
      <c r="J8" s="64">
        <v>900</v>
      </c>
      <c r="K8" s="64" t="s">
        <v>1332</v>
      </c>
      <c r="L8" s="64" t="s">
        <v>401</v>
      </c>
      <c r="M8" s="65">
        <v>1868</v>
      </c>
      <c r="N8" s="66">
        <f>Table16[[#This Row],[Price]]/Table16[[#This Row],[Area (sq. in)]]*144</f>
        <v>298.88</v>
      </c>
      <c r="U8">
        <v>2023</v>
      </c>
      <c r="V8" t="s">
        <v>3266</v>
      </c>
      <c r="W8" t="s">
        <v>99</v>
      </c>
      <c r="X8" s="64" t="s">
        <v>1424</v>
      </c>
      <c r="Y8" t="s">
        <v>71</v>
      </c>
      <c r="Z8" t="s">
        <v>72</v>
      </c>
    </row>
    <row r="9" spans="1:37" hidden="1" x14ac:dyDescent="0.2">
      <c r="A9" t="s">
        <v>1328</v>
      </c>
      <c r="B9" t="s">
        <v>3398</v>
      </c>
      <c r="D9" s="64" t="s">
        <v>1329</v>
      </c>
      <c r="E9" s="64" t="s">
        <v>1349</v>
      </c>
      <c r="F9" s="64" t="s">
        <v>1331</v>
      </c>
      <c r="G9" s="64">
        <v>0.5</v>
      </c>
      <c r="H9" s="64">
        <v>0.68</v>
      </c>
      <c r="I9" s="64" t="s">
        <v>3364</v>
      </c>
      <c r="J9" s="64">
        <v>2304</v>
      </c>
      <c r="K9" s="64" t="s">
        <v>1332</v>
      </c>
      <c r="L9" s="64" t="s">
        <v>401</v>
      </c>
      <c r="M9" s="65">
        <v>1808</v>
      </c>
      <c r="N9" s="66">
        <f>Table16[[#This Row],[Price]]/Table16[[#This Row],[Area (sq. in)]]*144</f>
        <v>113</v>
      </c>
      <c r="U9">
        <v>2023</v>
      </c>
      <c r="V9" t="s">
        <v>3188</v>
      </c>
      <c r="W9" t="s">
        <v>99</v>
      </c>
      <c r="X9" s="64" t="s">
        <v>1467</v>
      </c>
      <c r="Y9" t="s">
        <v>71</v>
      </c>
      <c r="Z9" t="s">
        <v>72</v>
      </c>
    </row>
    <row r="10" spans="1:37" hidden="1" x14ac:dyDescent="0.2">
      <c r="A10" t="s">
        <v>1328</v>
      </c>
      <c r="B10" t="s">
        <v>3398</v>
      </c>
      <c r="D10" s="64" t="s">
        <v>1329</v>
      </c>
      <c r="E10" s="64" t="s">
        <v>1351</v>
      </c>
      <c r="F10" s="64" t="s">
        <v>1331</v>
      </c>
      <c r="G10" s="64">
        <v>0.5</v>
      </c>
      <c r="H10" s="64">
        <v>0.68</v>
      </c>
      <c r="I10" s="64" t="s">
        <v>3364</v>
      </c>
      <c r="J10" s="64">
        <v>2304</v>
      </c>
      <c r="K10" s="64" t="s">
        <v>1332</v>
      </c>
      <c r="L10" s="64" t="s">
        <v>401</v>
      </c>
      <c r="M10" s="65">
        <v>1798</v>
      </c>
      <c r="N10" s="66">
        <f>Table16[[#This Row],[Price]]/Table16[[#This Row],[Area (sq. in)]]*144</f>
        <v>112.375</v>
      </c>
      <c r="U10">
        <v>2023</v>
      </c>
      <c r="V10" t="s">
        <v>3305</v>
      </c>
      <c r="W10" t="s">
        <v>99</v>
      </c>
      <c r="X10" s="64" t="s">
        <v>1345</v>
      </c>
      <c r="Y10" t="s">
        <v>71</v>
      </c>
      <c r="Z10" t="s">
        <v>72</v>
      </c>
    </row>
    <row r="11" spans="1:37" hidden="1" x14ac:dyDescent="0.2">
      <c r="A11" t="s">
        <v>1328</v>
      </c>
      <c r="B11" t="s">
        <v>3398</v>
      </c>
      <c r="D11" s="64" t="s">
        <v>1329</v>
      </c>
      <c r="E11" s="64" t="s">
        <v>1353</v>
      </c>
      <c r="F11" s="64" t="s">
        <v>1331</v>
      </c>
      <c r="G11" s="64">
        <v>0.5</v>
      </c>
      <c r="H11" s="64">
        <v>0.68</v>
      </c>
      <c r="I11" s="64" t="s">
        <v>3353</v>
      </c>
      <c r="J11" s="64">
        <v>900</v>
      </c>
      <c r="K11" s="64" t="s">
        <v>1332</v>
      </c>
      <c r="L11" s="64" t="s">
        <v>401</v>
      </c>
      <c r="M11" s="65">
        <v>1758</v>
      </c>
      <c r="N11" s="66">
        <f>Table16[[#This Row],[Price]]/Table16[[#This Row],[Area (sq. in)]]*144</f>
        <v>281.28000000000003</v>
      </c>
      <c r="U11">
        <v>2023</v>
      </c>
      <c r="V11" t="s">
        <v>3302</v>
      </c>
      <c r="W11" t="s">
        <v>99</v>
      </c>
      <c r="X11" s="64" t="s">
        <v>1354</v>
      </c>
      <c r="Y11" t="s">
        <v>71</v>
      </c>
      <c r="Z11" t="s">
        <v>72</v>
      </c>
    </row>
    <row r="12" spans="1:37" hidden="1" x14ac:dyDescent="0.2">
      <c r="A12" t="s">
        <v>1328</v>
      </c>
      <c r="B12" t="s">
        <v>3398</v>
      </c>
      <c r="D12" s="64" t="s">
        <v>1329</v>
      </c>
      <c r="E12" s="64" t="s">
        <v>1355</v>
      </c>
      <c r="F12" s="64" t="s">
        <v>1331</v>
      </c>
      <c r="G12" s="64">
        <v>0.5</v>
      </c>
      <c r="H12" s="64">
        <v>0.68</v>
      </c>
      <c r="I12" s="64" t="s">
        <v>3355</v>
      </c>
      <c r="J12" s="64">
        <v>324</v>
      </c>
      <c r="K12" s="64" t="s">
        <v>1332</v>
      </c>
      <c r="L12" s="64" t="s">
        <v>401</v>
      </c>
      <c r="M12" s="65">
        <v>1728</v>
      </c>
      <c r="N12" s="66">
        <f>Table16[[#This Row],[Price]]/Table16[[#This Row],[Area (sq. in)]]*144</f>
        <v>768</v>
      </c>
      <c r="U12">
        <v>2023</v>
      </c>
      <c r="V12" t="s">
        <v>3157</v>
      </c>
      <c r="W12" t="s">
        <v>99</v>
      </c>
      <c r="X12" s="64" t="s">
        <v>1493</v>
      </c>
      <c r="Y12" t="s">
        <v>71</v>
      </c>
      <c r="Z12" t="s">
        <v>72</v>
      </c>
    </row>
    <row r="13" spans="1:37" hidden="1" x14ac:dyDescent="0.2">
      <c r="A13" t="s">
        <v>1328</v>
      </c>
      <c r="B13" t="s">
        <v>3398</v>
      </c>
      <c r="D13" s="64" t="s">
        <v>1329</v>
      </c>
      <c r="E13" s="64" t="s">
        <v>1357</v>
      </c>
      <c r="F13" s="64" t="s">
        <v>1331</v>
      </c>
      <c r="G13" s="64">
        <v>0.5</v>
      </c>
      <c r="H13" s="64">
        <v>0.68</v>
      </c>
      <c r="I13" s="64" t="s">
        <v>3363</v>
      </c>
      <c r="J13" s="64">
        <v>1296</v>
      </c>
      <c r="K13" s="64" t="s">
        <v>1332</v>
      </c>
      <c r="L13" s="64" t="s">
        <v>401</v>
      </c>
      <c r="M13" s="65">
        <v>1718</v>
      </c>
      <c r="N13" s="66">
        <f>Table16[[#This Row],[Price]]/Table16[[#This Row],[Area (sq. in)]]*144</f>
        <v>190.88888888888889</v>
      </c>
      <c r="U13">
        <v>2023</v>
      </c>
      <c r="V13" t="s">
        <v>3269</v>
      </c>
      <c r="W13" t="s">
        <v>99</v>
      </c>
      <c r="X13" s="64" t="s">
        <v>1414</v>
      </c>
      <c r="Y13" t="s">
        <v>71</v>
      </c>
      <c r="Z13" t="s">
        <v>72</v>
      </c>
    </row>
    <row r="14" spans="1:37" hidden="1" x14ac:dyDescent="0.2">
      <c r="A14" t="s">
        <v>1328</v>
      </c>
      <c r="B14" t="s">
        <v>3398</v>
      </c>
      <c r="D14" s="64" t="s">
        <v>1329</v>
      </c>
      <c r="E14" s="64" t="s">
        <v>1375</v>
      </c>
      <c r="F14" s="64" t="s">
        <v>1331</v>
      </c>
      <c r="G14" s="64">
        <v>0.5</v>
      </c>
      <c r="H14" s="64">
        <v>0.68</v>
      </c>
      <c r="I14" s="64" t="s">
        <v>3372</v>
      </c>
      <c r="J14" s="64">
        <v>1440</v>
      </c>
      <c r="K14" s="64" t="s">
        <v>1332</v>
      </c>
      <c r="L14" s="64" t="s">
        <v>401</v>
      </c>
      <c r="M14" s="65">
        <v>1678</v>
      </c>
      <c r="N14" s="66">
        <f>Table16[[#This Row],[Price]]/Table16[[#This Row],[Area (sq. in)]]*144</f>
        <v>167.8</v>
      </c>
      <c r="U14">
        <v>2023</v>
      </c>
      <c r="V14" t="s">
        <v>3279</v>
      </c>
      <c r="W14" t="s">
        <v>99</v>
      </c>
      <c r="X14" s="64" t="s">
        <v>1426</v>
      </c>
      <c r="Y14" t="s">
        <v>71</v>
      </c>
      <c r="Z14" t="s">
        <v>72</v>
      </c>
    </row>
    <row r="15" spans="1:37" hidden="1" x14ac:dyDescent="0.2">
      <c r="A15" t="s">
        <v>1328</v>
      </c>
      <c r="B15" t="s">
        <v>3398</v>
      </c>
      <c r="D15" s="64" t="s">
        <v>1329</v>
      </c>
      <c r="E15" s="64" t="s">
        <v>1377</v>
      </c>
      <c r="F15" s="64" t="s">
        <v>1331</v>
      </c>
      <c r="G15" s="64">
        <v>0.5</v>
      </c>
      <c r="H15" s="64">
        <v>0.68</v>
      </c>
      <c r="I15" s="64" t="s">
        <v>3324</v>
      </c>
      <c r="J15" s="64">
        <v>576</v>
      </c>
      <c r="K15" s="64" t="s">
        <v>1332</v>
      </c>
      <c r="L15" s="64" t="s">
        <v>401</v>
      </c>
      <c r="M15" s="65">
        <v>1678</v>
      </c>
      <c r="N15" s="66">
        <f>Table16[[#This Row],[Price]]/Table16[[#This Row],[Area (sq. in)]]*144</f>
        <v>419.5</v>
      </c>
      <c r="U15">
        <v>2023</v>
      </c>
      <c r="V15" t="s">
        <v>3295</v>
      </c>
      <c r="W15" t="s">
        <v>99</v>
      </c>
      <c r="X15" s="64" t="s">
        <v>1431</v>
      </c>
      <c r="Y15" t="s">
        <v>71</v>
      </c>
      <c r="Z15" t="s">
        <v>72</v>
      </c>
    </row>
    <row r="16" spans="1:37" hidden="1" x14ac:dyDescent="0.2">
      <c r="A16" t="s">
        <v>1328</v>
      </c>
      <c r="B16" t="s">
        <v>3398</v>
      </c>
      <c r="D16" s="64" t="s">
        <v>1329</v>
      </c>
      <c r="E16" s="64" t="s">
        <v>1388</v>
      </c>
      <c r="F16" s="64" t="s">
        <v>1331</v>
      </c>
      <c r="G16" s="64">
        <v>0.5</v>
      </c>
      <c r="H16" s="64">
        <v>0.68</v>
      </c>
      <c r="I16" s="64" t="s">
        <v>3364</v>
      </c>
      <c r="J16" s="64">
        <v>2304</v>
      </c>
      <c r="K16" s="64" t="s">
        <v>1332</v>
      </c>
      <c r="L16" s="64" t="s">
        <v>401</v>
      </c>
      <c r="M16" s="65">
        <v>1648</v>
      </c>
      <c r="N16" s="66">
        <f>Table16[[#This Row],[Price]]/Table16[[#This Row],[Area (sq. in)]]*144</f>
        <v>103</v>
      </c>
      <c r="U16">
        <v>2023</v>
      </c>
      <c r="V16" t="s">
        <v>3267</v>
      </c>
      <c r="W16" t="s">
        <v>99</v>
      </c>
      <c r="X16" s="64" t="s">
        <v>1418</v>
      </c>
      <c r="Y16" t="s">
        <v>71</v>
      </c>
      <c r="Z16" t="s">
        <v>72</v>
      </c>
    </row>
    <row r="17" spans="1:26" hidden="1" x14ac:dyDescent="0.2">
      <c r="A17" t="s">
        <v>1328</v>
      </c>
      <c r="B17" t="s">
        <v>3398</v>
      </c>
      <c r="D17" s="64" t="s">
        <v>1329</v>
      </c>
      <c r="E17" s="64" t="s">
        <v>1400</v>
      </c>
      <c r="F17" s="64" t="s">
        <v>1331</v>
      </c>
      <c r="G17" s="64">
        <v>0.5</v>
      </c>
      <c r="H17" s="64">
        <v>0.68</v>
      </c>
      <c r="I17" s="64" t="s">
        <v>3324</v>
      </c>
      <c r="J17" s="64">
        <v>576</v>
      </c>
      <c r="K17" s="64" t="s">
        <v>1332</v>
      </c>
      <c r="L17" s="64" t="s">
        <v>401</v>
      </c>
      <c r="M17" s="65">
        <v>1648</v>
      </c>
      <c r="N17" s="66">
        <f>Table16[[#This Row],[Price]]/Table16[[#This Row],[Area (sq. in)]]*144</f>
        <v>412</v>
      </c>
      <c r="U17">
        <v>2023</v>
      </c>
      <c r="V17" t="s">
        <v>3294</v>
      </c>
      <c r="W17" t="s">
        <v>99</v>
      </c>
      <c r="X17" s="64" t="s">
        <v>1337</v>
      </c>
      <c r="Y17" t="s">
        <v>71</v>
      </c>
      <c r="Z17" t="s">
        <v>72</v>
      </c>
    </row>
    <row r="18" spans="1:26" x14ac:dyDescent="0.2">
      <c r="A18" t="s">
        <v>1328</v>
      </c>
      <c r="B18" t="s">
        <v>3398</v>
      </c>
      <c r="D18" s="64" t="s">
        <v>1444</v>
      </c>
      <c r="E18" s="64" t="s">
        <v>1578</v>
      </c>
      <c r="F18" s="64" t="s">
        <v>1366</v>
      </c>
      <c r="G18" s="64">
        <v>1.25</v>
      </c>
      <c r="H18" s="64">
        <v>0.8</v>
      </c>
      <c r="I18" s="64" t="s">
        <v>3347</v>
      </c>
      <c r="J18" s="64">
        <v>742.5625</v>
      </c>
      <c r="K18" s="64" t="s">
        <v>1446</v>
      </c>
      <c r="L18" s="64" t="s">
        <v>917</v>
      </c>
      <c r="M18" s="65">
        <v>664.2</v>
      </c>
      <c r="N18" s="66">
        <f>Table16[[#This Row],[Price]]/Table16[[#This Row],[Area (sq. in)]]*144</f>
        <v>128.80370339197037</v>
      </c>
      <c r="U18">
        <v>2023</v>
      </c>
      <c r="V18" t="s">
        <v>3189</v>
      </c>
      <c r="W18" t="s">
        <v>99</v>
      </c>
      <c r="X18" s="64" t="s">
        <v>1437</v>
      </c>
      <c r="Y18" t="s">
        <v>71</v>
      </c>
      <c r="Z18" t="s">
        <v>72</v>
      </c>
    </row>
    <row r="19" spans="1:26" x14ac:dyDescent="0.2">
      <c r="A19" t="s">
        <v>1328</v>
      </c>
      <c r="B19" t="s">
        <v>3398</v>
      </c>
      <c r="D19" s="64" t="s">
        <v>1444</v>
      </c>
      <c r="E19" s="64" t="s">
        <v>1445</v>
      </c>
      <c r="F19" s="64" t="s">
        <v>1366</v>
      </c>
      <c r="G19" s="64">
        <v>1.25</v>
      </c>
      <c r="H19" s="64">
        <v>0.8</v>
      </c>
      <c r="I19" s="64" t="s">
        <v>3347</v>
      </c>
      <c r="J19" s="64">
        <v>742.5625</v>
      </c>
      <c r="K19" s="64" t="s">
        <v>1446</v>
      </c>
      <c r="L19" s="64" t="s">
        <v>917</v>
      </c>
      <c r="M19" s="65">
        <v>635.4</v>
      </c>
      <c r="N19" s="66">
        <f>Table16[[#This Row],[Price]]/Table16[[#This Row],[Area (sq. in)]]*144</f>
        <v>123.21871896305025</v>
      </c>
      <c r="U19">
        <v>2023</v>
      </c>
      <c r="V19" t="s">
        <v>3123</v>
      </c>
      <c r="W19" t="s">
        <v>99</v>
      </c>
      <c r="X19" s="64" t="s">
        <v>1443</v>
      </c>
      <c r="Y19" t="s">
        <v>71</v>
      </c>
      <c r="Z19" t="s">
        <v>72</v>
      </c>
    </row>
    <row r="20" spans="1:26" hidden="1" x14ac:dyDescent="0.2">
      <c r="A20" t="s">
        <v>1328</v>
      </c>
      <c r="B20" t="s">
        <v>3398</v>
      </c>
      <c r="D20" s="64" t="s">
        <v>1329</v>
      </c>
      <c r="E20" s="64" t="s">
        <v>1413</v>
      </c>
      <c r="F20" s="64" t="s">
        <v>1331</v>
      </c>
      <c r="G20" s="64">
        <v>0.5</v>
      </c>
      <c r="H20" s="64">
        <v>0.68</v>
      </c>
      <c r="I20" s="64" t="s">
        <v>3320</v>
      </c>
      <c r="J20" s="64">
        <v>864</v>
      </c>
      <c r="K20" s="64" t="s">
        <v>1332</v>
      </c>
      <c r="L20" s="64" t="s">
        <v>401</v>
      </c>
      <c r="M20" s="65">
        <v>1538</v>
      </c>
      <c r="N20" s="66">
        <f>Table16[[#This Row],[Price]]/Table16[[#This Row],[Area (sq. in)]]*144</f>
        <v>256.33333333333331</v>
      </c>
      <c r="U20">
        <v>2023</v>
      </c>
      <c r="V20" t="s">
        <v>3282</v>
      </c>
      <c r="W20" t="s">
        <v>99</v>
      </c>
      <c r="X20" s="64" t="s">
        <v>1469</v>
      </c>
      <c r="Y20" t="s">
        <v>71</v>
      </c>
      <c r="Z20" t="s">
        <v>72</v>
      </c>
    </row>
    <row r="21" spans="1:26" hidden="1" x14ac:dyDescent="0.2">
      <c r="A21" t="s">
        <v>1328</v>
      </c>
      <c r="B21" t="s">
        <v>3398</v>
      </c>
      <c r="D21" s="64" t="s">
        <v>1329</v>
      </c>
      <c r="E21" s="64" t="s">
        <v>1417</v>
      </c>
      <c r="F21" s="64" t="s">
        <v>1331</v>
      </c>
      <c r="G21" s="64">
        <v>0.5</v>
      </c>
      <c r="H21" s="64">
        <v>0.68</v>
      </c>
      <c r="I21" s="64" t="s">
        <v>3353</v>
      </c>
      <c r="J21" s="64">
        <v>900</v>
      </c>
      <c r="K21" s="64" t="s">
        <v>1332</v>
      </c>
      <c r="L21" s="64" t="s">
        <v>401</v>
      </c>
      <c r="M21" s="65">
        <v>1458</v>
      </c>
      <c r="N21" s="66">
        <f>Table16[[#This Row],[Price]]/Table16[[#This Row],[Area (sq. in)]]*144</f>
        <v>233.28000000000003</v>
      </c>
      <c r="U21">
        <v>2023</v>
      </c>
      <c r="V21" t="s">
        <v>3155</v>
      </c>
      <c r="W21" t="s">
        <v>99</v>
      </c>
      <c r="X21" s="64" t="s">
        <v>1427</v>
      </c>
      <c r="Y21" t="s">
        <v>71</v>
      </c>
      <c r="Z21" t="s">
        <v>71</v>
      </c>
    </row>
    <row r="22" spans="1:26" x14ac:dyDescent="0.2">
      <c r="A22" t="s">
        <v>1328</v>
      </c>
      <c r="B22" t="s">
        <v>3398</v>
      </c>
      <c r="D22" s="64" t="s">
        <v>1444</v>
      </c>
      <c r="E22" s="64" t="s">
        <v>1722</v>
      </c>
      <c r="F22" s="64" t="s">
        <v>1366</v>
      </c>
      <c r="G22" s="64">
        <v>1.25</v>
      </c>
      <c r="H22" s="64">
        <v>0.8</v>
      </c>
      <c r="I22" s="64" t="s">
        <v>3347</v>
      </c>
      <c r="J22" s="64">
        <v>742.5625</v>
      </c>
      <c r="K22" s="64" t="s">
        <v>1446</v>
      </c>
      <c r="L22" s="64" t="s">
        <v>917</v>
      </c>
      <c r="M22" s="65">
        <v>563.4</v>
      </c>
      <c r="N22" s="66">
        <f>Table16[[#This Row],[Price]]/Table16[[#This Row],[Area (sq. in)]]*144</f>
        <v>109.25625789074994</v>
      </c>
      <c r="U22">
        <v>2023</v>
      </c>
      <c r="V22" t="s">
        <v>3259</v>
      </c>
      <c r="W22" t="s">
        <v>99</v>
      </c>
      <c r="X22" s="64" t="s">
        <v>1333</v>
      </c>
      <c r="Y22" t="s">
        <v>71</v>
      </c>
      <c r="Z22" t="s">
        <v>72</v>
      </c>
    </row>
    <row r="23" spans="1:26" hidden="1" x14ac:dyDescent="0.2">
      <c r="A23" t="s">
        <v>1328</v>
      </c>
      <c r="B23" t="s">
        <v>3398</v>
      </c>
      <c r="D23" s="64" t="s">
        <v>1329</v>
      </c>
      <c r="E23" s="64" t="s">
        <v>1423</v>
      </c>
      <c r="F23" s="64" t="s">
        <v>1331</v>
      </c>
      <c r="G23" s="64">
        <v>0.5</v>
      </c>
      <c r="H23" s="64">
        <v>0.68</v>
      </c>
      <c r="I23" s="64" t="s">
        <v>3324</v>
      </c>
      <c r="J23" s="64">
        <v>576</v>
      </c>
      <c r="K23" s="64" t="s">
        <v>1332</v>
      </c>
      <c r="L23" s="64" t="s">
        <v>401</v>
      </c>
      <c r="M23" s="65">
        <v>1438</v>
      </c>
      <c r="N23" s="66">
        <f>Table16[[#This Row],[Price]]/Table16[[#This Row],[Area (sq. in)]]*144</f>
        <v>359.5</v>
      </c>
      <c r="U23">
        <v>2023</v>
      </c>
      <c r="V23" t="s">
        <v>3293</v>
      </c>
      <c r="W23" t="s">
        <v>99</v>
      </c>
      <c r="X23" s="64" t="s">
        <v>1488</v>
      </c>
      <c r="Y23" t="s">
        <v>71</v>
      </c>
      <c r="Z23" t="s">
        <v>72</v>
      </c>
    </row>
    <row r="24" spans="1:26" hidden="1" x14ac:dyDescent="0.2">
      <c r="A24" t="s">
        <v>1328</v>
      </c>
      <c r="B24" t="s">
        <v>3398</v>
      </c>
      <c r="D24" s="64" t="s">
        <v>1329</v>
      </c>
      <c r="E24" s="64" t="s">
        <v>1425</v>
      </c>
      <c r="F24" s="64" t="s">
        <v>1331</v>
      </c>
      <c r="G24" s="64">
        <v>0.5</v>
      </c>
      <c r="H24" s="64">
        <v>0.68</v>
      </c>
      <c r="I24" s="64" t="s">
        <v>3320</v>
      </c>
      <c r="J24" s="64">
        <v>864</v>
      </c>
      <c r="K24" s="64" t="s">
        <v>1332</v>
      </c>
      <c r="L24" s="64" t="s">
        <v>401</v>
      </c>
      <c r="M24" s="65">
        <v>1428</v>
      </c>
      <c r="N24" s="66">
        <f>Table16[[#This Row],[Price]]/Table16[[#This Row],[Area (sq. in)]]*144</f>
        <v>238</v>
      </c>
      <c r="U24">
        <v>2023</v>
      </c>
      <c r="V24" t="s">
        <v>3206</v>
      </c>
      <c r="W24" t="s">
        <v>99</v>
      </c>
      <c r="X24" s="64" t="s">
        <v>1358</v>
      </c>
      <c r="Y24" t="s">
        <v>71</v>
      </c>
      <c r="Z24" t="s">
        <v>72</v>
      </c>
    </row>
    <row r="25" spans="1:26" x14ac:dyDescent="0.2">
      <c r="A25" t="s">
        <v>1328</v>
      </c>
      <c r="B25" t="s">
        <v>3398</v>
      </c>
      <c r="D25" s="64" t="s">
        <v>1444</v>
      </c>
      <c r="E25" s="64" t="s">
        <v>1595</v>
      </c>
      <c r="F25" s="64" t="s">
        <v>1366</v>
      </c>
      <c r="G25" s="64">
        <v>1.25</v>
      </c>
      <c r="H25" s="64">
        <v>0.8</v>
      </c>
      <c r="I25" s="64" t="s">
        <v>3347</v>
      </c>
      <c r="J25" s="64">
        <v>742.5625</v>
      </c>
      <c r="K25" s="64" t="s">
        <v>1446</v>
      </c>
      <c r="L25" s="64" t="s">
        <v>917</v>
      </c>
      <c r="M25" s="65">
        <v>538.20000000000005</v>
      </c>
      <c r="N25" s="66">
        <f>Table16[[#This Row],[Price]]/Table16[[#This Row],[Area (sq. in)]]*144</f>
        <v>104.36939651544483</v>
      </c>
      <c r="U25">
        <v>2023</v>
      </c>
      <c r="V25" t="s">
        <v>3197</v>
      </c>
      <c r="W25" t="s">
        <v>99</v>
      </c>
      <c r="X25" s="64" t="s">
        <v>1490</v>
      </c>
      <c r="Y25" t="s">
        <v>71</v>
      </c>
      <c r="Z25" t="s">
        <v>72</v>
      </c>
    </row>
    <row r="26" spans="1:26" hidden="1" x14ac:dyDescent="0.2">
      <c r="A26" t="s">
        <v>1328</v>
      </c>
      <c r="B26" t="s">
        <v>3398</v>
      </c>
      <c r="D26" s="64" t="s">
        <v>1329</v>
      </c>
      <c r="E26" s="64" t="s">
        <v>1430</v>
      </c>
      <c r="F26" s="64" t="s">
        <v>1331</v>
      </c>
      <c r="G26" s="64">
        <v>0.5</v>
      </c>
      <c r="H26" s="64">
        <v>0.68</v>
      </c>
      <c r="I26" s="64" t="s">
        <v>3320</v>
      </c>
      <c r="J26" s="64">
        <v>864</v>
      </c>
      <c r="K26" s="64" t="s">
        <v>1332</v>
      </c>
      <c r="L26" s="64" t="s">
        <v>401</v>
      </c>
      <c r="M26" s="65">
        <v>1408</v>
      </c>
      <c r="N26" s="66">
        <f>Table16[[#This Row],[Price]]/Table16[[#This Row],[Area (sq. in)]]*144</f>
        <v>234.66666666666666</v>
      </c>
      <c r="U26">
        <v>2023</v>
      </c>
      <c r="V26" t="s">
        <v>3252</v>
      </c>
      <c r="W26" t="s">
        <v>99</v>
      </c>
      <c r="X26" s="64" t="s">
        <v>1335</v>
      </c>
      <c r="Y26" t="s">
        <v>71</v>
      </c>
      <c r="Z26" t="s">
        <v>72</v>
      </c>
    </row>
    <row r="27" spans="1:26" hidden="1" x14ac:dyDescent="0.2">
      <c r="A27" t="s">
        <v>1328</v>
      </c>
      <c r="B27" t="s">
        <v>3398</v>
      </c>
      <c r="D27" s="64" t="s">
        <v>1329</v>
      </c>
      <c r="E27" s="64" t="s">
        <v>1436</v>
      </c>
      <c r="F27" s="64" t="s">
        <v>1331</v>
      </c>
      <c r="G27" s="64">
        <v>0.5</v>
      </c>
      <c r="H27" s="64">
        <v>0.68</v>
      </c>
      <c r="I27" s="64" t="s">
        <v>3353</v>
      </c>
      <c r="J27" s="64">
        <v>900</v>
      </c>
      <c r="K27" s="64" t="s">
        <v>1332</v>
      </c>
      <c r="L27" s="64" t="s">
        <v>401</v>
      </c>
      <c r="M27" s="65">
        <v>1403.53</v>
      </c>
      <c r="N27" s="66">
        <f>Table16[[#This Row],[Price]]/Table16[[#This Row],[Area (sq. in)]]*144</f>
        <v>224.56479999999999</v>
      </c>
      <c r="U27">
        <v>2023</v>
      </c>
      <c r="V27" t="s">
        <v>3270</v>
      </c>
      <c r="W27" t="s">
        <v>99</v>
      </c>
      <c r="X27" s="64" t="s">
        <v>1376</v>
      </c>
      <c r="Y27" t="s">
        <v>71</v>
      </c>
      <c r="Z27" t="s">
        <v>72</v>
      </c>
    </row>
    <row r="28" spans="1:26" x14ac:dyDescent="0.2">
      <c r="A28" t="s">
        <v>1328</v>
      </c>
      <c r="B28" t="s">
        <v>3430</v>
      </c>
      <c r="D28" s="64" t="s">
        <v>1338</v>
      </c>
      <c r="E28" s="64" t="s">
        <v>1432</v>
      </c>
      <c r="F28" s="64" t="s">
        <v>1331</v>
      </c>
      <c r="G28" s="64">
        <v>1.25</v>
      </c>
      <c r="H28" s="64">
        <v>0.25</v>
      </c>
      <c r="I28" s="64" t="s">
        <v>3315</v>
      </c>
      <c r="J28" s="64">
        <v>1260.25</v>
      </c>
      <c r="K28" s="64" t="s">
        <v>1340</v>
      </c>
      <c r="L28" s="64" t="s">
        <v>917</v>
      </c>
      <c r="M28" s="65">
        <v>121</v>
      </c>
      <c r="N28" s="66">
        <f>Table16[[#This Row],[Price]]/Table16[[#This Row],[Area (sq. in)]]*144</f>
        <v>13.825828208688753</v>
      </c>
      <c r="U28">
        <v>2023</v>
      </c>
      <c r="V28" t="s">
        <v>3082</v>
      </c>
      <c r="W28" t="s">
        <v>99</v>
      </c>
      <c r="X28" s="64" t="s">
        <v>1433</v>
      </c>
      <c r="Y28" t="s">
        <v>71</v>
      </c>
      <c r="Z28" t="s">
        <v>72</v>
      </c>
    </row>
    <row r="29" spans="1:26" hidden="1" x14ac:dyDescent="0.2">
      <c r="A29" t="s">
        <v>1328</v>
      </c>
      <c r="B29" t="s">
        <v>3398</v>
      </c>
      <c r="D29" s="64" t="s">
        <v>1329</v>
      </c>
      <c r="E29" s="64" t="s">
        <v>1442</v>
      </c>
      <c r="F29" s="64" t="s">
        <v>1331</v>
      </c>
      <c r="G29" s="64">
        <v>0.5</v>
      </c>
      <c r="H29" s="64">
        <v>0.68</v>
      </c>
      <c r="I29" s="64" t="s">
        <v>3320</v>
      </c>
      <c r="J29" s="64">
        <v>864</v>
      </c>
      <c r="K29" s="64" t="s">
        <v>1332</v>
      </c>
      <c r="L29" s="64" t="s">
        <v>401</v>
      </c>
      <c r="M29" s="65">
        <v>1342.53</v>
      </c>
      <c r="N29" s="66">
        <f>Table16[[#This Row],[Price]]/Table16[[#This Row],[Area (sq. in)]]*144</f>
        <v>223.755</v>
      </c>
      <c r="U29">
        <v>2023</v>
      </c>
      <c r="V29" t="s">
        <v>3243</v>
      </c>
      <c r="W29" t="s">
        <v>99</v>
      </c>
      <c r="X29" s="64" t="s">
        <v>1482</v>
      </c>
      <c r="Y29" t="s">
        <v>71</v>
      </c>
      <c r="Z29" t="s">
        <v>72</v>
      </c>
    </row>
    <row r="30" spans="1:26" x14ac:dyDescent="0.2">
      <c r="A30" t="s">
        <v>1328</v>
      </c>
      <c r="B30" t="s">
        <v>3430</v>
      </c>
      <c r="D30" s="64" t="s">
        <v>1338</v>
      </c>
      <c r="E30" s="64" t="s">
        <v>1379</v>
      </c>
      <c r="F30" s="64" t="s">
        <v>1331</v>
      </c>
      <c r="G30" s="64">
        <v>0.75</v>
      </c>
      <c r="H30" s="64">
        <v>0.5</v>
      </c>
      <c r="I30" s="64" t="s">
        <v>3343</v>
      </c>
      <c r="J30" s="64">
        <v>1101.5625</v>
      </c>
      <c r="K30" s="64" t="s">
        <v>1340</v>
      </c>
      <c r="L30" s="64" t="s">
        <v>917</v>
      </c>
      <c r="M30" s="65">
        <v>169</v>
      </c>
      <c r="N30" s="66">
        <f>Table16[[#This Row],[Price]]/Table16[[#This Row],[Area (sq. in)]]*144</f>
        <v>22.092255319148936</v>
      </c>
      <c r="U30">
        <v>2023</v>
      </c>
      <c r="V30" t="s">
        <v>3116</v>
      </c>
      <c r="W30" t="s">
        <v>99</v>
      </c>
      <c r="X30" s="64" t="s">
        <v>1380</v>
      </c>
      <c r="Y30" t="s">
        <v>71</v>
      </c>
      <c r="Z30" t="s">
        <v>72</v>
      </c>
    </row>
    <row r="31" spans="1:26" hidden="1" x14ac:dyDescent="0.2">
      <c r="A31" t="s">
        <v>1328</v>
      </c>
      <c r="B31" t="s">
        <v>3398</v>
      </c>
      <c r="D31" s="64" t="s">
        <v>1329</v>
      </c>
      <c r="E31" s="64" t="s">
        <v>1462</v>
      </c>
      <c r="F31" s="64" t="s">
        <v>1331</v>
      </c>
      <c r="G31" s="64">
        <v>0.5</v>
      </c>
      <c r="H31" s="64">
        <v>0.68</v>
      </c>
      <c r="I31" s="64" t="s">
        <v>3355</v>
      </c>
      <c r="J31" s="64">
        <v>324</v>
      </c>
      <c r="K31" s="64" t="s">
        <v>1332</v>
      </c>
      <c r="L31" s="64" t="s">
        <v>401</v>
      </c>
      <c r="M31" s="65">
        <v>1268</v>
      </c>
      <c r="N31" s="66">
        <f>Table16[[#This Row],[Price]]/Table16[[#This Row],[Area (sq. in)]]*144</f>
        <v>563.55555555555554</v>
      </c>
      <c r="U31">
        <v>2023</v>
      </c>
      <c r="V31" t="s">
        <v>3299</v>
      </c>
      <c r="W31" t="s">
        <v>99</v>
      </c>
      <c r="X31" s="64" t="s">
        <v>1514</v>
      </c>
      <c r="Y31" t="s">
        <v>71</v>
      </c>
      <c r="Z31" t="s">
        <v>72</v>
      </c>
    </row>
    <row r="32" spans="1:26" hidden="1" x14ac:dyDescent="0.2">
      <c r="A32" t="s">
        <v>1328</v>
      </c>
      <c r="B32" t="s">
        <v>3398</v>
      </c>
      <c r="D32" s="64" t="s">
        <v>1329</v>
      </c>
      <c r="E32" s="64" t="s">
        <v>1466</v>
      </c>
      <c r="F32" s="64" t="s">
        <v>1331</v>
      </c>
      <c r="G32" s="64">
        <v>0.5</v>
      </c>
      <c r="H32" s="64">
        <v>0.68</v>
      </c>
      <c r="I32" s="64" t="s">
        <v>3324</v>
      </c>
      <c r="J32" s="64">
        <v>576</v>
      </c>
      <c r="K32" s="64" t="s">
        <v>1332</v>
      </c>
      <c r="L32" s="64" t="s">
        <v>401</v>
      </c>
      <c r="M32" s="65">
        <v>1248</v>
      </c>
      <c r="N32" s="66">
        <f>Table16[[#This Row],[Price]]/Table16[[#This Row],[Area (sq. in)]]*144</f>
        <v>312</v>
      </c>
      <c r="U32">
        <v>2023</v>
      </c>
      <c r="V32" t="s">
        <v>3287</v>
      </c>
      <c r="W32" t="s">
        <v>99</v>
      </c>
      <c r="X32" s="64" t="s">
        <v>1590</v>
      </c>
      <c r="Y32" t="s">
        <v>71</v>
      </c>
      <c r="Z32" t="s">
        <v>72</v>
      </c>
    </row>
    <row r="33" spans="1:32" hidden="1" x14ac:dyDescent="0.2">
      <c r="A33" t="s">
        <v>1328</v>
      </c>
      <c r="B33" t="s">
        <v>3398</v>
      </c>
      <c r="D33" s="64" t="s">
        <v>1329</v>
      </c>
      <c r="E33" s="64" t="s">
        <v>1468</v>
      </c>
      <c r="F33" s="64" t="s">
        <v>1331</v>
      </c>
      <c r="G33" s="64">
        <v>0.5</v>
      </c>
      <c r="H33" s="64">
        <v>0.68</v>
      </c>
      <c r="I33" s="64" t="s">
        <v>3320</v>
      </c>
      <c r="J33" s="64">
        <v>864</v>
      </c>
      <c r="K33" s="64" t="s">
        <v>1332</v>
      </c>
      <c r="L33" s="64" t="s">
        <v>401</v>
      </c>
      <c r="M33" s="65">
        <v>1239.3900000000001</v>
      </c>
      <c r="N33" s="66">
        <f>Table16[[#This Row],[Price]]/Table16[[#This Row],[Area (sq. in)]]*144</f>
        <v>206.565</v>
      </c>
      <c r="U33">
        <v>2023</v>
      </c>
      <c r="V33" t="s">
        <v>3216</v>
      </c>
      <c r="W33" t="s">
        <v>99</v>
      </c>
      <c r="X33" s="64" t="s">
        <v>1491</v>
      </c>
      <c r="Y33" t="s">
        <v>71</v>
      </c>
      <c r="Z33" t="s">
        <v>72</v>
      </c>
    </row>
    <row r="34" spans="1:32" x14ac:dyDescent="0.2">
      <c r="A34" t="s">
        <v>1328</v>
      </c>
      <c r="B34" t="s">
        <v>3431</v>
      </c>
      <c r="D34" s="64" t="s">
        <v>1392</v>
      </c>
      <c r="E34" s="64" t="s">
        <v>3076</v>
      </c>
      <c r="F34" s="64" t="s">
        <v>1331</v>
      </c>
      <c r="G34" s="64">
        <v>0.6</v>
      </c>
      <c r="H34" s="64">
        <v>0.27</v>
      </c>
      <c r="I34" s="64" t="s">
        <v>3337</v>
      </c>
      <c r="J34" s="64">
        <v>4536.25</v>
      </c>
      <c r="K34" s="64" t="s">
        <v>1394</v>
      </c>
      <c r="L34" s="64" t="s">
        <v>917</v>
      </c>
      <c r="M34" s="65">
        <v>465</v>
      </c>
      <c r="N34" s="66">
        <f>Table16[[#This Row],[Price]]/Table16[[#This Row],[Area (sq. in)]]*144</f>
        <v>14.761091209699643</v>
      </c>
      <c r="U34">
        <v>2023</v>
      </c>
      <c r="V34" t="s">
        <v>3107</v>
      </c>
      <c r="W34" t="s">
        <v>99</v>
      </c>
      <c r="X34" s="64" t="s">
        <v>1599</v>
      </c>
      <c r="Y34" t="s">
        <v>71</v>
      </c>
      <c r="Z34" t="s">
        <v>72</v>
      </c>
    </row>
    <row r="35" spans="1:32" x14ac:dyDescent="0.2">
      <c r="A35" t="s">
        <v>1328</v>
      </c>
      <c r="B35" t="s">
        <v>3430</v>
      </c>
      <c r="D35" s="64" t="s">
        <v>1338</v>
      </c>
      <c r="E35" s="64" t="s">
        <v>1381</v>
      </c>
      <c r="F35" s="64" t="s">
        <v>1331</v>
      </c>
      <c r="G35" s="64">
        <v>0.6</v>
      </c>
      <c r="H35" s="64">
        <v>0.5</v>
      </c>
      <c r="I35" s="64" t="s">
        <v>3318</v>
      </c>
      <c r="J35" s="64">
        <v>1420.5625</v>
      </c>
      <c r="K35" s="64" t="s">
        <v>1340</v>
      </c>
      <c r="L35" s="64" t="s">
        <v>917</v>
      </c>
      <c r="M35" s="65">
        <v>408</v>
      </c>
      <c r="N35" s="66">
        <f>Table16[[#This Row],[Price]]/Table16[[#This Row],[Area (sq. in)]]*144</f>
        <v>41.358264771877337</v>
      </c>
      <c r="U35">
        <v>2023</v>
      </c>
      <c r="V35" t="s">
        <v>3084</v>
      </c>
      <c r="W35" t="s">
        <v>99</v>
      </c>
      <c r="X35" s="64" t="s">
        <v>1382</v>
      </c>
      <c r="Y35" t="s">
        <v>71</v>
      </c>
      <c r="Z35" t="s">
        <v>72</v>
      </c>
    </row>
    <row r="36" spans="1:32" x14ac:dyDescent="0.2">
      <c r="A36" t="s">
        <v>1328</v>
      </c>
      <c r="B36" t="s">
        <v>3432</v>
      </c>
      <c r="D36" s="64" t="s">
        <v>1338</v>
      </c>
      <c r="E36" s="64" t="s">
        <v>1383</v>
      </c>
      <c r="F36" s="64" t="s">
        <v>1331</v>
      </c>
      <c r="G36" s="64">
        <v>0.5</v>
      </c>
      <c r="H36" s="64">
        <v>0.5</v>
      </c>
      <c r="I36" s="64" t="s">
        <v>3362</v>
      </c>
      <c r="J36" s="64">
        <v>992.25</v>
      </c>
      <c r="K36" s="64" t="s">
        <v>1384</v>
      </c>
      <c r="L36" s="64" t="s">
        <v>917</v>
      </c>
      <c r="M36" s="65">
        <v>245</v>
      </c>
      <c r="N36" s="66">
        <f>Table16[[#This Row],[Price]]/Table16[[#This Row],[Area (sq. in)]]*144</f>
        <v>35.555555555555557</v>
      </c>
      <c r="U36">
        <v>2023</v>
      </c>
      <c r="V36" t="s">
        <v>3177</v>
      </c>
      <c r="W36" t="s">
        <v>99</v>
      </c>
      <c r="X36" s="64" t="s">
        <v>1385</v>
      </c>
      <c r="Y36" t="s">
        <v>71</v>
      </c>
      <c r="Z36" t="s">
        <v>72</v>
      </c>
    </row>
    <row r="37" spans="1:32" x14ac:dyDescent="0.2">
      <c r="A37" t="s">
        <v>1328</v>
      </c>
      <c r="B37" t="s">
        <v>3430</v>
      </c>
      <c r="D37" s="64" t="s">
        <v>1338</v>
      </c>
      <c r="E37" s="64" t="s">
        <v>1386</v>
      </c>
      <c r="F37" s="64" t="s">
        <v>1331</v>
      </c>
      <c r="G37" s="64">
        <v>0.5</v>
      </c>
      <c r="H37" s="64">
        <v>0.5</v>
      </c>
      <c r="I37" s="64" t="s">
        <v>3313</v>
      </c>
      <c r="J37" s="64">
        <v>500.0625</v>
      </c>
      <c r="K37" s="64" t="s">
        <v>1340</v>
      </c>
      <c r="L37" s="64" t="s">
        <v>917</v>
      </c>
      <c r="M37" s="65">
        <v>75.900000000000006</v>
      </c>
      <c r="N37" s="66">
        <f>Table16[[#This Row],[Price]]/Table16[[#This Row],[Area (sq. in)]]*144</f>
        <v>21.856467941507312</v>
      </c>
      <c r="U37">
        <v>2023</v>
      </c>
      <c r="V37" t="s">
        <v>3079</v>
      </c>
      <c r="W37" t="s">
        <v>99</v>
      </c>
      <c r="X37" s="64" t="s">
        <v>1387</v>
      </c>
      <c r="Y37" t="s">
        <v>71</v>
      </c>
      <c r="Z37" t="s">
        <v>72</v>
      </c>
    </row>
    <row r="38" spans="1:32" hidden="1" x14ac:dyDescent="0.2">
      <c r="A38" t="s">
        <v>1328</v>
      </c>
      <c r="B38" t="s">
        <v>3398</v>
      </c>
      <c r="D38" s="64" t="s">
        <v>1329</v>
      </c>
      <c r="E38" s="64" t="s">
        <v>1487</v>
      </c>
      <c r="F38" s="64" t="s">
        <v>1331</v>
      </c>
      <c r="G38" s="64">
        <v>0.5</v>
      </c>
      <c r="H38" s="64">
        <v>0.68</v>
      </c>
      <c r="I38" s="64" t="s">
        <v>3320</v>
      </c>
      <c r="J38" s="64">
        <v>864</v>
      </c>
      <c r="K38" s="64" t="s">
        <v>1332</v>
      </c>
      <c r="L38" s="64" t="s">
        <v>401</v>
      </c>
      <c r="M38" s="65">
        <v>1148</v>
      </c>
      <c r="N38" s="66">
        <f>Table16[[#This Row],[Price]]/Table16[[#This Row],[Area (sq. in)]]*144</f>
        <v>191.33333333333334</v>
      </c>
      <c r="U38">
        <v>2023</v>
      </c>
      <c r="V38" t="s">
        <v>3218</v>
      </c>
      <c r="W38" t="s">
        <v>99</v>
      </c>
      <c r="X38" s="64" t="s">
        <v>1545</v>
      </c>
      <c r="Y38" t="s">
        <v>71</v>
      </c>
      <c r="Z38" t="s">
        <v>72</v>
      </c>
    </row>
    <row r="39" spans="1:32" hidden="1" x14ac:dyDescent="0.2">
      <c r="A39" t="s">
        <v>1328</v>
      </c>
      <c r="B39" t="s">
        <v>3398</v>
      </c>
      <c r="D39" s="64" t="s">
        <v>1329</v>
      </c>
      <c r="E39" s="64" t="s">
        <v>1489</v>
      </c>
      <c r="F39" s="64" t="s">
        <v>1331</v>
      </c>
      <c r="G39" s="64">
        <v>0.5</v>
      </c>
      <c r="H39" s="64">
        <v>0.68</v>
      </c>
      <c r="I39" s="64" t="s">
        <v>3353</v>
      </c>
      <c r="J39" s="64">
        <v>900</v>
      </c>
      <c r="K39" s="64" t="s">
        <v>1332</v>
      </c>
      <c r="L39" s="64" t="s">
        <v>401</v>
      </c>
      <c r="M39" s="65">
        <v>1124.51</v>
      </c>
      <c r="N39" s="66">
        <f>Table16[[#This Row],[Price]]/Table16[[#This Row],[Area (sq. in)]]*144</f>
        <v>179.92160000000001</v>
      </c>
      <c r="U39">
        <v>2023</v>
      </c>
      <c r="V39" t="s">
        <v>3161</v>
      </c>
      <c r="W39" t="s">
        <v>99</v>
      </c>
      <c r="X39" s="64" t="s">
        <v>1475</v>
      </c>
      <c r="Y39" t="s">
        <v>71</v>
      </c>
      <c r="Z39" t="s">
        <v>72</v>
      </c>
    </row>
    <row r="40" spans="1:32" hidden="1" x14ac:dyDescent="0.2">
      <c r="A40" t="s">
        <v>1328</v>
      </c>
      <c r="B40" t="s">
        <v>3398</v>
      </c>
      <c r="D40" s="64" t="s">
        <v>1329</v>
      </c>
      <c r="E40" s="64" t="s">
        <v>1492</v>
      </c>
      <c r="F40" s="64" t="s">
        <v>1331</v>
      </c>
      <c r="G40" s="64">
        <v>0.5</v>
      </c>
      <c r="H40" s="64">
        <v>0.68</v>
      </c>
      <c r="I40" s="64" t="s">
        <v>3324</v>
      </c>
      <c r="J40" s="64">
        <v>576</v>
      </c>
      <c r="K40" s="64" t="s">
        <v>1332</v>
      </c>
      <c r="L40" s="64" t="s">
        <v>401</v>
      </c>
      <c r="M40" s="65">
        <v>1074.31</v>
      </c>
      <c r="N40" s="66">
        <f>Table16[[#This Row],[Price]]/Table16[[#This Row],[Area (sq. in)]]*144</f>
        <v>268.57749999999999</v>
      </c>
      <c r="U40">
        <v>2023</v>
      </c>
      <c r="V40" t="s">
        <v>3281</v>
      </c>
      <c r="W40" t="s">
        <v>99</v>
      </c>
      <c r="X40" s="64" t="s">
        <v>1461</v>
      </c>
      <c r="Y40" t="s">
        <v>71</v>
      </c>
      <c r="Z40" t="s">
        <v>72</v>
      </c>
    </row>
    <row r="41" spans="1:32" x14ac:dyDescent="0.2">
      <c r="A41" t="s">
        <v>1328</v>
      </c>
      <c r="B41" t="s">
        <v>3430</v>
      </c>
      <c r="D41" s="64" t="s">
        <v>1338</v>
      </c>
      <c r="E41" s="64" t="s">
        <v>1339</v>
      </c>
      <c r="F41" s="64" t="s">
        <v>1331</v>
      </c>
      <c r="G41" s="64">
        <v>0.49</v>
      </c>
      <c r="H41" s="64">
        <v>0.65</v>
      </c>
      <c r="I41" s="64" t="s">
        <v>3338</v>
      </c>
      <c r="J41" s="64">
        <v>1114.6875</v>
      </c>
      <c r="K41" s="64" t="s">
        <v>1340</v>
      </c>
      <c r="L41" s="64" t="s">
        <v>917</v>
      </c>
      <c r="M41" s="65">
        <v>382</v>
      </c>
      <c r="N41" s="66">
        <f>Table16[[#This Row],[Price]]/Table16[[#This Row],[Area (sq. in)]]*144</f>
        <v>49.348359966358288</v>
      </c>
      <c r="U41">
        <v>2023</v>
      </c>
      <c r="V41" t="s">
        <v>3108</v>
      </c>
      <c r="W41" t="s">
        <v>99</v>
      </c>
      <c r="X41" s="64" t="s">
        <v>1341</v>
      </c>
      <c r="Y41" t="s">
        <v>71</v>
      </c>
      <c r="Z41" t="s">
        <v>72</v>
      </c>
    </row>
    <row r="42" spans="1:32" x14ac:dyDescent="0.2">
      <c r="A42" t="s">
        <v>1328</v>
      </c>
      <c r="B42" t="s">
        <v>3430</v>
      </c>
      <c r="D42" s="64" t="s">
        <v>1338</v>
      </c>
      <c r="E42" s="64" t="s">
        <v>1359</v>
      </c>
      <c r="F42" s="64" t="s">
        <v>1331</v>
      </c>
      <c r="G42" s="64">
        <v>0.44</v>
      </c>
      <c r="H42" s="64">
        <v>0.61</v>
      </c>
      <c r="I42" s="64" t="s">
        <v>3352</v>
      </c>
      <c r="J42" s="64">
        <v>5760</v>
      </c>
      <c r="K42" s="64" t="s">
        <v>1340</v>
      </c>
      <c r="L42" s="64" t="s">
        <v>917</v>
      </c>
      <c r="M42" s="65">
        <v>979</v>
      </c>
      <c r="N42" s="66">
        <f>Table16[[#This Row],[Price]]/Table16[[#This Row],[Area (sq. in)]]*144</f>
        <v>24.475000000000001</v>
      </c>
      <c r="U42">
        <v>2023</v>
      </c>
      <c r="V42" t="s">
        <v>3154</v>
      </c>
      <c r="W42" t="s">
        <v>99</v>
      </c>
      <c r="X42" s="64" t="s">
        <v>1360</v>
      </c>
      <c r="Y42" t="s">
        <v>71</v>
      </c>
      <c r="Z42" t="s">
        <v>72</v>
      </c>
    </row>
    <row r="43" spans="1:32" hidden="1" x14ac:dyDescent="0.2">
      <c r="A43" t="s">
        <v>1328</v>
      </c>
      <c r="B43" t="s">
        <v>3398</v>
      </c>
      <c r="D43" s="64" t="s">
        <v>1329</v>
      </c>
      <c r="E43" s="64" t="s">
        <v>1506</v>
      </c>
      <c r="F43" s="64" t="s">
        <v>1331</v>
      </c>
      <c r="G43" s="64">
        <v>0.5</v>
      </c>
      <c r="H43" s="64">
        <v>0.68</v>
      </c>
      <c r="I43" s="64" t="s">
        <v>3363</v>
      </c>
      <c r="J43" s="64">
        <v>1296</v>
      </c>
      <c r="K43" s="64" t="s">
        <v>1332</v>
      </c>
      <c r="L43" s="64" t="s">
        <v>401</v>
      </c>
      <c r="M43" s="65">
        <v>1008</v>
      </c>
      <c r="N43" s="66">
        <f>Table16[[#This Row],[Price]]/Table16[[#This Row],[Area (sq. in)]]*144</f>
        <v>112</v>
      </c>
      <c r="U43">
        <v>2023</v>
      </c>
      <c r="V43" t="s">
        <v>3178</v>
      </c>
      <c r="W43" t="s">
        <v>99</v>
      </c>
      <c r="X43" s="64" t="s">
        <v>1343</v>
      </c>
      <c r="Y43" t="s">
        <v>71</v>
      </c>
      <c r="Z43" t="s">
        <v>72</v>
      </c>
    </row>
    <row r="44" spans="1:32" x14ac:dyDescent="0.2">
      <c r="A44" t="s">
        <v>1328</v>
      </c>
      <c r="B44" t="s">
        <v>3433</v>
      </c>
      <c r="D44" s="64" t="s">
        <v>1444</v>
      </c>
      <c r="E44" s="64" t="s">
        <v>1554</v>
      </c>
      <c r="F44" s="64" t="s">
        <v>1366</v>
      </c>
      <c r="G44" s="64">
        <v>0.44</v>
      </c>
      <c r="H44" s="64">
        <v>0.52</v>
      </c>
      <c r="I44" s="64" t="s">
        <v>3347</v>
      </c>
      <c r="J44" s="64">
        <v>742.5625</v>
      </c>
      <c r="K44" s="64" t="s">
        <v>1555</v>
      </c>
      <c r="L44" s="64" t="s">
        <v>917</v>
      </c>
      <c r="M44" s="65">
        <v>572.52</v>
      </c>
      <c r="N44" s="66">
        <f>Table16[[#This Row],[Price]]/Table16[[#This Row],[Area (sq. in)]]*144</f>
        <v>111.02483629324129</v>
      </c>
      <c r="U44">
        <v>2023</v>
      </c>
      <c r="V44" t="s">
        <v>3179</v>
      </c>
      <c r="W44" t="s">
        <v>99</v>
      </c>
      <c r="X44" s="64" t="s">
        <v>1556</v>
      </c>
      <c r="Y44" t="s">
        <v>71</v>
      </c>
      <c r="Z44" t="s">
        <v>72</v>
      </c>
      <c r="AF44" t="s">
        <v>5519</v>
      </c>
    </row>
    <row r="45" spans="1:32" x14ac:dyDescent="0.2">
      <c r="A45" t="s">
        <v>1328</v>
      </c>
      <c r="B45" t="s">
        <v>3430</v>
      </c>
      <c r="D45" s="64" t="s">
        <v>1338</v>
      </c>
      <c r="E45" s="64" t="s">
        <v>1363</v>
      </c>
      <c r="F45" s="64" t="s">
        <v>1331</v>
      </c>
      <c r="G45" s="64">
        <v>0.44</v>
      </c>
      <c r="H45" s="64">
        <v>0.61</v>
      </c>
      <c r="I45" s="64" t="s">
        <v>3311</v>
      </c>
      <c r="J45" s="64">
        <v>3540.25</v>
      </c>
      <c r="K45" s="64" t="s">
        <v>1340</v>
      </c>
      <c r="L45" s="64" t="s">
        <v>917</v>
      </c>
      <c r="M45" s="65">
        <v>479</v>
      </c>
      <c r="N45" s="66">
        <f>Table16[[#This Row],[Price]]/Table16[[#This Row],[Area (sq. in)]]*144</f>
        <v>19.483369818515641</v>
      </c>
      <c r="U45">
        <v>2023</v>
      </c>
      <c r="V45" t="s">
        <v>3077</v>
      </c>
      <c r="W45" t="s">
        <v>99</v>
      </c>
      <c r="X45" t="s">
        <v>1364</v>
      </c>
      <c r="Y45" t="s">
        <v>71</v>
      </c>
      <c r="Z45" t="s">
        <v>72</v>
      </c>
    </row>
    <row r="46" spans="1:32" x14ac:dyDescent="0.2">
      <c r="A46" t="s">
        <v>1328</v>
      </c>
      <c r="B46" t="s">
        <v>3430</v>
      </c>
      <c r="D46" s="64" t="s">
        <v>1338</v>
      </c>
      <c r="E46" s="64" t="s">
        <v>1369</v>
      </c>
      <c r="F46" s="64" t="s">
        <v>1331</v>
      </c>
      <c r="G46" s="64">
        <v>0.44</v>
      </c>
      <c r="H46" s="64">
        <v>0.61</v>
      </c>
      <c r="I46" s="64" t="s">
        <v>3350</v>
      </c>
      <c r="J46" s="64">
        <v>1755.25</v>
      </c>
      <c r="K46" s="64" t="s">
        <v>1340</v>
      </c>
      <c r="L46" s="64" t="s">
        <v>917</v>
      </c>
      <c r="M46" s="65">
        <v>410</v>
      </c>
      <c r="N46" s="66">
        <f>Table16[[#This Row],[Price]]/Table16[[#This Row],[Area (sq. in)]]*144</f>
        <v>33.636234154678817</v>
      </c>
      <c r="U46">
        <v>2023</v>
      </c>
      <c r="V46" t="s">
        <v>3147</v>
      </c>
      <c r="W46" t="s">
        <v>99</v>
      </c>
      <c r="X46" s="64" t="s">
        <v>1370</v>
      </c>
      <c r="Y46" t="s">
        <v>71</v>
      </c>
      <c r="Z46" t="s">
        <v>72</v>
      </c>
    </row>
    <row r="47" spans="1:32" x14ac:dyDescent="0.2">
      <c r="A47" t="s">
        <v>1328</v>
      </c>
      <c r="B47" t="s">
        <v>3433</v>
      </c>
      <c r="D47" s="64" t="s">
        <v>1444</v>
      </c>
      <c r="E47" s="64" t="s">
        <v>1508</v>
      </c>
      <c r="F47" s="64" t="s">
        <v>1331</v>
      </c>
      <c r="G47" s="64">
        <v>0.45</v>
      </c>
      <c r="H47" s="64">
        <v>0.56000000000000005</v>
      </c>
      <c r="I47" s="64" t="s">
        <v>3375</v>
      </c>
      <c r="J47" s="64">
        <v>2100</v>
      </c>
      <c r="K47" s="64" t="s">
        <v>1453</v>
      </c>
      <c r="L47" s="64" t="s">
        <v>917</v>
      </c>
      <c r="M47" s="65">
        <v>982.99</v>
      </c>
      <c r="N47" s="66">
        <f>Table16[[#This Row],[Price]]/Table16[[#This Row],[Area (sq. in)]]*144</f>
        <v>67.405028571428574</v>
      </c>
      <c r="U47">
        <v>2023</v>
      </c>
      <c r="V47" t="s">
        <v>3280</v>
      </c>
      <c r="W47" t="s">
        <v>99</v>
      </c>
      <c r="X47" s="64" t="s">
        <v>1509</v>
      </c>
      <c r="Y47" t="s">
        <v>72</v>
      </c>
      <c r="Z47" t="s">
        <v>72</v>
      </c>
    </row>
    <row r="48" spans="1:32" x14ac:dyDescent="0.2">
      <c r="A48" t="s">
        <v>1328</v>
      </c>
      <c r="B48" t="s">
        <v>3433</v>
      </c>
      <c r="D48" s="64" t="s">
        <v>1444</v>
      </c>
      <c r="E48" s="64" t="s">
        <v>1510</v>
      </c>
      <c r="F48" s="64" t="s">
        <v>1331</v>
      </c>
      <c r="G48" s="64">
        <v>0.45</v>
      </c>
      <c r="H48" s="64">
        <v>0.56000000000000005</v>
      </c>
      <c r="I48" s="64" t="s">
        <v>3375</v>
      </c>
      <c r="J48" s="64">
        <v>2100</v>
      </c>
      <c r="K48" s="64" t="s">
        <v>1453</v>
      </c>
      <c r="L48" s="64" t="s">
        <v>917</v>
      </c>
      <c r="M48" s="65">
        <v>982.99</v>
      </c>
      <c r="N48" s="66">
        <f>Table16[[#This Row],[Price]]/Table16[[#This Row],[Area (sq. in)]]*144</f>
        <v>67.405028571428574</v>
      </c>
      <c r="U48">
        <v>2023</v>
      </c>
      <c r="V48" t="s">
        <v>3280</v>
      </c>
      <c r="W48" t="s">
        <v>99</v>
      </c>
      <c r="X48" s="64" t="s">
        <v>1511</v>
      </c>
      <c r="Y48" t="s">
        <v>72</v>
      </c>
      <c r="Z48" t="s">
        <v>72</v>
      </c>
    </row>
    <row r="49" spans="1:26" x14ac:dyDescent="0.2">
      <c r="A49" t="s">
        <v>1328</v>
      </c>
      <c r="B49" t="s">
        <v>3430</v>
      </c>
      <c r="D49" s="64" t="s">
        <v>1338</v>
      </c>
      <c r="E49" s="64" t="s">
        <v>1371</v>
      </c>
      <c r="F49" s="64" t="s">
        <v>1331</v>
      </c>
      <c r="G49" s="64">
        <v>0.44</v>
      </c>
      <c r="H49" s="64">
        <v>0.61</v>
      </c>
      <c r="I49" s="64" t="s">
        <v>3341</v>
      </c>
      <c r="J49" s="64">
        <v>1116.25</v>
      </c>
      <c r="K49" s="64" t="s">
        <v>1340</v>
      </c>
      <c r="L49" s="64" t="s">
        <v>917</v>
      </c>
      <c r="M49" s="65">
        <v>314</v>
      </c>
      <c r="N49" s="66">
        <f>Table16[[#This Row],[Price]]/Table16[[#This Row],[Area (sq. in)]]*144</f>
        <v>40.507054871220603</v>
      </c>
      <c r="U49">
        <v>2023</v>
      </c>
      <c r="V49" t="s">
        <v>3113</v>
      </c>
      <c r="W49" t="s">
        <v>99</v>
      </c>
      <c r="X49" s="64" t="s">
        <v>1372</v>
      </c>
      <c r="Y49" t="s">
        <v>71</v>
      </c>
      <c r="Z49" t="s">
        <v>72</v>
      </c>
    </row>
    <row r="50" spans="1:26" x14ac:dyDescent="0.2">
      <c r="A50" t="s">
        <v>1328</v>
      </c>
      <c r="B50" t="s">
        <v>3430</v>
      </c>
      <c r="D50" s="64" t="s">
        <v>1338</v>
      </c>
      <c r="E50" s="64" t="s">
        <v>1373</v>
      </c>
      <c r="F50" s="64" t="s">
        <v>1331</v>
      </c>
      <c r="G50" s="64">
        <v>0.44</v>
      </c>
      <c r="H50" s="64">
        <v>0.61</v>
      </c>
      <c r="I50" s="64" t="s">
        <v>3320</v>
      </c>
      <c r="J50" s="64">
        <v>864</v>
      </c>
      <c r="K50" s="64" t="s">
        <v>1340</v>
      </c>
      <c r="L50" s="64" t="s">
        <v>917</v>
      </c>
      <c r="M50" s="65">
        <v>284</v>
      </c>
      <c r="N50" s="66">
        <f>Table16[[#This Row],[Price]]/Table16[[#This Row],[Area (sq. in)]]*144</f>
        <v>47.333333333333336</v>
      </c>
      <c r="U50">
        <v>2023</v>
      </c>
      <c r="V50" t="s">
        <v>3085</v>
      </c>
      <c r="W50" t="s">
        <v>99</v>
      </c>
      <c r="X50" s="64" t="s">
        <v>1374</v>
      </c>
      <c r="Y50" t="s">
        <v>71</v>
      </c>
      <c r="Z50" t="s">
        <v>72</v>
      </c>
    </row>
    <row r="51" spans="1:26" x14ac:dyDescent="0.2">
      <c r="A51" t="s">
        <v>1328</v>
      </c>
      <c r="B51" t="s">
        <v>3430</v>
      </c>
      <c r="D51" s="64" t="s">
        <v>1338</v>
      </c>
      <c r="E51" s="64" t="s">
        <v>1390</v>
      </c>
      <c r="F51" s="64" t="s">
        <v>1331</v>
      </c>
      <c r="G51" s="64">
        <v>0.42</v>
      </c>
      <c r="H51" s="64">
        <v>0.3</v>
      </c>
      <c r="I51" s="64" t="s">
        <v>3328</v>
      </c>
      <c r="J51" s="64">
        <v>1777.5625</v>
      </c>
      <c r="K51" s="64" t="s">
        <v>1340</v>
      </c>
      <c r="L51" s="64" t="s">
        <v>917</v>
      </c>
      <c r="M51" s="65">
        <v>355</v>
      </c>
      <c r="N51" s="66">
        <f>Table16[[#This Row],[Price]]/Table16[[#This Row],[Area (sq. in)]]*144</f>
        <v>28.758482472486904</v>
      </c>
      <c r="U51">
        <v>2023</v>
      </c>
      <c r="V51" t="s">
        <v>3093</v>
      </c>
      <c r="W51" t="s">
        <v>99</v>
      </c>
      <c r="X51" s="64" t="s">
        <v>1391</v>
      </c>
      <c r="Y51" t="s">
        <v>71</v>
      </c>
      <c r="Z51" t="s">
        <v>72</v>
      </c>
    </row>
    <row r="52" spans="1:26" hidden="1" x14ac:dyDescent="0.2">
      <c r="A52" t="s">
        <v>1328</v>
      </c>
      <c r="B52" t="s">
        <v>3431</v>
      </c>
      <c r="D52" s="64" t="s">
        <v>465</v>
      </c>
      <c r="E52" s="64" t="s">
        <v>1529</v>
      </c>
      <c r="F52" s="64" t="s">
        <v>1331</v>
      </c>
      <c r="G52" s="64">
        <v>0.35</v>
      </c>
      <c r="H52" s="64"/>
      <c r="I52" s="64"/>
      <c r="J52" s="64"/>
      <c r="K52" s="64" t="s">
        <v>1473</v>
      </c>
      <c r="L52" s="64"/>
      <c r="M52" s="65">
        <v>524</v>
      </c>
      <c r="N52" s="66" t="e">
        <f>Table16[[#This Row],[Price]]/Table16[[#This Row],[Area (sq. in)]]*144</f>
        <v>#DIV/0!</v>
      </c>
      <c r="U52">
        <v>2023</v>
      </c>
      <c r="V52" t="s">
        <v>1128</v>
      </c>
      <c r="W52" t="s">
        <v>99</v>
      </c>
      <c r="X52" s="64" t="s">
        <v>1530</v>
      </c>
      <c r="Y52" t="s">
        <v>71</v>
      </c>
      <c r="Z52" t="s">
        <v>72</v>
      </c>
    </row>
    <row r="53" spans="1:26" hidden="1" x14ac:dyDescent="0.2">
      <c r="A53" t="s">
        <v>1328</v>
      </c>
      <c r="B53" t="s">
        <v>3398</v>
      </c>
      <c r="D53" s="64" t="s">
        <v>465</v>
      </c>
      <c r="E53" s="64" t="s">
        <v>1632</v>
      </c>
      <c r="F53" s="64" t="s">
        <v>1331</v>
      </c>
      <c r="G53" s="64">
        <v>0.5</v>
      </c>
      <c r="H53" s="64">
        <v>0.68</v>
      </c>
      <c r="I53" s="64" t="s">
        <v>3320</v>
      </c>
      <c r="J53" s="64">
        <v>864</v>
      </c>
      <c r="K53" s="64" t="s">
        <v>1332</v>
      </c>
      <c r="L53" s="64" t="s">
        <v>401</v>
      </c>
      <c r="M53" s="65">
        <v>928</v>
      </c>
      <c r="N53" s="66">
        <f>Table16[[#This Row],[Price]]/Table16[[#This Row],[Area (sq. in)]]*144</f>
        <v>154.66666666666669</v>
      </c>
      <c r="U53">
        <v>2023</v>
      </c>
      <c r="V53" t="s">
        <v>3162</v>
      </c>
      <c r="W53" t="s">
        <v>99</v>
      </c>
      <c r="X53" s="64" t="s">
        <v>1633</v>
      </c>
      <c r="Y53" t="s">
        <v>71</v>
      </c>
      <c r="Z53" t="s">
        <v>72</v>
      </c>
    </row>
    <row r="54" spans="1:26" hidden="1" x14ac:dyDescent="0.2">
      <c r="A54" t="s">
        <v>1328</v>
      </c>
      <c r="B54" t="s">
        <v>3431</v>
      </c>
      <c r="D54" s="64" t="s">
        <v>465</v>
      </c>
      <c r="E54" s="64" t="s">
        <v>1644</v>
      </c>
      <c r="F54" s="64" t="s">
        <v>1331</v>
      </c>
      <c r="G54" s="64">
        <v>0.35</v>
      </c>
      <c r="H54" s="64"/>
      <c r="I54" s="64"/>
      <c r="J54" s="64"/>
      <c r="K54" s="64" t="s">
        <v>1473</v>
      </c>
      <c r="L54" s="64"/>
      <c r="M54" s="65">
        <v>503</v>
      </c>
      <c r="N54" s="66" t="e">
        <f>Table16[[#This Row],[Price]]/Table16[[#This Row],[Area (sq. in)]]*144</f>
        <v>#DIV/0!</v>
      </c>
      <c r="U54">
        <v>2023</v>
      </c>
      <c r="V54" t="s">
        <v>1132</v>
      </c>
      <c r="W54" t="s">
        <v>99</v>
      </c>
      <c r="X54" s="64" t="s">
        <v>1645</v>
      </c>
      <c r="Y54" t="s">
        <v>71</v>
      </c>
      <c r="Z54" t="s">
        <v>72</v>
      </c>
    </row>
    <row r="55" spans="1:26" hidden="1" x14ac:dyDescent="0.2">
      <c r="A55" t="s">
        <v>1328</v>
      </c>
      <c r="B55" t="s">
        <v>3431</v>
      </c>
      <c r="D55" s="64" t="s">
        <v>465</v>
      </c>
      <c r="E55" s="64" t="s">
        <v>1646</v>
      </c>
      <c r="F55" s="64" t="s">
        <v>1331</v>
      </c>
      <c r="G55" s="64">
        <v>0.35</v>
      </c>
      <c r="H55" s="64"/>
      <c r="I55" s="64"/>
      <c r="J55" s="64"/>
      <c r="K55" s="64" t="s">
        <v>1473</v>
      </c>
      <c r="L55" s="64"/>
      <c r="M55" s="65">
        <v>500</v>
      </c>
      <c r="N55" s="66" t="e">
        <f>Table16[[#This Row],[Price]]/Table16[[#This Row],[Area (sq. in)]]*144</f>
        <v>#DIV/0!</v>
      </c>
      <c r="U55">
        <v>2023</v>
      </c>
      <c r="V55" t="s">
        <v>1144</v>
      </c>
      <c r="W55" t="s">
        <v>99</v>
      </c>
      <c r="X55" s="64" t="s">
        <v>1647</v>
      </c>
      <c r="Y55" t="s">
        <v>71</v>
      </c>
      <c r="Z55" t="s">
        <v>72</v>
      </c>
    </row>
    <row r="56" spans="1:26" hidden="1" x14ac:dyDescent="0.2">
      <c r="A56" t="s">
        <v>1328</v>
      </c>
      <c r="B56" t="s">
        <v>3431</v>
      </c>
      <c r="D56" s="64" t="s">
        <v>1392</v>
      </c>
      <c r="E56" s="64" t="s">
        <v>1472</v>
      </c>
      <c r="F56" s="64" t="s">
        <v>1331</v>
      </c>
      <c r="G56" s="64">
        <v>0.35</v>
      </c>
      <c r="H56" s="64"/>
      <c r="I56" s="64"/>
      <c r="J56" s="64"/>
      <c r="K56" s="64" t="s">
        <v>1473</v>
      </c>
      <c r="L56" s="64"/>
      <c r="M56" s="65">
        <v>496</v>
      </c>
      <c r="N56" s="66" t="e">
        <f>Table16[[#This Row],[Price]]/Table16[[#This Row],[Area (sq. in)]]*144</f>
        <v>#DIV/0!</v>
      </c>
      <c r="U56">
        <v>2023</v>
      </c>
      <c r="V56" t="s">
        <v>1146</v>
      </c>
      <c r="W56" t="s">
        <v>99</v>
      </c>
      <c r="X56" s="64" t="s">
        <v>1474</v>
      </c>
      <c r="Y56" t="s">
        <v>71</v>
      </c>
      <c r="Z56" t="s">
        <v>72</v>
      </c>
    </row>
    <row r="57" spans="1:26" x14ac:dyDescent="0.2">
      <c r="A57" t="s">
        <v>1328</v>
      </c>
      <c r="B57" t="s">
        <v>3433</v>
      </c>
      <c r="D57" s="64" t="s">
        <v>1444</v>
      </c>
      <c r="E57" s="64" t="s">
        <v>1521</v>
      </c>
      <c r="F57" s="64" t="s">
        <v>1331</v>
      </c>
      <c r="G57" s="64">
        <v>0.45</v>
      </c>
      <c r="H57" s="64">
        <v>0.56000000000000005</v>
      </c>
      <c r="I57" s="64" t="s">
        <v>3375</v>
      </c>
      <c r="J57" s="64">
        <v>2100</v>
      </c>
      <c r="K57" s="64" t="s">
        <v>1453</v>
      </c>
      <c r="L57" s="64" t="s">
        <v>917</v>
      </c>
      <c r="M57" s="65">
        <v>923.43</v>
      </c>
      <c r="N57" s="66">
        <f>Table16[[#This Row],[Price]]/Table16[[#This Row],[Area (sq. in)]]*144</f>
        <v>63.320914285714281</v>
      </c>
      <c r="U57">
        <v>2023</v>
      </c>
      <c r="V57" t="s">
        <v>3289</v>
      </c>
      <c r="W57" t="s">
        <v>99</v>
      </c>
      <c r="X57" s="64" t="s">
        <v>1522</v>
      </c>
      <c r="Y57" t="s">
        <v>72</v>
      </c>
      <c r="Z57" t="s">
        <v>72</v>
      </c>
    </row>
    <row r="58" spans="1:26" hidden="1" x14ac:dyDescent="0.2">
      <c r="A58" t="s">
        <v>1328</v>
      </c>
      <c r="B58" t="s">
        <v>3431</v>
      </c>
      <c r="D58" s="64" t="s">
        <v>465</v>
      </c>
      <c r="E58" s="64" t="s">
        <v>1438</v>
      </c>
      <c r="F58" s="64" t="s">
        <v>1331</v>
      </c>
      <c r="G58" s="64">
        <v>0.35</v>
      </c>
      <c r="H58" s="64"/>
      <c r="I58" s="64"/>
      <c r="J58" s="64"/>
      <c r="K58" s="64" t="s">
        <v>1473</v>
      </c>
      <c r="L58" s="64"/>
      <c r="M58" s="65">
        <v>492</v>
      </c>
      <c r="N58" s="66" t="e">
        <f>Table16[[#This Row],[Price]]/Table16[[#This Row],[Area (sq. in)]]*144</f>
        <v>#DIV/0!</v>
      </c>
      <c r="U58">
        <v>2023</v>
      </c>
      <c r="V58" t="s">
        <v>1134</v>
      </c>
      <c r="W58" t="s">
        <v>99</v>
      </c>
      <c r="X58" s="64" t="s">
        <v>1439</v>
      </c>
      <c r="Y58" t="s">
        <v>71</v>
      </c>
      <c r="Z58" t="s">
        <v>72</v>
      </c>
    </row>
    <row r="59" spans="1:26" hidden="1" x14ac:dyDescent="0.2">
      <c r="A59" t="s">
        <v>1328</v>
      </c>
      <c r="B59" t="s">
        <v>3431</v>
      </c>
      <c r="D59" s="64" t="s">
        <v>1444</v>
      </c>
      <c r="E59" s="64" t="s">
        <v>1578</v>
      </c>
      <c r="F59" s="64" t="s">
        <v>1366</v>
      </c>
      <c r="G59" s="64">
        <v>0.35</v>
      </c>
      <c r="H59" s="64"/>
      <c r="I59" s="64"/>
      <c r="J59" s="64"/>
      <c r="K59" s="64" t="s">
        <v>1473</v>
      </c>
      <c r="L59" s="64"/>
      <c r="M59" s="65">
        <v>488</v>
      </c>
      <c r="N59" s="66" t="e">
        <f>Table16[[#This Row],[Price]]/Table16[[#This Row],[Area (sq. in)]]*144</f>
        <v>#DIV/0!</v>
      </c>
      <c r="U59">
        <v>2023</v>
      </c>
      <c r="V59" t="s">
        <v>1130</v>
      </c>
      <c r="W59" t="s">
        <v>99</v>
      </c>
      <c r="X59" s="64" t="s">
        <v>1579</v>
      </c>
      <c r="Y59" t="s">
        <v>72</v>
      </c>
      <c r="Z59" t="s">
        <v>71</v>
      </c>
    </row>
    <row r="60" spans="1:26" hidden="1" x14ac:dyDescent="0.2">
      <c r="A60" t="s">
        <v>1328</v>
      </c>
      <c r="B60" t="s">
        <v>3431</v>
      </c>
      <c r="D60" s="64" t="s">
        <v>1444</v>
      </c>
      <c r="E60" s="64" t="s">
        <v>1445</v>
      </c>
      <c r="F60" s="64" t="s">
        <v>1366</v>
      </c>
      <c r="G60" s="64">
        <v>0.35</v>
      </c>
      <c r="H60" s="64"/>
      <c r="I60" s="64"/>
      <c r="J60" s="64"/>
      <c r="K60" s="64" t="s">
        <v>1473</v>
      </c>
      <c r="L60" s="64"/>
      <c r="M60" s="65">
        <v>484</v>
      </c>
      <c r="N60" s="66" t="e">
        <f>Table16[[#This Row],[Price]]/Table16[[#This Row],[Area (sq. in)]]*144</f>
        <v>#DIV/0!</v>
      </c>
      <c r="U60">
        <v>2023</v>
      </c>
      <c r="V60" t="s">
        <v>1140</v>
      </c>
      <c r="W60" t="s">
        <v>99</v>
      </c>
      <c r="X60" s="64" t="s">
        <v>1447</v>
      </c>
      <c r="Y60" t="s">
        <v>72</v>
      </c>
      <c r="Z60" t="s">
        <v>71</v>
      </c>
    </row>
    <row r="61" spans="1:26" hidden="1" x14ac:dyDescent="0.2">
      <c r="A61" t="s">
        <v>1328</v>
      </c>
      <c r="B61" t="s">
        <v>3431</v>
      </c>
      <c r="D61" s="64" t="s">
        <v>465</v>
      </c>
      <c r="E61" s="64" t="s">
        <v>1600</v>
      </c>
      <c r="F61" s="64" t="s">
        <v>1331</v>
      </c>
      <c r="G61" s="64">
        <v>0.35</v>
      </c>
      <c r="H61" s="64"/>
      <c r="I61" s="64"/>
      <c r="J61" s="64"/>
      <c r="K61" s="64" t="s">
        <v>1473</v>
      </c>
      <c r="L61" s="64"/>
      <c r="M61" s="65">
        <v>483</v>
      </c>
      <c r="N61" s="66" t="e">
        <f>Table16[[#This Row],[Price]]/Table16[[#This Row],[Area (sq. in)]]*144</f>
        <v>#DIV/0!</v>
      </c>
      <c r="U61">
        <v>2023</v>
      </c>
      <c r="V61" t="s">
        <v>1136</v>
      </c>
      <c r="W61" t="s">
        <v>99</v>
      </c>
      <c r="X61" s="64" t="s">
        <v>1601</v>
      </c>
      <c r="Y61" t="s">
        <v>71</v>
      </c>
      <c r="Z61" t="s">
        <v>72</v>
      </c>
    </row>
    <row r="62" spans="1:26" hidden="1" x14ac:dyDescent="0.2">
      <c r="A62" t="s">
        <v>1328</v>
      </c>
      <c r="B62" t="s">
        <v>3431</v>
      </c>
      <c r="D62" s="64" t="s">
        <v>465</v>
      </c>
      <c r="E62" s="64" t="s">
        <v>1525</v>
      </c>
      <c r="F62" s="64" t="s">
        <v>1331</v>
      </c>
      <c r="G62" s="64">
        <v>0.35</v>
      </c>
      <c r="H62" s="64"/>
      <c r="I62" s="64"/>
      <c r="J62" s="64"/>
      <c r="K62" s="64" t="s">
        <v>1473</v>
      </c>
      <c r="L62" s="64"/>
      <c r="M62" s="65">
        <v>483</v>
      </c>
      <c r="N62" s="66" t="e">
        <f>Table16[[#This Row],[Price]]/Table16[[#This Row],[Area (sq. in)]]*144</f>
        <v>#DIV/0!</v>
      </c>
      <c r="U62">
        <v>2023</v>
      </c>
      <c r="V62" t="s">
        <v>1138</v>
      </c>
      <c r="W62" t="s">
        <v>99</v>
      </c>
      <c r="X62" s="64" t="s">
        <v>1526</v>
      </c>
      <c r="Y62" t="s">
        <v>71</v>
      </c>
      <c r="Z62" t="s">
        <v>72</v>
      </c>
    </row>
    <row r="63" spans="1:26" hidden="1" x14ac:dyDescent="0.2">
      <c r="A63" t="s">
        <v>1328</v>
      </c>
      <c r="B63" t="s">
        <v>3431</v>
      </c>
      <c r="D63" s="64" t="s">
        <v>465</v>
      </c>
      <c r="E63" s="64" t="s">
        <v>1434</v>
      </c>
      <c r="F63" s="64" t="s">
        <v>1331</v>
      </c>
      <c r="G63" s="64">
        <v>0.35</v>
      </c>
      <c r="H63" s="64"/>
      <c r="I63" s="64"/>
      <c r="J63" s="64"/>
      <c r="K63" s="64" t="s">
        <v>1473</v>
      </c>
      <c r="L63" s="64"/>
      <c r="M63" s="65">
        <v>478</v>
      </c>
      <c r="N63" s="66" t="e">
        <f>Table16[[#This Row],[Price]]/Table16[[#This Row],[Area (sq. in)]]*144</f>
        <v>#DIV/0!</v>
      </c>
      <c r="U63">
        <v>2023</v>
      </c>
      <c r="V63" t="s">
        <v>1142</v>
      </c>
      <c r="W63" t="s">
        <v>99</v>
      </c>
      <c r="X63" s="64" t="s">
        <v>1435</v>
      </c>
      <c r="Y63" t="s">
        <v>71</v>
      </c>
      <c r="Z63" t="s">
        <v>72</v>
      </c>
    </row>
    <row r="64" spans="1:26" hidden="1" x14ac:dyDescent="0.2">
      <c r="A64" t="s">
        <v>1328</v>
      </c>
      <c r="B64" t="s">
        <v>3431</v>
      </c>
      <c r="D64" s="64" t="s">
        <v>1329</v>
      </c>
      <c r="E64" s="64" t="s">
        <v>1349</v>
      </c>
      <c r="F64" s="64" t="s">
        <v>1331</v>
      </c>
      <c r="G64" s="64">
        <v>0.35</v>
      </c>
      <c r="H64" s="64"/>
      <c r="I64" s="64"/>
      <c r="J64" s="64"/>
      <c r="K64" s="64" t="s">
        <v>1473</v>
      </c>
      <c r="L64" s="64"/>
      <c r="M64" s="65">
        <v>343</v>
      </c>
      <c r="N64" s="66" t="e">
        <f>Table16[[#This Row],[Price]]/Table16[[#This Row],[Area (sq. in)]]*144</f>
        <v>#DIV/0!</v>
      </c>
      <c r="U64">
        <v>2023</v>
      </c>
      <c r="V64" t="s">
        <v>1129</v>
      </c>
      <c r="W64" t="s">
        <v>99</v>
      </c>
      <c r="X64" s="64" t="s">
        <v>1350</v>
      </c>
      <c r="Y64" t="s">
        <v>71</v>
      </c>
      <c r="Z64" t="s">
        <v>72</v>
      </c>
    </row>
    <row r="65" spans="1:26" hidden="1" x14ac:dyDescent="0.2">
      <c r="A65" t="s">
        <v>1328</v>
      </c>
      <c r="B65" t="s">
        <v>3431</v>
      </c>
      <c r="D65" s="64" t="s">
        <v>1392</v>
      </c>
      <c r="E65" s="64" t="s">
        <v>1476</v>
      </c>
      <c r="F65" s="64" t="s">
        <v>1331</v>
      </c>
      <c r="G65" s="64">
        <v>0.35</v>
      </c>
      <c r="H65" s="64"/>
      <c r="I65" s="64"/>
      <c r="J65" s="64"/>
      <c r="K65" s="64" t="s">
        <v>1473</v>
      </c>
      <c r="L65" s="64"/>
      <c r="M65" s="65">
        <v>329</v>
      </c>
      <c r="N65" s="66" t="e">
        <f>Table16[[#This Row],[Price]]/Table16[[#This Row],[Area (sq. in)]]*144</f>
        <v>#DIV/0!</v>
      </c>
      <c r="U65">
        <v>2023</v>
      </c>
      <c r="V65" t="s">
        <v>1133</v>
      </c>
      <c r="W65" t="s">
        <v>99</v>
      </c>
      <c r="X65" s="64" t="s">
        <v>1477</v>
      </c>
      <c r="Y65" t="s">
        <v>71</v>
      </c>
      <c r="Z65" t="s">
        <v>72</v>
      </c>
    </row>
    <row r="66" spans="1:26" hidden="1" x14ac:dyDescent="0.2">
      <c r="A66" t="s">
        <v>1328</v>
      </c>
      <c r="B66" t="s">
        <v>3431</v>
      </c>
      <c r="D66" s="64" t="s">
        <v>1329</v>
      </c>
      <c r="E66" s="64" t="s">
        <v>1351</v>
      </c>
      <c r="F66" s="64" t="s">
        <v>1331</v>
      </c>
      <c r="G66" s="64">
        <v>0.35</v>
      </c>
      <c r="H66" s="64"/>
      <c r="I66" s="64"/>
      <c r="J66" s="64"/>
      <c r="K66" s="64" t="s">
        <v>1473</v>
      </c>
      <c r="L66" s="64"/>
      <c r="M66" s="65">
        <v>327</v>
      </c>
      <c r="N66" s="66" t="e">
        <f>Table16[[#This Row],[Price]]/Table16[[#This Row],[Area (sq. in)]]*144</f>
        <v>#DIV/0!</v>
      </c>
      <c r="U66">
        <v>2023</v>
      </c>
      <c r="V66" t="s">
        <v>1145</v>
      </c>
      <c r="W66" t="s">
        <v>99</v>
      </c>
      <c r="X66" s="64" t="s">
        <v>1352</v>
      </c>
      <c r="Y66" t="s">
        <v>71</v>
      </c>
      <c r="Z66" t="s">
        <v>72</v>
      </c>
    </row>
    <row r="67" spans="1:26" hidden="1" x14ac:dyDescent="0.2">
      <c r="A67" t="s">
        <v>1328</v>
      </c>
      <c r="B67" t="s">
        <v>3431</v>
      </c>
      <c r="D67" s="64" t="s">
        <v>1329</v>
      </c>
      <c r="E67" s="64" t="s">
        <v>1506</v>
      </c>
      <c r="F67" s="64" t="s">
        <v>1331</v>
      </c>
      <c r="G67" s="64">
        <v>0.35</v>
      </c>
      <c r="H67" s="64"/>
      <c r="I67" s="64"/>
      <c r="J67" s="64"/>
      <c r="K67" s="64" t="s">
        <v>1473</v>
      </c>
      <c r="L67" s="64"/>
      <c r="M67" s="65">
        <v>325</v>
      </c>
      <c r="N67" s="66" t="e">
        <f>Table16[[#This Row],[Price]]/Table16[[#This Row],[Area (sq. in)]]*144</f>
        <v>#DIV/0!</v>
      </c>
      <c r="U67">
        <v>2023</v>
      </c>
      <c r="V67" t="s">
        <v>1147</v>
      </c>
      <c r="W67" t="s">
        <v>99</v>
      </c>
      <c r="X67" s="64" t="s">
        <v>1507</v>
      </c>
      <c r="Y67" t="s">
        <v>71</v>
      </c>
      <c r="Z67" t="s">
        <v>72</v>
      </c>
    </row>
    <row r="68" spans="1:26" hidden="1" x14ac:dyDescent="0.2">
      <c r="A68" t="s">
        <v>1328</v>
      </c>
      <c r="B68" t="s">
        <v>3398</v>
      </c>
      <c r="D68" s="64" t="s">
        <v>465</v>
      </c>
      <c r="E68" s="64" t="s">
        <v>1531</v>
      </c>
      <c r="F68" s="64" t="s">
        <v>1331</v>
      </c>
      <c r="G68" s="64">
        <v>0.5</v>
      </c>
      <c r="H68" s="64">
        <v>0.68</v>
      </c>
      <c r="I68" s="64" t="s">
        <v>3363</v>
      </c>
      <c r="J68" s="64">
        <v>1296</v>
      </c>
      <c r="K68" s="64" t="s">
        <v>1332</v>
      </c>
      <c r="L68" s="64" t="s">
        <v>401</v>
      </c>
      <c r="M68" s="65">
        <v>825.89</v>
      </c>
      <c r="N68" s="66">
        <f>Table16[[#This Row],[Price]]/Table16[[#This Row],[Area (sq. in)]]*144</f>
        <v>91.765555555555551</v>
      </c>
      <c r="U68">
        <v>2023</v>
      </c>
      <c r="V68" t="s">
        <v>3301</v>
      </c>
      <c r="W68" t="s">
        <v>99</v>
      </c>
      <c r="X68" s="64" t="s">
        <v>1532</v>
      </c>
      <c r="Y68" t="s">
        <v>71</v>
      </c>
      <c r="Z68" t="s">
        <v>72</v>
      </c>
    </row>
    <row r="69" spans="1:26" hidden="1" x14ac:dyDescent="0.2">
      <c r="A69" t="s">
        <v>1328</v>
      </c>
      <c r="B69" t="s">
        <v>3431</v>
      </c>
      <c r="D69" s="64" t="s">
        <v>465</v>
      </c>
      <c r="E69" s="64" t="s">
        <v>1533</v>
      </c>
      <c r="F69" s="64" t="s">
        <v>1331</v>
      </c>
      <c r="G69" s="64">
        <v>0.35</v>
      </c>
      <c r="H69" s="64"/>
      <c r="I69" s="64"/>
      <c r="J69" s="64"/>
      <c r="K69" s="64" t="s">
        <v>1473</v>
      </c>
      <c r="L69" s="64"/>
      <c r="M69" s="65">
        <v>322</v>
      </c>
      <c r="N69" s="66" t="e">
        <f>Table16[[#This Row],[Price]]/Table16[[#This Row],[Area (sq. in)]]*144</f>
        <v>#DIV/0!</v>
      </c>
      <c r="U69">
        <v>2023</v>
      </c>
      <c r="V69" t="s">
        <v>1135</v>
      </c>
      <c r="W69" t="s">
        <v>99</v>
      </c>
      <c r="X69" s="64" t="s">
        <v>1534</v>
      </c>
      <c r="Y69" t="s">
        <v>71</v>
      </c>
      <c r="Z69" t="s">
        <v>72</v>
      </c>
    </row>
    <row r="70" spans="1:26" hidden="1" x14ac:dyDescent="0.2">
      <c r="A70" t="s">
        <v>1328</v>
      </c>
      <c r="B70" t="s">
        <v>3431</v>
      </c>
      <c r="D70" s="64" t="s">
        <v>465</v>
      </c>
      <c r="E70" s="64" t="s">
        <v>1628</v>
      </c>
      <c r="F70" s="64" t="s">
        <v>1331</v>
      </c>
      <c r="G70" s="64">
        <v>0.35</v>
      </c>
      <c r="H70" s="64"/>
      <c r="I70" s="64"/>
      <c r="J70" s="64"/>
      <c r="K70" s="64" t="s">
        <v>1473</v>
      </c>
      <c r="L70" s="64"/>
      <c r="M70" s="65">
        <v>320</v>
      </c>
      <c r="N70" s="66" t="e">
        <f>Table16[[#This Row],[Price]]/Table16[[#This Row],[Area (sq. in)]]*144</f>
        <v>#DIV/0!</v>
      </c>
      <c r="U70">
        <v>2023</v>
      </c>
      <c r="V70" t="s">
        <v>1131</v>
      </c>
      <c r="W70" t="s">
        <v>99</v>
      </c>
      <c r="X70" s="64" t="s">
        <v>1629</v>
      </c>
      <c r="Y70" t="s">
        <v>71</v>
      </c>
      <c r="Z70" t="s">
        <v>72</v>
      </c>
    </row>
    <row r="71" spans="1:26" hidden="1" x14ac:dyDescent="0.2">
      <c r="A71" t="s">
        <v>1328</v>
      </c>
      <c r="B71" t="s">
        <v>3431</v>
      </c>
      <c r="D71" s="64" t="s">
        <v>1444</v>
      </c>
      <c r="E71" s="64" t="s">
        <v>1722</v>
      </c>
      <c r="F71" s="64" t="s">
        <v>1366</v>
      </c>
      <c r="G71" s="64">
        <v>0.35</v>
      </c>
      <c r="H71" s="64"/>
      <c r="I71" s="64"/>
      <c r="J71" s="64"/>
      <c r="K71" s="64" t="s">
        <v>1473</v>
      </c>
      <c r="L71" s="64"/>
      <c r="M71" s="65">
        <v>317</v>
      </c>
      <c r="N71" s="66" t="e">
        <f>Table16[[#This Row],[Price]]/Table16[[#This Row],[Area (sq. in)]]*144</f>
        <v>#DIV/0!</v>
      </c>
      <c r="U71">
        <v>2023</v>
      </c>
      <c r="V71" t="s">
        <v>1141</v>
      </c>
      <c r="W71" t="s">
        <v>99</v>
      </c>
      <c r="X71" s="64" t="s">
        <v>1723</v>
      </c>
      <c r="Y71" t="s">
        <v>72</v>
      </c>
      <c r="Z71" t="s">
        <v>71</v>
      </c>
    </row>
    <row r="72" spans="1:26" hidden="1" x14ac:dyDescent="0.2">
      <c r="A72" t="s">
        <v>1328</v>
      </c>
      <c r="B72" t="s">
        <v>3431</v>
      </c>
      <c r="D72" s="64" t="s">
        <v>465</v>
      </c>
      <c r="E72" s="64" t="s">
        <v>1559</v>
      </c>
      <c r="F72" s="64" t="s">
        <v>1331</v>
      </c>
      <c r="G72" s="64">
        <v>0.35</v>
      </c>
      <c r="H72" s="64"/>
      <c r="I72" s="64"/>
      <c r="J72" s="64"/>
      <c r="K72" s="64" t="s">
        <v>1473</v>
      </c>
      <c r="L72" s="64"/>
      <c r="M72" s="65">
        <v>316</v>
      </c>
      <c r="N72" s="66" t="e">
        <f>Table16[[#This Row],[Price]]/Table16[[#This Row],[Area (sq. in)]]*144</f>
        <v>#DIV/0!</v>
      </c>
      <c r="U72">
        <v>2023</v>
      </c>
      <c r="V72" t="s">
        <v>1137</v>
      </c>
      <c r="W72" t="s">
        <v>99</v>
      </c>
      <c r="X72" s="64" t="s">
        <v>1560</v>
      </c>
      <c r="Y72" t="s">
        <v>71</v>
      </c>
      <c r="Z72" t="s">
        <v>72</v>
      </c>
    </row>
    <row r="73" spans="1:26" hidden="1" x14ac:dyDescent="0.2">
      <c r="A73" t="s">
        <v>1328</v>
      </c>
      <c r="B73" t="s">
        <v>3431</v>
      </c>
      <c r="D73" s="64" t="s">
        <v>465</v>
      </c>
      <c r="E73" s="64" t="s">
        <v>1470</v>
      </c>
      <c r="F73" s="64" t="s">
        <v>1331</v>
      </c>
      <c r="G73" s="64">
        <v>0.35</v>
      </c>
      <c r="H73" s="64"/>
      <c r="I73" s="64"/>
      <c r="J73" s="64"/>
      <c r="K73" s="64" t="s">
        <v>1473</v>
      </c>
      <c r="L73" s="64"/>
      <c r="M73" s="65">
        <v>316</v>
      </c>
      <c r="N73" s="66" t="e">
        <f>Table16[[#This Row],[Price]]/Table16[[#This Row],[Area (sq. in)]]*144</f>
        <v>#DIV/0!</v>
      </c>
      <c r="U73">
        <v>2023</v>
      </c>
      <c r="V73" t="s">
        <v>1139</v>
      </c>
      <c r="W73" t="s">
        <v>99</v>
      </c>
      <c r="X73" s="64" t="s">
        <v>1471</v>
      </c>
      <c r="Y73" t="s">
        <v>71</v>
      </c>
      <c r="Z73" t="s">
        <v>72</v>
      </c>
    </row>
    <row r="74" spans="1:26" hidden="1" x14ac:dyDescent="0.2">
      <c r="A74" t="s">
        <v>1328</v>
      </c>
      <c r="B74" t="s">
        <v>3431</v>
      </c>
      <c r="D74" s="64" t="s">
        <v>465</v>
      </c>
      <c r="E74" s="64" t="s">
        <v>1548</v>
      </c>
      <c r="F74" s="64" t="s">
        <v>1331</v>
      </c>
      <c r="G74" s="64">
        <v>0.35</v>
      </c>
      <c r="H74" s="64"/>
      <c r="I74" s="64"/>
      <c r="J74" s="64"/>
      <c r="K74" s="64" t="s">
        <v>1473</v>
      </c>
      <c r="L74" s="64"/>
      <c r="M74" s="65">
        <v>313</v>
      </c>
      <c r="N74" s="66" t="e">
        <f>Table16[[#This Row],[Price]]/Table16[[#This Row],[Area (sq. in)]]*144</f>
        <v>#DIV/0!</v>
      </c>
      <c r="U74">
        <v>2023</v>
      </c>
      <c r="V74" t="s">
        <v>1143</v>
      </c>
      <c r="W74" t="s">
        <v>99</v>
      </c>
      <c r="X74" s="64" t="s">
        <v>1549</v>
      </c>
      <c r="Y74" t="s">
        <v>71</v>
      </c>
      <c r="Z74" t="s">
        <v>72</v>
      </c>
    </row>
    <row r="75" spans="1:26" x14ac:dyDescent="0.2">
      <c r="A75" t="s">
        <v>1328</v>
      </c>
      <c r="B75" t="s">
        <v>3431</v>
      </c>
      <c r="D75" s="64" t="s">
        <v>1392</v>
      </c>
      <c r="E75" s="64" t="s">
        <v>1405</v>
      </c>
      <c r="F75" s="64" t="s">
        <v>1331</v>
      </c>
      <c r="G75" s="64">
        <v>0.3</v>
      </c>
      <c r="H75" s="64">
        <v>0.22</v>
      </c>
      <c r="I75" s="64" t="s">
        <v>3351</v>
      </c>
      <c r="J75" s="64">
        <v>2538.25</v>
      </c>
      <c r="K75" s="64" t="s">
        <v>1473</v>
      </c>
      <c r="L75" s="64" t="s">
        <v>917</v>
      </c>
      <c r="M75" s="65">
        <v>430</v>
      </c>
      <c r="N75" s="66">
        <f>Table16[[#This Row],[Price]]/Table16[[#This Row],[Area (sq. in)]]*144</f>
        <v>24.394760169408059</v>
      </c>
      <c r="U75">
        <v>2023</v>
      </c>
      <c r="V75" t="s">
        <v>3153</v>
      </c>
      <c r="W75" t="s">
        <v>99</v>
      </c>
      <c r="X75" s="64" t="s">
        <v>1406</v>
      </c>
      <c r="Y75" t="s">
        <v>71</v>
      </c>
      <c r="Z75" t="s">
        <v>72</v>
      </c>
    </row>
    <row r="76" spans="1:26" x14ac:dyDescent="0.2">
      <c r="A76" t="s">
        <v>1328</v>
      </c>
      <c r="B76" t="s">
        <v>3431</v>
      </c>
      <c r="D76" s="64" t="s">
        <v>1329</v>
      </c>
      <c r="E76" s="64" t="s">
        <v>1638</v>
      </c>
      <c r="F76" s="64" t="s">
        <v>1331</v>
      </c>
      <c r="G76" s="64">
        <v>0.3</v>
      </c>
      <c r="H76" s="64">
        <v>0.22</v>
      </c>
      <c r="I76" s="64" t="s">
        <v>3330</v>
      </c>
      <c r="J76" s="64">
        <v>2826.25</v>
      </c>
      <c r="K76" s="64" t="s">
        <v>1473</v>
      </c>
      <c r="L76" s="64" t="s">
        <v>917</v>
      </c>
      <c r="M76" s="65">
        <v>425</v>
      </c>
      <c r="N76" s="66">
        <f>Table16[[#This Row],[Price]]/Table16[[#This Row],[Area (sq. in)]]*144</f>
        <v>21.654135338345863</v>
      </c>
      <c r="U76">
        <v>2023</v>
      </c>
      <c r="V76" t="s">
        <v>3207</v>
      </c>
      <c r="W76" t="s">
        <v>99</v>
      </c>
      <c r="X76" s="64" t="s">
        <v>1639</v>
      </c>
      <c r="Y76" t="s">
        <v>71</v>
      </c>
      <c r="Z76" t="s">
        <v>72</v>
      </c>
    </row>
    <row r="77" spans="1:26" x14ac:dyDescent="0.2">
      <c r="A77" t="s">
        <v>1328</v>
      </c>
      <c r="B77" t="s">
        <v>3431</v>
      </c>
      <c r="D77" s="64" t="s">
        <v>1444</v>
      </c>
      <c r="E77" s="64" t="s">
        <v>1595</v>
      </c>
      <c r="F77" s="64" t="s">
        <v>1366</v>
      </c>
      <c r="G77" s="64">
        <v>0.3</v>
      </c>
      <c r="H77" s="64">
        <v>0.22</v>
      </c>
      <c r="I77" s="64" t="s">
        <v>3356</v>
      </c>
      <c r="J77" s="64">
        <v>2112.25</v>
      </c>
      <c r="K77" s="64" t="s">
        <v>1473</v>
      </c>
      <c r="L77" s="64" t="s">
        <v>917</v>
      </c>
      <c r="M77" s="65">
        <v>408</v>
      </c>
      <c r="N77" s="66">
        <f>Table16[[#This Row],[Price]]/Table16[[#This Row],[Area (sq. in)]]*144</f>
        <v>27.814889336016094</v>
      </c>
      <c r="U77">
        <v>2023</v>
      </c>
      <c r="V77" t="s">
        <v>3160</v>
      </c>
      <c r="W77" t="s">
        <v>99</v>
      </c>
      <c r="X77" s="64" t="s">
        <v>1596</v>
      </c>
      <c r="Y77" t="s">
        <v>71</v>
      </c>
      <c r="Z77" t="s">
        <v>71</v>
      </c>
    </row>
    <row r="78" spans="1:26" x14ac:dyDescent="0.2">
      <c r="A78" t="s">
        <v>1328</v>
      </c>
      <c r="B78" t="s">
        <v>3433</v>
      </c>
      <c r="D78" s="64" t="s">
        <v>1444</v>
      </c>
      <c r="E78" s="64" t="s">
        <v>1552</v>
      </c>
      <c r="F78" s="64" t="s">
        <v>1331</v>
      </c>
      <c r="G78" s="64">
        <v>0.45</v>
      </c>
      <c r="H78" s="64">
        <v>0.56000000000000005</v>
      </c>
      <c r="I78" s="64" t="s">
        <v>3344</v>
      </c>
      <c r="J78" s="64">
        <v>2209</v>
      </c>
      <c r="K78" s="64" t="s">
        <v>1453</v>
      </c>
      <c r="L78" s="64" t="s">
        <v>917</v>
      </c>
      <c r="M78" s="65">
        <v>703.99</v>
      </c>
      <c r="N78" s="66">
        <f>Table16[[#This Row],[Price]]/Table16[[#This Row],[Area (sq. in)]]*144</f>
        <v>45.891607062019013</v>
      </c>
      <c r="U78">
        <v>2023</v>
      </c>
      <c r="V78" t="s">
        <v>3119</v>
      </c>
      <c r="W78" t="s">
        <v>99</v>
      </c>
      <c r="X78" s="64" t="s">
        <v>1553</v>
      </c>
      <c r="Y78" t="s">
        <v>72</v>
      </c>
      <c r="Z78" t="s">
        <v>72</v>
      </c>
    </row>
    <row r="79" spans="1:26" x14ac:dyDescent="0.2">
      <c r="A79" t="s">
        <v>1328</v>
      </c>
      <c r="B79" t="s">
        <v>3433</v>
      </c>
      <c r="D79" s="64" t="s">
        <v>1444</v>
      </c>
      <c r="E79" s="64" t="s">
        <v>1557</v>
      </c>
      <c r="F79" s="64" t="s">
        <v>1331</v>
      </c>
      <c r="G79" s="64">
        <v>0.45</v>
      </c>
      <c r="H79" s="64">
        <v>0.56000000000000005</v>
      </c>
      <c r="I79" s="64" t="s">
        <v>3344</v>
      </c>
      <c r="J79" s="64">
        <v>2209</v>
      </c>
      <c r="K79" s="64" t="s">
        <v>1453</v>
      </c>
      <c r="L79" s="64" t="s">
        <v>917</v>
      </c>
      <c r="M79" s="65">
        <v>703.99</v>
      </c>
      <c r="N79" s="66">
        <f>Table16[[#This Row],[Price]]/Table16[[#This Row],[Area (sq. in)]]*144</f>
        <v>45.891607062019013</v>
      </c>
      <c r="U79">
        <v>2023</v>
      </c>
      <c r="V79" t="s">
        <v>3240</v>
      </c>
      <c r="W79" t="s">
        <v>99</v>
      </c>
      <c r="X79" s="64" t="s">
        <v>1558</v>
      </c>
      <c r="Y79" t="s">
        <v>72</v>
      </c>
      <c r="Z79" t="s">
        <v>72</v>
      </c>
    </row>
    <row r="80" spans="1:26" x14ac:dyDescent="0.2">
      <c r="A80" t="s">
        <v>1328</v>
      </c>
      <c r="B80" t="s">
        <v>3431</v>
      </c>
      <c r="D80" s="64" t="s">
        <v>465</v>
      </c>
      <c r="E80" s="64" t="s">
        <v>1515</v>
      </c>
      <c r="F80" s="64" t="s">
        <v>1331</v>
      </c>
      <c r="G80" s="64">
        <v>0.3</v>
      </c>
      <c r="H80" s="64">
        <v>0.22</v>
      </c>
      <c r="I80" s="64" t="s">
        <v>3335</v>
      </c>
      <c r="J80" s="64">
        <v>1686.25</v>
      </c>
      <c r="K80" s="64" t="s">
        <v>1473</v>
      </c>
      <c r="L80" s="64" t="s">
        <v>917</v>
      </c>
      <c r="M80" s="65">
        <v>377</v>
      </c>
      <c r="N80" s="66">
        <f>Table16[[#This Row],[Price]]/Table16[[#This Row],[Area (sq. in)]]*144</f>
        <v>32.194514455151968</v>
      </c>
      <c r="U80">
        <v>2023</v>
      </c>
      <c r="V80" t="s">
        <v>3186</v>
      </c>
      <c r="W80" t="s">
        <v>99</v>
      </c>
      <c r="X80" s="64" t="s">
        <v>1516</v>
      </c>
      <c r="Y80" t="s">
        <v>71</v>
      </c>
      <c r="Z80" t="s">
        <v>72</v>
      </c>
    </row>
    <row r="81" spans="1:26" x14ac:dyDescent="0.2">
      <c r="A81" t="s">
        <v>1328</v>
      </c>
      <c r="B81" t="s">
        <v>3431</v>
      </c>
      <c r="D81" s="64" t="s">
        <v>1392</v>
      </c>
      <c r="E81" s="64" t="s">
        <v>1478</v>
      </c>
      <c r="F81" s="64" t="s">
        <v>1331</v>
      </c>
      <c r="G81" s="64">
        <v>0.3</v>
      </c>
      <c r="H81" s="64">
        <v>0.22</v>
      </c>
      <c r="I81" s="64" t="s">
        <v>3349</v>
      </c>
      <c r="J81" s="64">
        <v>3396.25</v>
      </c>
      <c r="K81" s="64" t="s">
        <v>1473</v>
      </c>
      <c r="L81" s="64" t="s">
        <v>917</v>
      </c>
      <c r="M81" s="65">
        <v>362</v>
      </c>
      <c r="N81" s="66">
        <f>Table16[[#This Row],[Price]]/Table16[[#This Row],[Area (sq. in)]]*144</f>
        <v>15.348693411851306</v>
      </c>
      <c r="U81">
        <v>2023</v>
      </c>
      <c r="V81" t="s">
        <v>3164</v>
      </c>
      <c r="W81" t="s">
        <v>99</v>
      </c>
      <c r="X81" s="64" t="s">
        <v>1479</v>
      </c>
      <c r="Y81" t="s">
        <v>71</v>
      </c>
      <c r="Z81" t="s">
        <v>72</v>
      </c>
    </row>
    <row r="82" spans="1:26" x14ac:dyDescent="0.2">
      <c r="A82" t="s">
        <v>1328</v>
      </c>
      <c r="B82" t="s">
        <v>3431</v>
      </c>
      <c r="D82" s="64" t="s">
        <v>1329</v>
      </c>
      <c r="E82" s="64" t="s">
        <v>1388</v>
      </c>
      <c r="F82" s="64" t="s">
        <v>1331</v>
      </c>
      <c r="G82" s="64">
        <v>0.3</v>
      </c>
      <c r="H82" s="64">
        <v>0.22</v>
      </c>
      <c r="I82" s="64" t="s">
        <v>3315</v>
      </c>
      <c r="J82" s="64">
        <v>1260.25</v>
      </c>
      <c r="K82" s="64" t="s">
        <v>1473</v>
      </c>
      <c r="L82" s="64" t="s">
        <v>917</v>
      </c>
      <c r="M82" s="65">
        <v>345</v>
      </c>
      <c r="N82" s="66">
        <f>Table16[[#This Row],[Price]]/Table16[[#This Row],[Area (sq. in)]]*144</f>
        <v>39.420749851219995</v>
      </c>
      <c r="U82">
        <v>2023</v>
      </c>
      <c r="V82" t="s">
        <v>3190</v>
      </c>
      <c r="W82" t="s">
        <v>99</v>
      </c>
      <c r="X82" s="64" t="s">
        <v>1389</v>
      </c>
      <c r="Y82" t="s">
        <v>71</v>
      </c>
      <c r="Z82" t="s">
        <v>72</v>
      </c>
    </row>
    <row r="83" spans="1:26" x14ac:dyDescent="0.2">
      <c r="A83" t="s">
        <v>1328</v>
      </c>
      <c r="B83" t="s">
        <v>3433</v>
      </c>
      <c r="D83" s="64" t="s">
        <v>1561</v>
      </c>
      <c r="E83" s="64" t="s">
        <v>1562</v>
      </c>
      <c r="F83" s="64" t="s">
        <v>1331</v>
      </c>
      <c r="G83" s="64">
        <v>0.49</v>
      </c>
      <c r="H83" s="64">
        <v>0.62</v>
      </c>
      <c r="I83" s="64" t="s">
        <v>3346</v>
      </c>
      <c r="J83" s="64">
        <v>2185.5625</v>
      </c>
      <c r="K83" s="64" t="s">
        <v>1453</v>
      </c>
      <c r="L83" s="64" t="s">
        <v>917</v>
      </c>
      <c r="M83" s="65">
        <v>693.66</v>
      </c>
      <c r="N83" s="66">
        <f>Table16[[#This Row],[Price]]/Table16[[#This Row],[Area (sq. in)]]*144</f>
        <v>45.703126769424344</v>
      </c>
      <c r="U83">
        <v>2023</v>
      </c>
      <c r="V83" t="s">
        <v>3133</v>
      </c>
      <c r="W83" t="s">
        <v>99</v>
      </c>
      <c r="X83" s="64" t="s">
        <v>1563</v>
      </c>
      <c r="Y83" t="s">
        <v>72</v>
      </c>
      <c r="Z83" t="s">
        <v>72</v>
      </c>
    </row>
    <row r="84" spans="1:26" x14ac:dyDescent="0.2">
      <c r="A84" t="s">
        <v>1328</v>
      </c>
      <c r="B84" t="s">
        <v>3431</v>
      </c>
      <c r="D84" s="64" t="s">
        <v>465</v>
      </c>
      <c r="E84" s="64" t="s">
        <v>1527</v>
      </c>
      <c r="F84" s="64" t="s">
        <v>1331</v>
      </c>
      <c r="G84" s="64">
        <v>0.3</v>
      </c>
      <c r="H84" s="64">
        <v>0.22</v>
      </c>
      <c r="I84" s="64" t="s">
        <v>3357</v>
      </c>
      <c r="J84" s="64">
        <v>834.25</v>
      </c>
      <c r="K84" s="64" t="s">
        <v>1394</v>
      </c>
      <c r="L84" s="64" t="s">
        <v>917</v>
      </c>
      <c r="M84" s="65">
        <v>315</v>
      </c>
      <c r="N84" s="66">
        <f>Table16[[#This Row],[Price]]/Table16[[#This Row],[Area (sq. in)]]*144</f>
        <v>54.372190590350613</v>
      </c>
      <c r="U84">
        <v>2023</v>
      </c>
      <c r="V84" t="s">
        <v>3196</v>
      </c>
      <c r="W84" t="s">
        <v>99</v>
      </c>
      <c r="X84" s="64" t="s">
        <v>1528</v>
      </c>
      <c r="Y84" t="s">
        <v>71</v>
      </c>
      <c r="Z84" t="s">
        <v>72</v>
      </c>
    </row>
    <row r="85" spans="1:26" x14ac:dyDescent="0.2">
      <c r="A85" t="s">
        <v>1328</v>
      </c>
      <c r="B85" t="s">
        <v>3433</v>
      </c>
      <c r="D85" s="64" t="s">
        <v>1561</v>
      </c>
      <c r="E85" s="64" t="s">
        <v>1564</v>
      </c>
      <c r="F85" s="64" t="s">
        <v>1331</v>
      </c>
      <c r="G85" s="64">
        <v>0.49</v>
      </c>
      <c r="H85" s="64">
        <v>0.62</v>
      </c>
      <c r="I85" s="64" t="s">
        <v>3346</v>
      </c>
      <c r="J85" s="64">
        <v>2185.5625</v>
      </c>
      <c r="K85" s="64" t="s">
        <v>1453</v>
      </c>
      <c r="L85" s="64" t="s">
        <v>917</v>
      </c>
      <c r="M85" s="65">
        <v>683.02</v>
      </c>
      <c r="N85" s="66">
        <f>Table16[[#This Row],[Price]]/Table16[[#This Row],[Area (sq. in)]]*144</f>
        <v>45.002089851010894</v>
      </c>
      <c r="U85">
        <v>2023</v>
      </c>
      <c r="V85" t="s">
        <v>3122</v>
      </c>
      <c r="W85" t="s">
        <v>99</v>
      </c>
      <c r="X85" s="64" t="s">
        <v>1565</v>
      </c>
      <c r="Y85" t="s">
        <v>72</v>
      </c>
      <c r="Z85" t="s">
        <v>72</v>
      </c>
    </row>
    <row r="86" spans="1:26" x14ac:dyDescent="0.2">
      <c r="A86" t="s">
        <v>1328</v>
      </c>
      <c r="B86" t="s">
        <v>3431</v>
      </c>
      <c r="D86" s="64" t="s">
        <v>465</v>
      </c>
      <c r="E86" s="64" t="s">
        <v>1459</v>
      </c>
      <c r="F86" s="64" t="s">
        <v>1331</v>
      </c>
      <c r="G86" s="64">
        <v>0.3</v>
      </c>
      <c r="H86" s="64">
        <v>0.22</v>
      </c>
      <c r="I86" s="64" t="s">
        <v>3321</v>
      </c>
      <c r="J86" s="64">
        <v>2256.25</v>
      </c>
      <c r="K86" s="64" t="s">
        <v>1473</v>
      </c>
      <c r="L86" s="64" t="s">
        <v>917</v>
      </c>
      <c r="M86" s="65">
        <v>314</v>
      </c>
      <c r="N86" s="66">
        <f>Table16[[#This Row],[Price]]/Table16[[#This Row],[Area (sq. in)]]*144</f>
        <v>20.040332409972301</v>
      </c>
      <c r="U86">
        <v>2023</v>
      </c>
      <c r="V86" t="s">
        <v>3263</v>
      </c>
      <c r="W86" t="s">
        <v>99</v>
      </c>
      <c r="X86" s="64" t="s">
        <v>1460</v>
      </c>
      <c r="Y86" t="s">
        <v>71</v>
      </c>
      <c r="Z86" t="s">
        <v>72</v>
      </c>
    </row>
    <row r="87" spans="1:26" x14ac:dyDescent="0.2">
      <c r="A87" t="s">
        <v>1328</v>
      </c>
      <c r="B87" t="s">
        <v>3431</v>
      </c>
      <c r="D87" s="64" t="s">
        <v>465</v>
      </c>
      <c r="E87" s="64" t="s">
        <v>1642</v>
      </c>
      <c r="F87" s="64" t="s">
        <v>1331</v>
      </c>
      <c r="G87" s="64">
        <v>0.3</v>
      </c>
      <c r="H87" s="64">
        <v>0.22</v>
      </c>
      <c r="I87" s="64" t="s">
        <v>3329</v>
      </c>
      <c r="J87" s="64">
        <v>834.25</v>
      </c>
      <c r="K87" s="64" t="s">
        <v>1473</v>
      </c>
      <c r="L87" s="64" t="s">
        <v>917</v>
      </c>
      <c r="M87" s="65">
        <v>312</v>
      </c>
      <c r="N87" s="66">
        <f>Table16[[#This Row],[Price]]/Table16[[#This Row],[Area (sq. in)]]*144</f>
        <v>53.854360203775848</v>
      </c>
      <c r="U87">
        <v>2023</v>
      </c>
      <c r="V87" t="s">
        <v>3245</v>
      </c>
      <c r="W87" t="s">
        <v>99</v>
      </c>
      <c r="X87" s="64" t="s">
        <v>1643</v>
      </c>
      <c r="Y87" t="s">
        <v>71</v>
      </c>
      <c r="Z87" t="s">
        <v>72</v>
      </c>
    </row>
    <row r="88" spans="1:26" x14ac:dyDescent="0.2">
      <c r="A88" t="s">
        <v>1328</v>
      </c>
      <c r="B88" t="s">
        <v>3431</v>
      </c>
      <c r="D88" s="64" t="s">
        <v>465</v>
      </c>
      <c r="E88" s="64" t="s">
        <v>1498</v>
      </c>
      <c r="F88" s="64" t="s">
        <v>1331</v>
      </c>
      <c r="G88" s="64">
        <v>0.3</v>
      </c>
      <c r="H88" s="64">
        <v>0.22</v>
      </c>
      <c r="I88" s="64" t="s">
        <v>3323</v>
      </c>
      <c r="J88" s="64">
        <v>552.25</v>
      </c>
      <c r="K88" s="64" t="s">
        <v>1473</v>
      </c>
      <c r="L88" s="64" t="s">
        <v>917</v>
      </c>
      <c r="M88" s="65">
        <v>292</v>
      </c>
      <c r="N88" s="66">
        <f>Table16[[#This Row],[Price]]/Table16[[#This Row],[Area (sq. in)]]*144</f>
        <v>76.139429606156639</v>
      </c>
      <c r="U88">
        <v>2023</v>
      </c>
      <c r="V88" t="s">
        <v>3231</v>
      </c>
      <c r="W88" t="s">
        <v>99</v>
      </c>
      <c r="X88" s="64" t="s">
        <v>1499</v>
      </c>
      <c r="Y88" t="s">
        <v>71</v>
      </c>
      <c r="Z88" t="s">
        <v>72</v>
      </c>
    </row>
    <row r="89" spans="1:26" x14ac:dyDescent="0.2">
      <c r="A89" t="s">
        <v>1328</v>
      </c>
      <c r="B89" t="s">
        <v>3431</v>
      </c>
      <c r="D89" s="64" t="s">
        <v>1392</v>
      </c>
      <c r="E89" s="64" t="s">
        <v>1407</v>
      </c>
      <c r="F89" s="64" t="s">
        <v>1331</v>
      </c>
      <c r="G89" s="64">
        <v>0.28999999999999998</v>
      </c>
      <c r="H89" s="64">
        <v>0.2</v>
      </c>
      <c r="I89" s="64" t="s">
        <v>3311</v>
      </c>
      <c r="J89" s="64">
        <v>3540.25</v>
      </c>
      <c r="K89" s="64" t="s">
        <v>1394</v>
      </c>
      <c r="L89" s="64" t="s">
        <v>917</v>
      </c>
      <c r="M89" s="65">
        <v>1538</v>
      </c>
      <c r="N89" s="66">
        <f>Table16[[#This Row],[Price]]/Table16[[#This Row],[Area (sq. in)]]*144</f>
        <v>62.558293905797612</v>
      </c>
      <c r="U89">
        <v>2023</v>
      </c>
      <c r="V89" t="s">
        <v>3219</v>
      </c>
      <c r="W89" t="s">
        <v>99</v>
      </c>
      <c r="X89" s="64" t="s">
        <v>1408</v>
      </c>
      <c r="Y89" t="s">
        <v>71</v>
      </c>
      <c r="Z89" t="s">
        <v>72</v>
      </c>
    </row>
    <row r="90" spans="1:26" x14ac:dyDescent="0.2">
      <c r="A90" t="s">
        <v>1328</v>
      </c>
      <c r="B90" t="s">
        <v>3431</v>
      </c>
      <c r="D90" s="64" t="s">
        <v>465</v>
      </c>
      <c r="E90" s="64" t="s">
        <v>1650</v>
      </c>
      <c r="F90" s="64" t="s">
        <v>1331</v>
      </c>
      <c r="G90" s="64">
        <v>0.28999999999999998</v>
      </c>
      <c r="H90" s="64">
        <v>0.2</v>
      </c>
      <c r="I90" s="64" t="s">
        <v>3321</v>
      </c>
      <c r="J90" s="64">
        <v>2256.25</v>
      </c>
      <c r="K90" s="64" t="s">
        <v>1394</v>
      </c>
      <c r="L90" s="64" t="s">
        <v>917</v>
      </c>
      <c r="M90" s="65">
        <v>1438</v>
      </c>
      <c r="N90" s="66">
        <f>Table16[[#This Row],[Price]]/Table16[[#This Row],[Area (sq. in)]]*144</f>
        <v>91.777063711911353</v>
      </c>
      <c r="U90">
        <v>2023</v>
      </c>
      <c r="V90" t="s">
        <v>3142</v>
      </c>
      <c r="W90" t="s">
        <v>99</v>
      </c>
      <c r="X90" s="64" t="s">
        <v>1651</v>
      </c>
      <c r="Y90" t="s">
        <v>71</v>
      </c>
      <c r="Z90" t="s">
        <v>72</v>
      </c>
    </row>
    <row r="91" spans="1:26" x14ac:dyDescent="0.2">
      <c r="A91" t="s">
        <v>1328</v>
      </c>
      <c r="B91" t="s">
        <v>3431</v>
      </c>
      <c r="D91" s="64" t="s">
        <v>465</v>
      </c>
      <c r="E91" s="64" t="s">
        <v>1500</v>
      </c>
      <c r="F91" s="64" t="s">
        <v>1331</v>
      </c>
      <c r="G91" s="64">
        <v>0.28999999999999998</v>
      </c>
      <c r="H91" s="64">
        <v>0.2</v>
      </c>
      <c r="I91" s="64" t="s">
        <v>3311</v>
      </c>
      <c r="J91" s="64">
        <v>3540.25</v>
      </c>
      <c r="K91" s="64" t="s">
        <v>1394</v>
      </c>
      <c r="L91" s="64" t="s">
        <v>917</v>
      </c>
      <c r="M91" s="65">
        <v>1408</v>
      </c>
      <c r="N91" s="66">
        <f>Table16[[#This Row],[Price]]/Table16[[#This Row],[Area (sq. in)]]*144</f>
        <v>57.270531742108609</v>
      </c>
      <c r="U91">
        <v>2023</v>
      </c>
      <c r="V91" t="s">
        <v>3129</v>
      </c>
      <c r="W91" t="s">
        <v>99</v>
      </c>
      <c r="X91" s="4" t="s">
        <v>1501</v>
      </c>
      <c r="Y91" t="s">
        <v>71</v>
      </c>
      <c r="Z91" t="s">
        <v>72</v>
      </c>
    </row>
    <row r="92" spans="1:26" x14ac:dyDescent="0.2">
      <c r="A92" t="s">
        <v>1328</v>
      </c>
      <c r="B92" t="s">
        <v>3431</v>
      </c>
      <c r="D92" s="64" t="s">
        <v>465</v>
      </c>
      <c r="E92" s="64" t="s">
        <v>1464</v>
      </c>
      <c r="F92" s="64" t="s">
        <v>1331</v>
      </c>
      <c r="G92" s="64">
        <v>0.28999999999999998</v>
      </c>
      <c r="H92" s="64">
        <v>0.2</v>
      </c>
      <c r="I92" s="64" t="s">
        <v>3321</v>
      </c>
      <c r="J92" s="64">
        <v>2256.25</v>
      </c>
      <c r="K92" s="64" t="s">
        <v>1394</v>
      </c>
      <c r="L92" s="64" t="s">
        <v>917</v>
      </c>
      <c r="M92" s="65">
        <v>1368</v>
      </c>
      <c r="N92" s="66">
        <f>Table16[[#This Row],[Price]]/Table16[[#This Row],[Area (sq. in)]]*144</f>
        <v>87.309473684210531</v>
      </c>
      <c r="U92">
        <v>2023</v>
      </c>
      <c r="V92" t="s">
        <v>3138</v>
      </c>
      <c r="W92" t="s">
        <v>99</v>
      </c>
      <c r="X92" s="64" t="s">
        <v>1465</v>
      </c>
      <c r="Y92" t="s">
        <v>71</v>
      </c>
      <c r="Z92" t="s">
        <v>72</v>
      </c>
    </row>
    <row r="93" spans="1:26" x14ac:dyDescent="0.2">
      <c r="A93" t="s">
        <v>1328</v>
      </c>
      <c r="B93" t="s">
        <v>3431</v>
      </c>
      <c r="D93" s="64" t="s">
        <v>465</v>
      </c>
      <c r="E93" s="64" t="s">
        <v>1535</v>
      </c>
      <c r="F93" s="64" t="s">
        <v>1331</v>
      </c>
      <c r="G93" s="64">
        <v>0.28999999999999998</v>
      </c>
      <c r="H93" s="64">
        <v>0.2</v>
      </c>
      <c r="I93" s="64" t="s">
        <v>3376</v>
      </c>
      <c r="J93" s="64">
        <v>1722.25</v>
      </c>
      <c r="K93" s="64" t="s">
        <v>1403</v>
      </c>
      <c r="L93" s="64" t="s">
        <v>917</v>
      </c>
      <c r="M93" s="65">
        <v>1276.2</v>
      </c>
      <c r="N93" s="66">
        <f>Table16[[#This Row],[Price]]/Table16[[#This Row],[Area (sq. in)]]*144</f>
        <v>106.70506604732182</v>
      </c>
      <c r="U93">
        <v>2023</v>
      </c>
      <c r="V93" t="s">
        <v>3290</v>
      </c>
      <c r="W93" t="s">
        <v>99</v>
      </c>
      <c r="X93" s="64" t="s">
        <v>1536</v>
      </c>
      <c r="Y93" t="s">
        <v>71</v>
      </c>
      <c r="Z93" t="s">
        <v>72</v>
      </c>
    </row>
    <row r="94" spans="1:26" x14ac:dyDescent="0.2">
      <c r="A94" t="s">
        <v>1328</v>
      </c>
      <c r="B94" t="s">
        <v>3433</v>
      </c>
      <c r="D94" s="64" t="s">
        <v>1444</v>
      </c>
      <c r="E94" s="64" t="s">
        <v>1576</v>
      </c>
      <c r="F94" s="64" t="s">
        <v>1331</v>
      </c>
      <c r="G94" s="64">
        <v>0.45</v>
      </c>
      <c r="H94" s="64">
        <v>0.56000000000000005</v>
      </c>
      <c r="I94" s="64" t="s">
        <v>3344</v>
      </c>
      <c r="J94" s="64">
        <v>2209</v>
      </c>
      <c r="K94" s="64" t="s">
        <v>1453</v>
      </c>
      <c r="L94" s="64" t="s">
        <v>917</v>
      </c>
      <c r="M94" s="65">
        <v>646.22</v>
      </c>
      <c r="N94" s="66">
        <f>Table16[[#This Row],[Price]]/Table16[[#This Row],[Area (sq. in)]]*144</f>
        <v>42.125703938433688</v>
      </c>
      <c r="U94">
        <v>2023</v>
      </c>
      <c r="V94" t="s">
        <v>3119</v>
      </c>
      <c r="W94" t="s">
        <v>99</v>
      </c>
      <c r="X94" s="64" t="s">
        <v>1577</v>
      </c>
      <c r="Y94" t="s">
        <v>72</v>
      </c>
      <c r="Z94" t="s">
        <v>72</v>
      </c>
    </row>
    <row r="95" spans="1:26" x14ac:dyDescent="0.2">
      <c r="A95" t="s">
        <v>1328</v>
      </c>
      <c r="B95" t="s">
        <v>3431</v>
      </c>
      <c r="D95" s="64" t="s">
        <v>1329</v>
      </c>
      <c r="E95" s="64" t="s">
        <v>1537</v>
      </c>
      <c r="F95" s="64" t="s">
        <v>1331</v>
      </c>
      <c r="G95" s="64">
        <v>0.28999999999999998</v>
      </c>
      <c r="H95" s="64">
        <v>0.2</v>
      </c>
      <c r="I95" s="64" t="s">
        <v>3335</v>
      </c>
      <c r="J95" s="64">
        <v>1686.25</v>
      </c>
      <c r="K95" s="64" t="s">
        <v>1394</v>
      </c>
      <c r="L95" s="64" t="s">
        <v>917</v>
      </c>
      <c r="M95" s="65">
        <v>1188</v>
      </c>
      <c r="N95" s="66">
        <f>Table16[[#This Row],[Price]]/Table16[[#This Row],[Area (sq. in)]]*144</f>
        <v>101.45114899925872</v>
      </c>
      <c r="U95">
        <v>2023</v>
      </c>
      <c r="V95" t="s">
        <v>3151</v>
      </c>
      <c r="W95" t="s">
        <v>99</v>
      </c>
      <c r="X95" s="64" t="s">
        <v>1538</v>
      </c>
      <c r="Y95" t="s">
        <v>71</v>
      </c>
      <c r="Z95" t="s">
        <v>72</v>
      </c>
    </row>
    <row r="96" spans="1:26" x14ac:dyDescent="0.2">
      <c r="A96" t="s">
        <v>1328</v>
      </c>
      <c r="B96" t="s">
        <v>3431</v>
      </c>
      <c r="D96" s="64" t="s">
        <v>1392</v>
      </c>
      <c r="E96" s="64" t="s">
        <v>1409</v>
      </c>
      <c r="F96" s="64" t="s">
        <v>1331</v>
      </c>
      <c r="G96" s="64">
        <v>0.28999999999999998</v>
      </c>
      <c r="H96" s="64">
        <v>0.2</v>
      </c>
      <c r="I96" s="64" t="s">
        <v>3330</v>
      </c>
      <c r="J96" s="64">
        <v>2826.25</v>
      </c>
      <c r="K96" s="64" t="s">
        <v>1394</v>
      </c>
      <c r="L96" s="64" t="s">
        <v>917</v>
      </c>
      <c r="M96" s="65">
        <v>1178</v>
      </c>
      <c r="N96" s="66">
        <f>Table16[[#This Row],[Price]]/Table16[[#This Row],[Area (sq. in)]]*144</f>
        <v>60.020168067226891</v>
      </c>
      <c r="U96">
        <v>2023</v>
      </c>
      <c r="V96" t="s">
        <v>3247</v>
      </c>
      <c r="W96" t="s">
        <v>99</v>
      </c>
      <c r="X96" s="64" t="s">
        <v>1410</v>
      </c>
      <c r="Y96" t="s">
        <v>71</v>
      </c>
      <c r="Z96" t="s">
        <v>72</v>
      </c>
    </row>
    <row r="97" spans="1:26" x14ac:dyDescent="0.2">
      <c r="A97" t="s">
        <v>1328</v>
      </c>
      <c r="B97" t="s">
        <v>3431</v>
      </c>
      <c r="D97" s="64" t="s">
        <v>465</v>
      </c>
      <c r="E97" s="64" t="s">
        <v>1546</v>
      </c>
      <c r="F97" s="64" t="s">
        <v>1331</v>
      </c>
      <c r="G97" s="64">
        <v>0.28999999999999998</v>
      </c>
      <c r="H97" s="64">
        <v>0.2</v>
      </c>
      <c r="I97" s="64" t="s">
        <v>3330</v>
      </c>
      <c r="J97" s="64">
        <v>2826.25</v>
      </c>
      <c r="K97" s="64" t="s">
        <v>1394</v>
      </c>
      <c r="L97" s="64" t="s">
        <v>917</v>
      </c>
      <c r="M97" s="65">
        <v>1178</v>
      </c>
      <c r="N97" s="66">
        <f>Table16[[#This Row],[Price]]/Table16[[#This Row],[Area (sq. in)]]*144</f>
        <v>60.020168067226891</v>
      </c>
      <c r="U97">
        <v>2023</v>
      </c>
      <c r="V97" t="s">
        <v>3249</v>
      </c>
      <c r="W97" t="s">
        <v>99</v>
      </c>
      <c r="X97" s="64" t="s">
        <v>1547</v>
      </c>
      <c r="Y97" t="s">
        <v>71</v>
      </c>
      <c r="Z97" t="s">
        <v>72</v>
      </c>
    </row>
    <row r="98" spans="1:26" x14ac:dyDescent="0.2">
      <c r="A98" t="s">
        <v>1328</v>
      </c>
      <c r="B98" t="s">
        <v>3431</v>
      </c>
      <c r="D98" s="64" t="s">
        <v>1392</v>
      </c>
      <c r="E98" s="64" t="s">
        <v>1411</v>
      </c>
      <c r="F98" s="64" t="s">
        <v>1331</v>
      </c>
      <c r="G98" s="64">
        <v>0.28999999999999998</v>
      </c>
      <c r="H98" s="64">
        <v>0.2</v>
      </c>
      <c r="I98" s="64" t="s">
        <v>3335</v>
      </c>
      <c r="J98" s="64">
        <v>1686.25</v>
      </c>
      <c r="K98" s="64" t="s">
        <v>1403</v>
      </c>
      <c r="L98" s="64" t="s">
        <v>917</v>
      </c>
      <c r="M98" s="65">
        <v>1058</v>
      </c>
      <c r="N98" s="66">
        <f>Table16[[#This Row],[Price]]/Table16[[#This Row],[Area (sq. in)]]*144</f>
        <v>90.349592290585619</v>
      </c>
      <c r="U98">
        <v>2023</v>
      </c>
      <c r="V98" t="s">
        <v>3159</v>
      </c>
      <c r="W98" t="s">
        <v>99</v>
      </c>
      <c r="X98" s="64" t="s">
        <v>1412</v>
      </c>
      <c r="Y98" t="s">
        <v>71</v>
      </c>
      <c r="Z98" t="s">
        <v>72</v>
      </c>
    </row>
    <row r="99" spans="1:26" x14ac:dyDescent="0.2">
      <c r="A99" t="s">
        <v>1328</v>
      </c>
      <c r="B99" t="s">
        <v>3431</v>
      </c>
      <c r="D99" s="64" t="s">
        <v>465</v>
      </c>
      <c r="E99" s="64" t="s">
        <v>1648</v>
      </c>
      <c r="F99" s="64" t="s">
        <v>1331</v>
      </c>
      <c r="G99" s="64">
        <v>0.28999999999999998</v>
      </c>
      <c r="H99" s="64">
        <v>0.21</v>
      </c>
      <c r="I99" s="64" t="s">
        <v>3311</v>
      </c>
      <c r="J99" s="64">
        <v>3540.25</v>
      </c>
      <c r="K99" s="64" t="s">
        <v>1394</v>
      </c>
      <c r="L99" s="64" t="s">
        <v>917</v>
      </c>
      <c r="M99" s="65">
        <v>1058</v>
      </c>
      <c r="N99" s="66">
        <f>Table16[[#This Row],[Price]]/Table16[[#This Row],[Area (sq. in)]]*144</f>
        <v>43.034248993715131</v>
      </c>
      <c r="U99">
        <v>2023</v>
      </c>
      <c r="V99" t="s">
        <v>3228</v>
      </c>
      <c r="W99" t="s">
        <v>99</v>
      </c>
      <c r="X99" s="64" t="s">
        <v>1649</v>
      </c>
      <c r="Y99" t="s">
        <v>71</v>
      </c>
      <c r="Z99" t="s">
        <v>72</v>
      </c>
    </row>
    <row r="100" spans="1:26" x14ac:dyDescent="0.2">
      <c r="A100" t="s">
        <v>1328</v>
      </c>
      <c r="B100" t="s">
        <v>3431</v>
      </c>
      <c r="D100" s="64" t="s">
        <v>1392</v>
      </c>
      <c r="E100" s="64" t="s">
        <v>1393</v>
      </c>
      <c r="F100" s="64" t="s">
        <v>1331</v>
      </c>
      <c r="G100" s="64">
        <v>0.28999999999999998</v>
      </c>
      <c r="H100" s="64">
        <v>0.2</v>
      </c>
      <c r="I100" s="64" t="s">
        <v>3341</v>
      </c>
      <c r="J100" s="64">
        <v>1116.25</v>
      </c>
      <c r="K100" s="64" t="s">
        <v>1403</v>
      </c>
      <c r="L100" s="64" t="s">
        <v>917</v>
      </c>
      <c r="M100" s="65">
        <v>1008</v>
      </c>
      <c r="N100" s="66">
        <f>Table16[[#This Row],[Price]]/Table16[[#This Row],[Area (sq. in)]]*144</f>
        <v>130.0353863381859</v>
      </c>
      <c r="U100">
        <v>2023</v>
      </c>
      <c r="V100" t="s">
        <v>3255</v>
      </c>
      <c r="W100" t="s">
        <v>99</v>
      </c>
      <c r="X100" s="64" t="s">
        <v>1395</v>
      </c>
      <c r="Y100" t="s">
        <v>71</v>
      </c>
      <c r="Z100" t="s">
        <v>72</v>
      </c>
    </row>
    <row r="101" spans="1:26" x14ac:dyDescent="0.2">
      <c r="A101" t="s">
        <v>1328</v>
      </c>
      <c r="B101" t="s">
        <v>3431</v>
      </c>
      <c r="D101" s="64" t="s">
        <v>465</v>
      </c>
      <c r="E101" s="64" t="s">
        <v>1658</v>
      </c>
      <c r="F101" s="64" t="s">
        <v>1331</v>
      </c>
      <c r="G101" s="64">
        <v>0.28999999999999998</v>
      </c>
      <c r="H101" s="64">
        <v>0.2</v>
      </c>
      <c r="I101" s="64" t="s">
        <v>3356</v>
      </c>
      <c r="J101" s="64">
        <v>2112.25</v>
      </c>
      <c r="K101" s="64" t="s">
        <v>1394</v>
      </c>
      <c r="L101" s="64" t="s">
        <v>917</v>
      </c>
      <c r="M101" s="65">
        <v>1008</v>
      </c>
      <c r="N101" s="66">
        <f>Table16[[#This Row],[Price]]/Table16[[#This Row],[Area (sq. in)]]*144</f>
        <v>68.719138359569172</v>
      </c>
      <c r="U101">
        <v>2023</v>
      </c>
      <c r="V101" t="s">
        <v>3307</v>
      </c>
      <c r="W101" t="s">
        <v>99</v>
      </c>
      <c r="X101" s="64" t="s">
        <v>1659</v>
      </c>
      <c r="Y101" t="s">
        <v>71</v>
      </c>
      <c r="Z101" t="s">
        <v>72</v>
      </c>
    </row>
    <row r="102" spans="1:26" x14ac:dyDescent="0.2">
      <c r="A102" t="s">
        <v>1328</v>
      </c>
      <c r="B102" t="s">
        <v>3431</v>
      </c>
      <c r="D102" s="64" t="s">
        <v>1392</v>
      </c>
      <c r="E102" s="64" t="s">
        <v>1483</v>
      </c>
      <c r="F102" s="64" t="s">
        <v>1331</v>
      </c>
      <c r="G102" s="64">
        <v>0.28999999999999998</v>
      </c>
      <c r="H102" s="64">
        <v>0.2</v>
      </c>
      <c r="I102" s="64" t="s">
        <v>3356</v>
      </c>
      <c r="J102" s="64">
        <v>2112.25</v>
      </c>
      <c r="K102" s="64" t="s">
        <v>1394</v>
      </c>
      <c r="L102" s="64" t="s">
        <v>917</v>
      </c>
      <c r="M102" s="65">
        <v>978</v>
      </c>
      <c r="N102" s="66">
        <f>Table16[[#This Row],[Price]]/Table16[[#This Row],[Area (sq. in)]]*144</f>
        <v>66.673925908391524</v>
      </c>
      <c r="U102">
        <v>2023</v>
      </c>
      <c r="V102" t="s">
        <v>3192</v>
      </c>
      <c r="W102" t="s">
        <v>99</v>
      </c>
      <c r="X102" s="64" t="s">
        <v>1484</v>
      </c>
      <c r="Y102" t="s">
        <v>71</v>
      </c>
      <c r="Z102" t="s">
        <v>72</v>
      </c>
    </row>
    <row r="103" spans="1:26" x14ac:dyDescent="0.2">
      <c r="A103" t="s">
        <v>1328</v>
      </c>
      <c r="B103" t="s">
        <v>3431</v>
      </c>
      <c r="D103" s="64" t="s">
        <v>1392</v>
      </c>
      <c r="E103" s="64" t="s">
        <v>1419</v>
      </c>
      <c r="F103" s="64" t="s">
        <v>1331</v>
      </c>
      <c r="G103" s="64">
        <v>0.28999999999999998</v>
      </c>
      <c r="H103" s="64">
        <v>0.21</v>
      </c>
      <c r="I103" s="64" t="s">
        <v>3331</v>
      </c>
      <c r="J103" s="64">
        <v>2826.25</v>
      </c>
      <c r="K103" s="64" t="s">
        <v>1403</v>
      </c>
      <c r="L103" s="64" t="s">
        <v>917</v>
      </c>
      <c r="M103" s="65">
        <v>948</v>
      </c>
      <c r="N103" s="66">
        <f>Table16[[#This Row],[Price]]/Table16[[#This Row],[Area (sq. in)]]*144</f>
        <v>48.301459531180896</v>
      </c>
      <c r="U103">
        <v>2023</v>
      </c>
      <c r="V103" t="s">
        <v>3168</v>
      </c>
      <c r="W103" t="s">
        <v>99</v>
      </c>
      <c r="X103" s="64" t="s">
        <v>1420</v>
      </c>
      <c r="Y103" t="s">
        <v>71</v>
      </c>
      <c r="Z103" t="s">
        <v>72</v>
      </c>
    </row>
    <row r="104" spans="1:26" x14ac:dyDescent="0.2">
      <c r="A104" t="s">
        <v>1328</v>
      </c>
      <c r="B104" t="s">
        <v>3431</v>
      </c>
      <c r="D104" s="64" t="s">
        <v>465</v>
      </c>
      <c r="E104" s="64" t="s">
        <v>1602</v>
      </c>
      <c r="F104" s="64" t="s">
        <v>1331</v>
      </c>
      <c r="G104" s="64">
        <v>0.28999999999999998</v>
      </c>
      <c r="H104" s="64">
        <v>0.2</v>
      </c>
      <c r="I104" s="64" t="s">
        <v>3335</v>
      </c>
      <c r="J104" s="64">
        <v>1686.25</v>
      </c>
      <c r="K104" s="64" t="s">
        <v>1394</v>
      </c>
      <c r="L104" s="64" t="s">
        <v>917</v>
      </c>
      <c r="M104" s="65">
        <v>928</v>
      </c>
      <c r="N104" s="66">
        <f>Table16[[#This Row],[Price]]/Table16[[#This Row],[Area (sq. in)]]*144</f>
        <v>79.248035581912518</v>
      </c>
      <c r="U104">
        <v>2023</v>
      </c>
      <c r="V104" t="s">
        <v>3292</v>
      </c>
      <c r="W104" t="s">
        <v>99</v>
      </c>
      <c r="X104" s="64" t="s">
        <v>1603</v>
      </c>
      <c r="Y104" t="s">
        <v>71</v>
      </c>
      <c r="Z104" t="s">
        <v>72</v>
      </c>
    </row>
    <row r="105" spans="1:26" x14ac:dyDescent="0.2">
      <c r="A105" t="s">
        <v>1328</v>
      </c>
      <c r="B105" t="s">
        <v>3431</v>
      </c>
      <c r="D105" s="64" t="s">
        <v>465</v>
      </c>
      <c r="E105" s="64" t="s">
        <v>1523</v>
      </c>
      <c r="F105" s="64" t="s">
        <v>1331</v>
      </c>
      <c r="G105" s="64">
        <v>0.28999999999999998</v>
      </c>
      <c r="H105" s="64">
        <v>0.2</v>
      </c>
      <c r="I105" s="64" t="s">
        <v>3335</v>
      </c>
      <c r="J105" s="64">
        <v>1686.25</v>
      </c>
      <c r="K105" s="64" t="s">
        <v>1394</v>
      </c>
      <c r="L105" s="64" t="s">
        <v>917</v>
      </c>
      <c r="M105" s="65">
        <v>898</v>
      </c>
      <c r="N105" s="66">
        <f>Table16[[#This Row],[Price]]/Table16[[#This Row],[Area (sq. in)]]*144</f>
        <v>76.686137879911044</v>
      </c>
      <c r="U105">
        <v>2023</v>
      </c>
      <c r="V105" t="s">
        <v>3256</v>
      </c>
      <c r="W105" t="s">
        <v>99</v>
      </c>
      <c r="X105" s="64" t="s">
        <v>1524</v>
      </c>
      <c r="Y105" t="s">
        <v>71</v>
      </c>
      <c r="Z105" t="s">
        <v>72</v>
      </c>
    </row>
    <row r="106" spans="1:26" hidden="1" x14ac:dyDescent="0.2">
      <c r="A106" t="s">
        <v>1328</v>
      </c>
      <c r="B106" t="s">
        <v>3398</v>
      </c>
      <c r="D106" s="64" t="s">
        <v>465</v>
      </c>
      <c r="E106" s="64" t="s">
        <v>1519</v>
      </c>
      <c r="F106" s="64" t="s">
        <v>1331</v>
      </c>
      <c r="G106" s="64">
        <v>0.5</v>
      </c>
      <c r="H106" s="64">
        <v>0.68</v>
      </c>
      <c r="I106" s="64" t="s">
        <v>3324</v>
      </c>
      <c r="J106" s="64">
        <v>576</v>
      </c>
      <c r="K106" s="64" t="s">
        <v>1332</v>
      </c>
      <c r="L106" s="64" t="s">
        <v>401</v>
      </c>
      <c r="M106" s="65">
        <v>597.08000000000004</v>
      </c>
      <c r="N106" s="66">
        <f>Table16[[#This Row],[Price]]/Table16[[#This Row],[Area (sq. in)]]*144</f>
        <v>149.27000000000004</v>
      </c>
      <c r="U106">
        <v>2023</v>
      </c>
      <c r="V106" t="s">
        <v>3264</v>
      </c>
      <c r="W106" t="s">
        <v>99</v>
      </c>
      <c r="X106" s="64" t="s">
        <v>1520</v>
      </c>
      <c r="Y106" t="s">
        <v>71</v>
      </c>
      <c r="Z106" t="s">
        <v>72</v>
      </c>
    </row>
    <row r="107" spans="1:26" x14ac:dyDescent="0.2">
      <c r="A107" t="s">
        <v>1328</v>
      </c>
      <c r="B107" t="s">
        <v>3431</v>
      </c>
      <c r="D107" s="64" t="s">
        <v>465</v>
      </c>
      <c r="E107" s="64" t="s">
        <v>1428</v>
      </c>
      <c r="F107" s="64" t="s">
        <v>1331</v>
      </c>
      <c r="G107" s="64">
        <v>0.28999999999999998</v>
      </c>
      <c r="H107" s="64">
        <v>0.22</v>
      </c>
      <c r="I107" s="64" t="s">
        <v>3311</v>
      </c>
      <c r="J107" s="64">
        <v>3540.25</v>
      </c>
      <c r="K107" s="64" t="s">
        <v>1394</v>
      </c>
      <c r="L107" s="64" t="s">
        <v>917</v>
      </c>
      <c r="M107" s="65">
        <v>848</v>
      </c>
      <c r="N107" s="66">
        <f>Table16[[#This Row],[Price]]/Table16[[#This Row],[Area (sq. in)]]*144</f>
        <v>34.492479344679047</v>
      </c>
      <c r="U107">
        <v>2023</v>
      </c>
      <c r="V107" t="s">
        <v>3137</v>
      </c>
      <c r="W107" t="s">
        <v>99</v>
      </c>
      <c r="X107" s="64" t="s">
        <v>1429</v>
      </c>
      <c r="Y107" t="s">
        <v>71</v>
      </c>
      <c r="Z107" t="s">
        <v>72</v>
      </c>
    </row>
    <row r="108" spans="1:26" x14ac:dyDescent="0.2">
      <c r="A108" t="s">
        <v>1328</v>
      </c>
      <c r="B108" t="s">
        <v>3431</v>
      </c>
      <c r="D108" s="64" t="s">
        <v>465</v>
      </c>
      <c r="E108" s="64" t="s">
        <v>1656</v>
      </c>
      <c r="F108" s="64" t="s">
        <v>1331</v>
      </c>
      <c r="G108" s="64">
        <v>0.28999999999999998</v>
      </c>
      <c r="H108" s="64">
        <v>0.2</v>
      </c>
      <c r="I108" s="64" t="s">
        <v>3329</v>
      </c>
      <c r="J108" s="64">
        <v>834.25</v>
      </c>
      <c r="K108" s="64" t="s">
        <v>1394</v>
      </c>
      <c r="L108" s="64" t="s">
        <v>917</v>
      </c>
      <c r="M108" s="65">
        <v>828</v>
      </c>
      <c r="N108" s="66">
        <f>Table16[[#This Row],[Price]]/Table16[[#This Row],[Area (sq. in)]]*144</f>
        <v>142.92118669463591</v>
      </c>
      <c r="U108">
        <v>2023</v>
      </c>
      <c r="V108" t="s">
        <v>3180</v>
      </c>
      <c r="W108" t="s">
        <v>99</v>
      </c>
      <c r="X108" s="64" t="s">
        <v>1657</v>
      </c>
      <c r="Y108" t="s">
        <v>71</v>
      </c>
      <c r="Z108" t="s">
        <v>72</v>
      </c>
    </row>
    <row r="109" spans="1:26" x14ac:dyDescent="0.2">
      <c r="A109" t="s">
        <v>1328</v>
      </c>
      <c r="B109" t="s">
        <v>3431</v>
      </c>
      <c r="D109" s="64" t="s">
        <v>465</v>
      </c>
      <c r="E109" s="64" t="s">
        <v>1512</v>
      </c>
      <c r="F109" s="64" t="s">
        <v>1331</v>
      </c>
      <c r="G109" s="64">
        <v>0.28999999999999998</v>
      </c>
      <c r="H109" s="64">
        <v>0.2</v>
      </c>
      <c r="I109" s="64" t="s">
        <v>3315</v>
      </c>
      <c r="J109" s="64">
        <v>1260.25</v>
      </c>
      <c r="K109" s="64" t="s">
        <v>1394</v>
      </c>
      <c r="L109" s="64" t="s">
        <v>917</v>
      </c>
      <c r="M109" s="65">
        <v>818</v>
      </c>
      <c r="N109" s="66">
        <f>Table16[[#This Row],[Price]]/Table16[[#This Row],[Area (sq. in)]]*144</f>
        <v>93.467169212457847</v>
      </c>
      <c r="U109">
        <v>2023</v>
      </c>
      <c r="V109" t="s">
        <v>3236</v>
      </c>
      <c r="W109" t="s">
        <v>99</v>
      </c>
      <c r="X109" s="64" t="s">
        <v>1513</v>
      </c>
      <c r="Y109" t="s">
        <v>71</v>
      </c>
      <c r="Z109" t="s">
        <v>72</v>
      </c>
    </row>
    <row r="110" spans="1:26" x14ac:dyDescent="0.2">
      <c r="A110" t="s">
        <v>1328</v>
      </c>
      <c r="B110" t="s">
        <v>3431</v>
      </c>
      <c r="D110" s="64" t="s">
        <v>465</v>
      </c>
      <c r="E110" s="64" t="s">
        <v>1502</v>
      </c>
      <c r="F110" s="64" t="s">
        <v>1331</v>
      </c>
      <c r="G110" s="64">
        <v>0.28999999999999998</v>
      </c>
      <c r="H110" s="64">
        <v>0.23</v>
      </c>
      <c r="I110" s="64" t="s">
        <v>3321</v>
      </c>
      <c r="J110" s="64">
        <v>2256.25</v>
      </c>
      <c r="K110" s="64" t="s">
        <v>1403</v>
      </c>
      <c r="L110" s="64" t="s">
        <v>917</v>
      </c>
      <c r="M110" s="65">
        <v>778</v>
      </c>
      <c r="N110" s="66">
        <f>Table16[[#This Row],[Price]]/Table16[[#This Row],[Area (sq. in)]]*144</f>
        <v>49.654072022160662</v>
      </c>
      <c r="U110">
        <v>2023</v>
      </c>
      <c r="V110" t="s">
        <v>3146</v>
      </c>
      <c r="W110" t="s">
        <v>99</v>
      </c>
      <c r="X110" s="64" t="s">
        <v>1503</v>
      </c>
      <c r="Y110" t="s">
        <v>71</v>
      </c>
      <c r="Z110" t="s">
        <v>72</v>
      </c>
    </row>
    <row r="111" spans="1:26" hidden="1" x14ac:dyDescent="0.2">
      <c r="A111" t="s">
        <v>1328</v>
      </c>
      <c r="B111" t="s">
        <v>3398</v>
      </c>
      <c r="D111" s="64" t="s">
        <v>465</v>
      </c>
      <c r="E111" s="64" t="s">
        <v>1624</v>
      </c>
      <c r="F111" s="64" t="s">
        <v>1331</v>
      </c>
      <c r="G111" s="64">
        <v>0.5</v>
      </c>
      <c r="H111" s="64">
        <v>0.68</v>
      </c>
      <c r="I111" s="64" t="s">
        <v>3324</v>
      </c>
      <c r="J111" s="64">
        <v>576</v>
      </c>
      <c r="K111" s="64" t="s">
        <v>1332</v>
      </c>
      <c r="L111" s="64" t="s">
        <v>401</v>
      </c>
      <c r="M111" s="65">
        <v>576.5</v>
      </c>
      <c r="N111" s="66">
        <f>Table16[[#This Row],[Price]]/Table16[[#This Row],[Area (sq. in)]]*144</f>
        <v>144.125</v>
      </c>
      <c r="U111">
        <v>2023</v>
      </c>
      <c r="V111" t="s">
        <v>3248</v>
      </c>
      <c r="W111" t="s">
        <v>99</v>
      </c>
      <c r="X111" s="64" t="s">
        <v>1625</v>
      </c>
      <c r="Y111" t="s">
        <v>71</v>
      </c>
      <c r="Z111" t="s">
        <v>72</v>
      </c>
    </row>
    <row r="112" spans="1:26" x14ac:dyDescent="0.2">
      <c r="A112" t="s">
        <v>1328</v>
      </c>
      <c r="B112" t="s">
        <v>3431</v>
      </c>
      <c r="D112" s="64" t="s">
        <v>465</v>
      </c>
      <c r="E112" s="64" t="s">
        <v>1541</v>
      </c>
      <c r="F112" s="64" t="s">
        <v>1331</v>
      </c>
      <c r="G112" s="64">
        <v>0.28999999999999998</v>
      </c>
      <c r="H112" s="64">
        <v>0.21</v>
      </c>
      <c r="I112" s="64" t="s">
        <v>3311</v>
      </c>
      <c r="J112" s="64">
        <v>3540.25</v>
      </c>
      <c r="K112" s="64" t="s">
        <v>1394</v>
      </c>
      <c r="L112" s="64" t="s">
        <v>917</v>
      </c>
      <c r="M112" s="65">
        <v>698</v>
      </c>
      <c r="N112" s="66">
        <f>Table16[[#This Row],[Price]]/Table16[[#This Row],[Area (sq. in)]]*144</f>
        <v>28.391215309653276</v>
      </c>
      <c r="U112">
        <v>2023</v>
      </c>
      <c r="V112" t="s">
        <v>3132</v>
      </c>
      <c r="W112" t="s">
        <v>99</v>
      </c>
      <c r="X112" s="64" t="s">
        <v>1542</v>
      </c>
      <c r="Y112" t="s">
        <v>71</v>
      </c>
      <c r="Z112" t="s">
        <v>72</v>
      </c>
    </row>
    <row r="113" spans="1:26" x14ac:dyDescent="0.2">
      <c r="A113" t="s">
        <v>1328</v>
      </c>
      <c r="B113" t="s">
        <v>3431</v>
      </c>
      <c r="D113" s="64" t="s">
        <v>465</v>
      </c>
      <c r="E113" s="64" t="s">
        <v>1550</v>
      </c>
      <c r="F113" s="64" t="s">
        <v>1331</v>
      </c>
      <c r="G113" s="64">
        <v>0.28999999999999998</v>
      </c>
      <c r="H113" s="64">
        <v>0.2</v>
      </c>
      <c r="I113" s="64" t="s">
        <v>3369</v>
      </c>
      <c r="J113" s="64">
        <v>975.25</v>
      </c>
      <c r="K113" s="64" t="s">
        <v>1403</v>
      </c>
      <c r="L113" s="64" t="s">
        <v>917</v>
      </c>
      <c r="M113" s="65">
        <v>698</v>
      </c>
      <c r="N113" s="66">
        <f>Table16[[#This Row],[Price]]/Table16[[#This Row],[Area (sq. in)]]*144</f>
        <v>103.06280440912586</v>
      </c>
      <c r="U113">
        <v>2023</v>
      </c>
      <c r="V113" t="s">
        <v>3224</v>
      </c>
      <c r="W113" t="s">
        <v>99</v>
      </c>
      <c r="X113" s="64" t="s">
        <v>1551</v>
      </c>
      <c r="Y113" t="s">
        <v>71</v>
      </c>
      <c r="Z113" t="s">
        <v>72</v>
      </c>
    </row>
    <row r="114" spans="1:26" x14ac:dyDescent="0.2">
      <c r="A114" t="s">
        <v>1328</v>
      </c>
      <c r="B114" t="s">
        <v>3433</v>
      </c>
      <c r="D114" s="64" t="s">
        <v>1444</v>
      </c>
      <c r="E114" s="64" t="s">
        <v>1610</v>
      </c>
      <c r="F114" s="64" t="s">
        <v>1331</v>
      </c>
      <c r="G114" s="64">
        <v>0.45</v>
      </c>
      <c r="H114" s="64">
        <v>0.56000000000000005</v>
      </c>
      <c r="I114" s="64" t="s">
        <v>3354</v>
      </c>
      <c r="J114" s="64">
        <v>1764</v>
      </c>
      <c r="K114" s="64" t="s">
        <v>1453</v>
      </c>
      <c r="L114" s="64" t="s">
        <v>917</v>
      </c>
      <c r="M114" s="65">
        <v>571.99</v>
      </c>
      <c r="N114" s="66">
        <f>Table16[[#This Row],[Price]]/Table16[[#This Row],[Area (sq. in)]]*144</f>
        <v>46.693061224489796</v>
      </c>
      <c r="U114">
        <v>2023</v>
      </c>
      <c r="V114" t="s">
        <v>3156</v>
      </c>
      <c r="W114" t="s">
        <v>99</v>
      </c>
      <c r="X114" s="64" t="s">
        <v>1611</v>
      </c>
      <c r="Y114" t="s">
        <v>72</v>
      </c>
      <c r="Z114" t="s">
        <v>72</v>
      </c>
    </row>
    <row r="115" spans="1:26" x14ac:dyDescent="0.2">
      <c r="A115" t="s">
        <v>1328</v>
      </c>
      <c r="B115" t="s">
        <v>3431</v>
      </c>
      <c r="D115" s="64" t="s">
        <v>465</v>
      </c>
      <c r="E115" s="64" t="s">
        <v>1566</v>
      </c>
      <c r="F115" s="64" t="s">
        <v>1331</v>
      </c>
      <c r="G115" s="64">
        <v>0.28999999999999998</v>
      </c>
      <c r="H115" s="64">
        <v>0.22</v>
      </c>
      <c r="I115" s="64" t="s">
        <v>3331</v>
      </c>
      <c r="J115" s="64">
        <v>2826.25</v>
      </c>
      <c r="K115" s="64" t="s">
        <v>1394</v>
      </c>
      <c r="L115" s="64" t="s">
        <v>917</v>
      </c>
      <c r="M115" s="65">
        <v>688</v>
      </c>
      <c r="N115" s="66">
        <f>Table16[[#This Row],[Price]]/Table16[[#This Row],[Area (sq. in)]]*144</f>
        <v>35.054223794781066</v>
      </c>
      <c r="U115">
        <v>2023</v>
      </c>
      <c r="V115" t="s">
        <v>3097</v>
      </c>
      <c r="W115" t="s">
        <v>99</v>
      </c>
      <c r="X115" s="64" t="s">
        <v>1567</v>
      </c>
      <c r="Y115" t="s">
        <v>71</v>
      </c>
      <c r="Z115" t="s">
        <v>72</v>
      </c>
    </row>
    <row r="116" spans="1:26" x14ac:dyDescent="0.2">
      <c r="A116" t="s">
        <v>1328</v>
      </c>
      <c r="B116" t="s">
        <v>3433</v>
      </c>
      <c r="D116" s="64" t="s">
        <v>1444</v>
      </c>
      <c r="E116" s="64" t="s">
        <v>1612</v>
      </c>
      <c r="F116" s="64" t="s">
        <v>1331</v>
      </c>
      <c r="G116" s="64">
        <v>0.45</v>
      </c>
      <c r="H116" s="64">
        <v>0.56000000000000005</v>
      </c>
      <c r="I116" s="64" t="s">
        <v>3354</v>
      </c>
      <c r="J116" s="64">
        <v>1764</v>
      </c>
      <c r="K116" s="64" t="s">
        <v>1453</v>
      </c>
      <c r="L116" s="64" t="s">
        <v>917</v>
      </c>
      <c r="M116" s="65">
        <v>565.16999999999996</v>
      </c>
      <c r="N116" s="66">
        <f>Table16[[#This Row],[Price]]/Table16[[#This Row],[Area (sq. in)]]*144</f>
        <v>46.136326530612244</v>
      </c>
      <c r="U116">
        <v>2023</v>
      </c>
      <c r="V116" t="s">
        <v>3156</v>
      </c>
      <c r="W116" t="s">
        <v>99</v>
      </c>
      <c r="X116" s="64" t="s">
        <v>1613</v>
      </c>
      <c r="Y116" t="s">
        <v>72</v>
      </c>
      <c r="Z116" t="s">
        <v>72</v>
      </c>
    </row>
    <row r="117" spans="1:26" hidden="1" x14ac:dyDescent="0.2">
      <c r="A117" t="s">
        <v>1328</v>
      </c>
      <c r="B117" t="s">
        <v>3431</v>
      </c>
      <c r="D117" s="64" t="s">
        <v>465</v>
      </c>
      <c r="E117" s="64" t="s">
        <v>1640</v>
      </c>
      <c r="F117" s="64" t="s">
        <v>1331</v>
      </c>
      <c r="G117" s="64">
        <v>0.28999999999999998</v>
      </c>
      <c r="H117" s="64">
        <v>0.22</v>
      </c>
      <c r="I117" s="64" t="s">
        <v>3339</v>
      </c>
      <c r="J117" s="64">
        <v>2242.5</v>
      </c>
      <c r="K117" s="64" t="s">
        <v>1403</v>
      </c>
      <c r="L117" s="64" t="s">
        <v>991</v>
      </c>
      <c r="M117" s="65">
        <v>668</v>
      </c>
      <c r="N117" s="66">
        <f>Table16[[#This Row],[Price]]/Table16[[#This Row],[Area (sq. in)]]*144</f>
        <v>42.894983277591976</v>
      </c>
      <c r="U117">
        <v>2023</v>
      </c>
      <c r="V117" t="s">
        <v>3109</v>
      </c>
      <c r="W117" t="s">
        <v>99</v>
      </c>
      <c r="X117" s="64" t="s">
        <v>1641</v>
      </c>
      <c r="Y117" t="s">
        <v>71</v>
      </c>
      <c r="Z117" t="s">
        <v>72</v>
      </c>
    </row>
    <row r="118" spans="1:26" x14ac:dyDescent="0.2">
      <c r="A118" t="s">
        <v>1328</v>
      </c>
      <c r="B118" t="s">
        <v>3431</v>
      </c>
      <c r="D118" s="64" t="s">
        <v>465</v>
      </c>
      <c r="E118" s="64" t="s">
        <v>1626</v>
      </c>
      <c r="F118" s="64" t="s">
        <v>1331</v>
      </c>
      <c r="G118" s="64">
        <v>0.28999999999999998</v>
      </c>
      <c r="H118" s="64">
        <v>0.22</v>
      </c>
      <c r="I118" s="64" t="s">
        <v>3357</v>
      </c>
      <c r="J118" s="64">
        <v>834.25</v>
      </c>
      <c r="K118" s="64" t="s">
        <v>1403</v>
      </c>
      <c r="L118" s="64" t="s">
        <v>917</v>
      </c>
      <c r="M118" s="65">
        <v>668</v>
      </c>
      <c r="N118" s="66">
        <f>Table16[[#This Row],[Price]]/Table16[[#This Row],[Area (sq. in)]]*144</f>
        <v>115.30356607731495</v>
      </c>
      <c r="U118">
        <v>2023</v>
      </c>
      <c r="V118" t="s">
        <v>3166</v>
      </c>
      <c r="W118" t="s">
        <v>99</v>
      </c>
      <c r="X118" s="64" t="s">
        <v>1627</v>
      </c>
      <c r="Y118" t="s">
        <v>71</v>
      </c>
      <c r="Z118" t="s">
        <v>72</v>
      </c>
    </row>
    <row r="119" spans="1:26" x14ac:dyDescent="0.2">
      <c r="A119" t="s">
        <v>1328</v>
      </c>
      <c r="B119" t="s">
        <v>3431</v>
      </c>
      <c r="D119" s="64" t="s">
        <v>465</v>
      </c>
      <c r="E119" s="64" t="s">
        <v>1652</v>
      </c>
      <c r="F119" s="64" t="s">
        <v>1331</v>
      </c>
      <c r="G119" s="64">
        <v>0.28999999999999998</v>
      </c>
      <c r="H119" s="64">
        <v>0.23</v>
      </c>
      <c r="I119" s="64" t="s">
        <v>3330</v>
      </c>
      <c r="J119" s="64">
        <v>2826.25</v>
      </c>
      <c r="K119" s="64" t="s">
        <v>1394</v>
      </c>
      <c r="L119" s="64" t="s">
        <v>917</v>
      </c>
      <c r="M119" s="65">
        <v>658</v>
      </c>
      <c r="N119" s="66">
        <f>Table16[[#This Row],[Price]]/Table16[[#This Row],[Area (sq. in)]]*144</f>
        <v>33.525696594427245</v>
      </c>
      <c r="U119">
        <v>2023</v>
      </c>
      <c r="V119" t="s">
        <v>3141</v>
      </c>
      <c r="W119" t="s">
        <v>99</v>
      </c>
      <c r="X119" s="64" t="s">
        <v>1653</v>
      </c>
      <c r="Y119" t="s">
        <v>71</v>
      </c>
      <c r="Z119" t="s">
        <v>72</v>
      </c>
    </row>
    <row r="120" spans="1:26" x14ac:dyDescent="0.2">
      <c r="A120" t="s">
        <v>1328</v>
      </c>
      <c r="B120" t="s">
        <v>3431</v>
      </c>
      <c r="D120" s="64" t="s">
        <v>1392</v>
      </c>
      <c r="E120" s="64" t="s">
        <v>1396</v>
      </c>
      <c r="F120" s="64" t="s">
        <v>1331</v>
      </c>
      <c r="G120" s="64">
        <v>0.28999999999999998</v>
      </c>
      <c r="H120" s="64">
        <v>0.22</v>
      </c>
      <c r="I120" s="64" t="s">
        <v>3325</v>
      </c>
      <c r="J120" s="64">
        <v>2112.25</v>
      </c>
      <c r="K120" s="64" t="s">
        <v>1403</v>
      </c>
      <c r="L120" s="64" t="s">
        <v>917</v>
      </c>
      <c r="M120" s="65">
        <v>618</v>
      </c>
      <c r="N120" s="66">
        <f>Table16[[#This Row],[Price]]/Table16[[#This Row],[Area (sq. in)]]*144</f>
        <v>42.131376494259676</v>
      </c>
      <c r="U120">
        <v>2023</v>
      </c>
      <c r="V120" t="s">
        <v>3090</v>
      </c>
      <c r="W120" t="s">
        <v>99</v>
      </c>
      <c r="X120" s="64" t="s">
        <v>1397</v>
      </c>
      <c r="Y120" t="s">
        <v>71</v>
      </c>
      <c r="Z120" t="s">
        <v>72</v>
      </c>
    </row>
    <row r="121" spans="1:26" x14ac:dyDescent="0.2">
      <c r="A121" t="s">
        <v>1328</v>
      </c>
      <c r="B121" t="s">
        <v>3431</v>
      </c>
      <c r="D121" s="64" t="s">
        <v>465</v>
      </c>
      <c r="E121" s="64" t="s">
        <v>1457</v>
      </c>
      <c r="F121" s="64" t="s">
        <v>1331</v>
      </c>
      <c r="G121" s="64">
        <v>0.28999999999999998</v>
      </c>
      <c r="H121" s="64">
        <v>0.22</v>
      </c>
      <c r="I121" s="64" t="s">
        <v>3331</v>
      </c>
      <c r="J121" s="64">
        <v>2826.25</v>
      </c>
      <c r="K121" s="64" t="s">
        <v>1403</v>
      </c>
      <c r="L121" s="64" t="s">
        <v>917</v>
      </c>
      <c r="M121" s="65">
        <v>618</v>
      </c>
      <c r="N121" s="66">
        <f>Table16[[#This Row],[Price]]/Table16[[#This Row],[Area (sq. in)]]*144</f>
        <v>31.487660327288811</v>
      </c>
      <c r="U121">
        <v>2023</v>
      </c>
      <c r="V121" t="s">
        <v>3163</v>
      </c>
      <c r="W121" t="s">
        <v>99</v>
      </c>
      <c r="X121" s="64" t="s">
        <v>1458</v>
      </c>
      <c r="Y121" t="s">
        <v>71</v>
      </c>
      <c r="Z121" t="s">
        <v>72</v>
      </c>
    </row>
    <row r="122" spans="1:26" x14ac:dyDescent="0.2">
      <c r="A122" t="s">
        <v>1328</v>
      </c>
      <c r="B122" t="s">
        <v>3431</v>
      </c>
      <c r="D122" s="64" t="s">
        <v>465</v>
      </c>
      <c r="E122" s="64" t="s">
        <v>1636</v>
      </c>
      <c r="F122" s="64" t="s">
        <v>1331</v>
      </c>
      <c r="G122" s="64">
        <v>0.28999999999999998</v>
      </c>
      <c r="H122" s="64">
        <v>0.21</v>
      </c>
      <c r="I122" s="64" t="s">
        <v>3335</v>
      </c>
      <c r="J122" s="64">
        <v>1686.25</v>
      </c>
      <c r="K122" s="64" t="s">
        <v>1394</v>
      </c>
      <c r="L122" s="64" t="s">
        <v>917</v>
      </c>
      <c r="M122" s="65">
        <v>618</v>
      </c>
      <c r="N122" s="66">
        <f>Table16[[#This Row],[Price]]/Table16[[#This Row],[Area (sq. in)]]*144</f>
        <v>52.775092661230545</v>
      </c>
      <c r="U122">
        <v>2023</v>
      </c>
      <c r="V122" t="s">
        <v>3195</v>
      </c>
      <c r="W122" t="s">
        <v>99</v>
      </c>
      <c r="X122" s="64" t="s">
        <v>1637</v>
      </c>
      <c r="Y122" t="s">
        <v>71</v>
      </c>
      <c r="Z122" t="s">
        <v>72</v>
      </c>
    </row>
    <row r="123" spans="1:26" x14ac:dyDescent="0.2">
      <c r="A123" t="s">
        <v>1328</v>
      </c>
      <c r="B123" t="s">
        <v>3431</v>
      </c>
      <c r="D123" s="64" t="s">
        <v>465</v>
      </c>
      <c r="E123" s="64" t="s">
        <v>1630</v>
      </c>
      <c r="F123" s="64" t="s">
        <v>1331</v>
      </c>
      <c r="G123" s="64">
        <v>0.28999999999999998</v>
      </c>
      <c r="H123" s="64">
        <v>0.2</v>
      </c>
      <c r="I123" s="64" t="s">
        <v>3329</v>
      </c>
      <c r="J123" s="64">
        <v>834.25</v>
      </c>
      <c r="K123" s="64" t="s">
        <v>1394</v>
      </c>
      <c r="L123" s="64" t="s">
        <v>917</v>
      </c>
      <c r="M123" s="65">
        <v>618</v>
      </c>
      <c r="N123" s="66">
        <f>Table16[[#This Row],[Price]]/Table16[[#This Row],[Area (sq. in)]]*144</f>
        <v>106.67305963440215</v>
      </c>
      <c r="U123">
        <v>2023</v>
      </c>
      <c r="V123" t="s">
        <v>3211</v>
      </c>
      <c r="W123" t="s">
        <v>99</v>
      </c>
      <c r="X123" s="64" t="s">
        <v>1631</v>
      </c>
      <c r="Y123" t="s">
        <v>71</v>
      </c>
      <c r="Z123" t="s">
        <v>72</v>
      </c>
    </row>
    <row r="124" spans="1:26" x14ac:dyDescent="0.2">
      <c r="A124" t="s">
        <v>1328</v>
      </c>
      <c r="B124" t="s">
        <v>3431</v>
      </c>
      <c r="D124" s="64" t="s">
        <v>465</v>
      </c>
      <c r="E124" s="64" t="s">
        <v>1517</v>
      </c>
      <c r="F124" s="64" t="s">
        <v>1331</v>
      </c>
      <c r="G124" s="64">
        <v>0.28999999999999998</v>
      </c>
      <c r="H124" s="64">
        <v>0.21</v>
      </c>
      <c r="I124" s="64" t="s">
        <v>3311</v>
      </c>
      <c r="J124" s="64">
        <v>3540.25</v>
      </c>
      <c r="K124" s="64" t="s">
        <v>1394</v>
      </c>
      <c r="L124" s="64" t="s">
        <v>917</v>
      </c>
      <c r="M124" s="65">
        <v>598</v>
      </c>
      <c r="N124" s="66">
        <f>Table16[[#This Row],[Price]]/Table16[[#This Row],[Area (sq. in)]]*144</f>
        <v>24.323705952969423</v>
      </c>
      <c r="U124">
        <v>2023</v>
      </c>
      <c r="V124" t="s">
        <v>3091</v>
      </c>
      <c r="W124" t="s">
        <v>99</v>
      </c>
      <c r="X124" s="64" t="s">
        <v>1518</v>
      </c>
      <c r="Y124" t="s">
        <v>71</v>
      </c>
      <c r="Z124" t="s">
        <v>72</v>
      </c>
    </row>
    <row r="125" spans="1:26" x14ac:dyDescent="0.2">
      <c r="A125" t="s">
        <v>1328</v>
      </c>
      <c r="B125" t="s">
        <v>3431</v>
      </c>
      <c r="D125" s="64" t="s">
        <v>465</v>
      </c>
      <c r="E125" s="64" t="s">
        <v>1402</v>
      </c>
      <c r="F125" s="64" t="s">
        <v>1331</v>
      </c>
      <c r="G125" s="64">
        <v>0.28999999999999998</v>
      </c>
      <c r="H125" s="64">
        <v>0.21</v>
      </c>
      <c r="I125" s="64" t="s">
        <v>3341</v>
      </c>
      <c r="J125" s="64">
        <v>1116.25</v>
      </c>
      <c r="K125" s="64" t="s">
        <v>1403</v>
      </c>
      <c r="L125" s="64" t="s">
        <v>917</v>
      </c>
      <c r="M125" s="65">
        <v>588</v>
      </c>
      <c r="N125" s="66">
        <f>Table16[[#This Row],[Price]]/Table16[[#This Row],[Area (sq. in)]]*144</f>
        <v>75.853975363941771</v>
      </c>
      <c r="U125">
        <v>2023</v>
      </c>
      <c r="V125" t="s">
        <v>3171</v>
      </c>
      <c r="W125" t="s">
        <v>99</v>
      </c>
      <c r="X125" s="64" t="s">
        <v>1404</v>
      </c>
      <c r="Y125" t="s">
        <v>71</v>
      </c>
      <c r="Z125" t="s">
        <v>72</v>
      </c>
    </row>
    <row r="126" spans="1:26" x14ac:dyDescent="0.2">
      <c r="A126" t="s">
        <v>1328</v>
      </c>
      <c r="B126" t="s">
        <v>3433</v>
      </c>
      <c r="D126" s="64" t="s">
        <v>1444</v>
      </c>
      <c r="E126" s="64" t="s">
        <v>1614</v>
      </c>
      <c r="F126" s="64" t="s">
        <v>1331</v>
      </c>
      <c r="G126" s="64">
        <v>0.45</v>
      </c>
      <c r="H126" s="64">
        <v>0.56000000000000005</v>
      </c>
      <c r="I126" s="64" t="s">
        <v>3354</v>
      </c>
      <c r="J126" s="64">
        <v>1764</v>
      </c>
      <c r="K126" s="64" t="s">
        <v>1453</v>
      </c>
      <c r="L126" s="64" t="s">
        <v>917</v>
      </c>
      <c r="M126" s="65">
        <v>524.79999999999995</v>
      </c>
      <c r="N126" s="66">
        <f>Table16[[#This Row],[Price]]/Table16[[#This Row],[Area (sq. in)]]*144</f>
        <v>42.840816326530614</v>
      </c>
      <c r="U126">
        <v>2023</v>
      </c>
      <c r="V126" t="s">
        <v>3221</v>
      </c>
      <c r="W126" t="s">
        <v>99</v>
      </c>
      <c r="X126" s="64" t="s">
        <v>1615</v>
      </c>
      <c r="Y126" t="s">
        <v>72</v>
      </c>
      <c r="Z126" t="s">
        <v>72</v>
      </c>
    </row>
    <row r="127" spans="1:26" x14ac:dyDescent="0.2">
      <c r="A127" t="s">
        <v>1328</v>
      </c>
      <c r="B127" t="s">
        <v>3431</v>
      </c>
      <c r="D127" s="64" t="s">
        <v>1392</v>
      </c>
      <c r="E127" s="64" t="s">
        <v>1494</v>
      </c>
      <c r="F127" s="64" t="s">
        <v>1331</v>
      </c>
      <c r="G127" s="64">
        <v>0.28999999999999998</v>
      </c>
      <c r="H127" s="64">
        <v>0.21</v>
      </c>
      <c r="I127" s="64" t="s">
        <v>3326</v>
      </c>
      <c r="J127" s="64">
        <v>1686.25</v>
      </c>
      <c r="K127" s="64" t="s">
        <v>1394</v>
      </c>
      <c r="L127" s="64" t="s">
        <v>917</v>
      </c>
      <c r="M127" s="65">
        <v>583.20000000000005</v>
      </c>
      <c r="N127" s="66">
        <f>Table16[[#This Row],[Price]]/Table16[[#This Row],[Area (sq. in)]]*144</f>
        <v>49.80329132690882</v>
      </c>
      <c r="U127">
        <v>2023</v>
      </c>
      <c r="V127" t="s">
        <v>3237</v>
      </c>
      <c r="W127" t="s">
        <v>99</v>
      </c>
      <c r="X127" s="64" t="s">
        <v>1495</v>
      </c>
      <c r="Y127" t="s">
        <v>71</v>
      </c>
      <c r="Z127" t="s">
        <v>72</v>
      </c>
    </row>
    <row r="128" spans="1:26" x14ac:dyDescent="0.2">
      <c r="A128" t="s">
        <v>1328</v>
      </c>
      <c r="B128" t="s">
        <v>3431</v>
      </c>
      <c r="D128" s="64" t="s">
        <v>1392</v>
      </c>
      <c r="E128" s="64" t="s">
        <v>1485</v>
      </c>
      <c r="F128" s="64" t="s">
        <v>1331</v>
      </c>
      <c r="G128" s="64">
        <v>0.28999999999999998</v>
      </c>
      <c r="H128" s="64">
        <v>0.23</v>
      </c>
      <c r="I128" s="64" t="s">
        <v>3311</v>
      </c>
      <c r="J128" s="64">
        <v>3540.25</v>
      </c>
      <c r="K128" s="64" t="s">
        <v>1394</v>
      </c>
      <c r="L128" s="64" t="s">
        <v>917</v>
      </c>
      <c r="M128" s="65">
        <v>558</v>
      </c>
      <c r="N128" s="66">
        <f>Table16[[#This Row],[Price]]/Table16[[#This Row],[Area (sq. in)]]*144</f>
        <v>22.696702210295882</v>
      </c>
      <c r="U128">
        <v>2023</v>
      </c>
      <c r="V128" t="s">
        <v>3080</v>
      </c>
      <c r="W128" t="s">
        <v>99</v>
      </c>
      <c r="X128" s="64" t="s">
        <v>1486</v>
      </c>
      <c r="Y128" t="s">
        <v>71</v>
      </c>
      <c r="Z128" t="s">
        <v>72</v>
      </c>
    </row>
    <row r="129" spans="1:26" hidden="1" x14ac:dyDescent="0.2">
      <c r="A129" t="s">
        <v>1328</v>
      </c>
      <c r="B129" t="s">
        <v>3431</v>
      </c>
      <c r="D129" s="64" t="s">
        <v>465</v>
      </c>
      <c r="E129" s="64" t="s">
        <v>1666</v>
      </c>
      <c r="F129" s="64" t="s">
        <v>1331</v>
      </c>
      <c r="G129" s="64">
        <v>0.28999999999999998</v>
      </c>
      <c r="H129" s="64">
        <v>0.28999999999999998</v>
      </c>
      <c r="I129" s="64" t="s">
        <v>3358</v>
      </c>
      <c r="J129" s="64">
        <v>1495</v>
      </c>
      <c r="K129" s="64" t="s">
        <v>1403</v>
      </c>
      <c r="L129" s="64" t="s">
        <v>991</v>
      </c>
      <c r="M129" s="65">
        <v>558</v>
      </c>
      <c r="N129" s="66">
        <f>Table16[[#This Row],[Price]]/Table16[[#This Row],[Area (sq. in)]]*144</f>
        <v>53.747157190635448</v>
      </c>
      <c r="U129">
        <v>2023</v>
      </c>
      <c r="V129" t="s">
        <v>3169</v>
      </c>
      <c r="W129" t="s">
        <v>99</v>
      </c>
      <c r="X129" s="64" t="s">
        <v>1667</v>
      </c>
      <c r="Y129" t="s">
        <v>71</v>
      </c>
      <c r="Z129" t="s">
        <v>72</v>
      </c>
    </row>
    <row r="130" spans="1:26" x14ac:dyDescent="0.2">
      <c r="A130" t="s">
        <v>1328</v>
      </c>
      <c r="B130" t="s">
        <v>3431</v>
      </c>
      <c r="D130" s="64" t="s">
        <v>465</v>
      </c>
      <c r="E130" s="64" t="s">
        <v>1580</v>
      </c>
      <c r="F130" s="64" t="s">
        <v>1331</v>
      </c>
      <c r="G130" s="64">
        <v>0.28999999999999998</v>
      </c>
      <c r="H130" s="64">
        <v>0.21</v>
      </c>
      <c r="I130" s="64" t="s">
        <v>3326</v>
      </c>
      <c r="J130" s="64">
        <v>1686.25</v>
      </c>
      <c r="K130" s="64" t="s">
        <v>1403</v>
      </c>
      <c r="L130" s="64" t="s">
        <v>917</v>
      </c>
      <c r="M130" s="65">
        <v>556.20000000000005</v>
      </c>
      <c r="N130" s="66">
        <f>Table16[[#This Row],[Price]]/Table16[[#This Row],[Area (sq. in)]]*144</f>
        <v>47.49758339510749</v>
      </c>
      <c r="U130">
        <v>2023</v>
      </c>
      <c r="V130" t="s">
        <v>3135</v>
      </c>
      <c r="W130" t="s">
        <v>99</v>
      </c>
      <c r="X130" s="64" t="s">
        <v>1581</v>
      </c>
      <c r="Y130" t="s">
        <v>71</v>
      </c>
      <c r="Z130" t="s">
        <v>72</v>
      </c>
    </row>
    <row r="131" spans="1:26" x14ac:dyDescent="0.2">
      <c r="A131" t="s">
        <v>1328</v>
      </c>
      <c r="B131" t="s">
        <v>3431</v>
      </c>
      <c r="D131" s="64" t="s">
        <v>465</v>
      </c>
      <c r="E131" s="64" t="s">
        <v>1750</v>
      </c>
      <c r="F131" s="64" t="s">
        <v>1331</v>
      </c>
      <c r="G131" s="64">
        <v>0.28999999999999998</v>
      </c>
      <c r="H131" s="64">
        <v>0.2</v>
      </c>
      <c r="I131" s="64" t="s">
        <v>3323</v>
      </c>
      <c r="J131" s="64">
        <v>552.25</v>
      </c>
      <c r="K131" s="64" t="s">
        <v>1394</v>
      </c>
      <c r="L131" s="64" t="s">
        <v>917</v>
      </c>
      <c r="M131" s="65">
        <v>538</v>
      </c>
      <c r="N131" s="66">
        <f>Table16[[#This Row],[Price]]/Table16[[#This Row],[Area (sq. in)]]*144</f>
        <v>140.28429153463105</v>
      </c>
      <c r="U131">
        <v>2023</v>
      </c>
      <c r="V131" t="s">
        <v>3229</v>
      </c>
      <c r="W131" t="s">
        <v>99</v>
      </c>
      <c r="X131" s="64" t="s">
        <v>1751</v>
      </c>
      <c r="Y131" t="s">
        <v>71</v>
      </c>
      <c r="Z131" t="s">
        <v>72</v>
      </c>
    </row>
    <row r="132" spans="1:26" x14ac:dyDescent="0.2">
      <c r="A132" t="s">
        <v>1328</v>
      </c>
      <c r="B132" t="s">
        <v>3431</v>
      </c>
      <c r="D132" s="64" t="s">
        <v>465</v>
      </c>
      <c r="E132" s="64" t="s">
        <v>1674</v>
      </c>
      <c r="F132" s="64" t="s">
        <v>1331</v>
      </c>
      <c r="G132" s="64">
        <v>0.28999999999999998</v>
      </c>
      <c r="H132" s="64">
        <v>0.21</v>
      </c>
      <c r="I132" s="64" t="s">
        <v>3321</v>
      </c>
      <c r="J132" s="64">
        <v>2256.25</v>
      </c>
      <c r="K132" s="64" t="s">
        <v>1403</v>
      </c>
      <c r="L132" s="64" t="s">
        <v>917</v>
      </c>
      <c r="M132" s="65">
        <v>528</v>
      </c>
      <c r="N132" s="66">
        <f>Table16[[#This Row],[Price]]/Table16[[#This Row],[Area (sq. in)]]*144</f>
        <v>33.698393351800554</v>
      </c>
      <c r="U132">
        <v>2023</v>
      </c>
      <c r="V132" t="s">
        <v>3130</v>
      </c>
      <c r="W132" t="s">
        <v>99</v>
      </c>
      <c r="X132" s="64" t="s">
        <v>1675</v>
      </c>
      <c r="Y132" t="s">
        <v>71</v>
      </c>
      <c r="Z132" t="s">
        <v>72</v>
      </c>
    </row>
    <row r="133" spans="1:26" x14ac:dyDescent="0.2">
      <c r="A133" t="s">
        <v>1328</v>
      </c>
      <c r="B133" t="s">
        <v>3431</v>
      </c>
      <c r="D133" s="64" t="s">
        <v>465</v>
      </c>
      <c r="E133" s="64" t="s">
        <v>1676</v>
      </c>
      <c r="F133" s="64" t="s">
        <v>1331</v>
      </c>
      <c r="G133" s="64">
        <v>0.28999999999999998</v>
      </c>
      <c r="H133" s="64">
        <v>0.21</v>
      </c>
      <c r="I133" s="64" t="s">
        <v>3330</v>
      </c>
      <c r="J133" s="64">
        <v>2826.25</v>
      </c>
      <c r="K133" s="64" t="s">
        <v>1394</v>
      </c>
      <c r="L133" s="64" t="s">
        <v>917</v>
      </c>
      <c r="M133" s="65">
        <v>478</v>
      </c>
      <c r="N133" s="66">
        <f>Table16[[#This Row],[Price]]/Table16[[#This Row],[Area (sq. in)]]*144</f>
        <v>24.35453339230429</v>
      </c>
      <c r="U133">
        <v>2023</v>
      </c>
      <c r="V133" t="s">
        <v>3096</v>
      </c>
      <c r="W133" t="s">
        <v>99</v>
      </c>
      <c r="X133" s="64" t="s">
        <v>1677</v>
      </c>
      <c r="Y133" t="s">
        <v>71</v>
      </c>
      <c r="Z133" t="s">
        <v>72</v>
      </c>
    </row>
    <row r="134" spans="1:26" x14ac:dyDescent="0.2">
      <c r="A134" t="s">
        <v>1328</v>
      </c>
      <c r="B134" t="s">
        <v>3431</v>
      </c>
      <c r="D134" s="64" t="s">
        <v>1392</v>
      </c>
      <c r="E134" s="64" t="s">
        <v>1415</v>
      </c>
      <c r="F134" s="64" t="s">
        <v>1331</v>
      </c>
      <c r="G134" s="64">
        <v>0.28999999999999998</v>
      </c>
      <c r="H134" s="64">
        <v>0.21</v>
      </c>
      <c r="I134" s="64" t="s">
        <v>3330</v>
      </c>
      <c r="J134" s="64">
        <v>2826.25</v>
      </c>
      <c r="K134" s="64" t="s">
        <v>1394</v>
      </c>
      <c r="L134" s="64" t="s">
        <v>917</v>
      </c>
      <c r="M134" s="65">
        <v>478</v>
      </c>
      <c r="N134" s="66">
        <f>Table16[[#This Row],[Price]]/Table16[[#This Row],[Area (sq. in)]]*144</f>
        <v>24.35453339230429</v>
      </c>
      <c r="U134">
        <v>2023</v>
      </c>
      <c r="V134" t="s">
        <v>3114</v>
      </c>
      <c r="W134" t="s">
        <v>99</v>
      </c>
      <c r="X134" s="64" t="s">
        <v>1416</v>
      </c>
      <c r="Y134" t="s">
        <v>71</v>
      </c>
      <c r="Z134" t="s">
        <v>72</v>
      </c>
    </row>
    <row r="135" spans="1:26" x14ac:dyDescent="0.2">
      <c r="A135" t="s">
        <v>1328</v>
      </c>
      <c r="B135" t="s">
        <v>3431</v>
      </c>
      <c r="D135" s="64" t="s">
        <v>465</v>
      </c>
      <c r="E135" s="64" t="s">
        <v>1748</v>
      </c>
      <c r="F135" s="64" t="s">
        <v>1331</v>
      </c>
      <c r="G135" s="64">
        <v>0.28999999999999998</v>
      </c>
      <c r="H135" s="64">
        <v>0.22</v>
      </c>
      <c r="I135" s="64" t="s">
        <v>3315</v>
      </c>
      <c r="J135" s="64">
        <v>1260.25</v>
      </c>
      <c r="K135" s="64" t="s">
        <v>1403</v>
      </c>
      <c r="L135" s="64" t="s">
        <v>917</v>
      </c>
      <c r="M135" s="65">
        <v>468</v>
      </c>
      <c r="N135" s="66">
        <f>Table16[[#This Row],[Price]]/Table16[[#This Row],[Area (sq. in)]]*144</f>
        <v>53.475104146002778</v>
      </c>
      <c r="U135">
        <v>2023</v>
      </c>
      <c r="V135" t="s">
        <v>3094</v>
      </c>
      <c r="W135" t="s">
        <v>99</v>
      </c>
      <c r="X135" s="64" t="s">
        <v>1749</v>
      </c>
      <c r="Y135" t="s">
        <v>71</v>
      </c>
      <c r="Z135" t="s">
        <v>72</v>
      </c>
    </row>
    <row r="136" spans="1:26" hidden="1" x14ac:dyDescent="0.2">
      <c r="A136" t="s">
        <v>1328</v>
      </c>
      <c r="B136" t="s">
        <v>3431</v>
      </c>
      <c r="D136" s="64" t="s">
        <v>465</v>
      </c>
      <c r="E136" s="64" t="s">
        <v>1654</v>
      </c>
      <c r="F136" s="64" t="s">
        <v>1331</v>
      </c>
      <c r="G136" s="64">
        <v>0.28999999999999998</v>
      </c>
      <c r="H136" s="64">
        <v>0.27</v>
      </c>
      <c r="I136" s="64" t="s">
        <v>3336</v>
      </c>
      <c r="J136" s="64">
        <v>1659.6875</v>
      </c>
      <c r="K136" s="64" t="s">
        <v>1403</v>
      </c>
      <c r="L136" s="64" t="s">
        <v>991</v>
      </c>
      <c r="M136" s="65">
        <v>468</v>
      </c>
      <c r="N136" s="66">
        <f>Table16[[#This Row],[Price]]/Table16[[#This Row],[Area (sq. in)]]*144</f>
        <v>40.605234419130106</v>
      </c>
      <c r="U136">
        <v>2023</v>
      </c>
      <c r="V136" t="s">
        <v>3106</v>
      </c>
      <c r="W136" t="s">
        <v>99</v>
      </c>
      <c r="X136" s="64" t="s">
        <v>1655</v>
      </c>
      <c r="Y136" t="s">
        <v>71</v>
      </c>
      <c r="Z136" t="s">
        <v>72</v>
      </c>
    </row>
    <row r="137" spans="1:26" x14ac:dyDescent="0.2">
      <c r="A137" t="s">
        <v>1328</v>
      </c>
      <c r="B137" t="s">
        <v>3431</v>
      </c>
      <c r="D137" s="64" t="s">
        <v>465</v>
      </c>
      <c r="E137" s="64" t="s">
        <v>1662</v>
      </c>
      <c r="F137" s="64" t="s">
        <v>1331</v>
      </c>
      <c r="G137" s="64">
        <v>0.28999999999999998</v>
      </c>
      <c r="H137" s="64">
        <v>0.23</v>
      </c>
      <c r="I137" s="64" t="s">
        <v>3348</v>
      </c>
      <c r="J137" s="64">
        <v>1899.25</v>
      </c>
      <c r="K137" s="64" t="s">
        <v>1403</v>
      </c>
      <c r="L137" s="64" t="s">
        <v>917</v>
      </c>
      <c r="M137" s="65">
        <v>468</v>
      </c>
      <c r="N137" s="66">
        <f>Table16[[#This Row],[Price]]/Table16[[#This Row],[Area (sq. in)]]*144</f>
        <v>35.483480321179414</v>
      </c>
      <c r="U137">
        <v>2023</v>
      </c>
      <c r="V137" t="s">
        <v>3125</v>
      </c>
      <c r="W137" t="s">
        <v>99</v>
      </c>
      <c r="X137" s="64" t="s">
        <v>1663</v>
      </c>
      <c r="Y137" t="s">
        <v>71</v>
      </c>
      <c r="Z137" t="s">
        <v>72</v>
      </c>
    </row>
    <row r="138" spans="1:26" x14ac:dyDescent="0.2">
      <c r="A138" t="s">
        <v>1328</v>
      </c>
      <c r="B138" t="s">
        <v>3431</v>
      </c>
      <c r="D138" s="64" t="s">
        <v>465</v>
      </c>
      <c r="E138" s="64" t="s">
        <v>1783</v>
      </c>
      <c r="F138" s="64" t="s">
        <v>1331</v>
      </c>
      <c r="G138" s="64">
        <v>0.28999999999999998</v>
      </c>
      <c r="H138" s="64">
        <v>0.21</v>
      </c>
      <c r="I138" s="64" t="s">
        <v>3326</v>
      </c>
      <c r="J138" s="64">
        <v>1686.25</v>
      </c>
      <c r="K138" s="64" t="s">
        <v>1403</v>
      </c>
      <c r="L138" s="64" t="s">
        <v>917</v>
      </c>
      <c r="M138" s="65">
        <v>458</v>
      </c>
      <c r="N138" s="66">
        <f>Table16[[#This Row],[Price]]/Table16[[#This Row],[Area (sq. in)]]*144</f>
        <v>39.111638250555963</v>
      </c>
      <c r="U138">
        <v>2023</v>
      </c>
      <c r="V138" t="s">
        <v>3099</v>
      </c>
      <c r="W138" t="s">
        <v>99</v>
      </c>
      <c r="X138" s="64" t="s">
        <v>1784</v>
      </c>
      <c r="Y138" t="s">
        <v>71</v>
      </c>
      <c r="Z138" t="s">
        <v>72</v>
      </c>
    </row>
    <row r="139" spans="1:26" x14ac:dyDescent="0.2">
      <c r="A139" t="s">
        <v>1328</v>
      </c>
      <c r="B139" t="s">
        <v>3433</v>
      </c>
      <c r="D139" s="64" t="s">
        <v>1338</v>
      </c>
      <c r="E139" s="64" t="s">
        <v>1452</v>
      </c>
      <c r="F139" s="64" t="s">
        <v>1366</v>
      </c>
      <c r="G139" s="64">
        <v>0.51</v>
      </c>
      <c r="H139" s="64">
        <v>0.65</v>
      </c>
      <c r="I139" s="64" t="s">
        <v>3323</v>
      </c>
      <c r="J139" s="64">
        <v>552.25</v>
      </c>
      <c r="K139" s="64" t="s">
        <v>1453</v>
      </c>
      <c r="L139" s="64" t="s">
        <v>917</v>
      </c>
      <c r="M139" s="65">
        <v>486</v>
      </c>
      <c r="N139" s="66">
        <f>Table16[[#This Row],[Price]]/Table16[[#This Row],[Area (sq. in)]]*144</f>
        <v>126.72521502942509</v>
      </c>
      <c r="U139">
        <v>2023</v>
      </c>
      <c r="V139" t="s">
        <v>3126</v>
      </c>
      <c r="W139" t="s">
        <v>99</v>
      </c>
      <c r="X139" s="64" t="s">
        <v>1454</v>
      </c>
      <c r="Y139" t="s">
        <v>72</v>
      </c>
      <c r="Z139" t="s">
        <v>72</v>
      </c>
    </row>
    <row r="140" spans="1:26" x14ac:dyDescent="0.2">
      <c r="A140" t="s">
        <v>1328</v>
      </c>
      <c r="B140" t="s">
        <v>3431</v>
      </c>
      <c r="D140" s="64" t="s">
        <v>465</v>
      </c>
      <c r="E140" s="64" t="s">
        <v>1686</v>
      </c>
      <c r="F140" s="64" t="s">
        <v>1331</v>
      </c>
      <c r="G140" s="64">
        <v>0.28999999999999998</v>
      </c>
      <c r="H140" s="64">
        <v>0.21</v>
      </c>
      <c r="I140" s="64" t="s">
        <v>3335</v>
      </c>
      <c r="J140" s="64">
        <v>1686.25</v>
      </c>
      <c r="K140" s="64" t="s">
        <v>1394</v>
      </c>
      <c r="L140" s="64" t="s">
        <v>917</v>
      </c>
      <c r="M140" s="65">
        <v>408</v>
      </c>
      <c r="N140" s="66">
        <f>Table16[[#This Row],[Price]]/Table16[[#This Row],[Area (sq. in)]]*144</f>
        <v>34.841808747220163</v>
      </c>
      <c r="U140">
        <v>2023</v>
      </c>
      <c r="V140" t="s">
        <v>3150</v>
      </c>
      <c r="W140" t="s">
        <v>99</v>
      </c>
      <c r="X140" s="64" t="s">
        <v>1687</v>
      </c>
      <c r="Y140" t="s">
        <v>71</v>
      </c>
      <c r="Z140" t="s">
        <v>72</v>
      </c>
    </row>
    <row r="141" spans="1:26" x14ac:dyDescent="0.2">
      <c r="A141" t="s">
        <v>1328</v>
      </c>
      <c r="B141" t="s">
        <v>3431</v>
      </c>
      <c r="D141" s="64" t="s">
        <v>465</v>
      </c>
      <c r="E141" s="64" t="s">
        <v>1455</v>
      </c>
      <c r="F141" s="64" t="s">
        <v>1331</v>
      </c>
      <c r="G141" s="64">
        <v>0.28999999999999998</v>
      </c>
      <c r="H141" s="64">
        <v>0.21</v>
      </c>
      <c r="I141" s="64" t="s">
        <v>3341</v>
      </c>
      <c r="J141" s="64">
        <v>1116.25</v>
      </c>
      <c r="K141" s="64" t="s">
        <v>1403</v>
      </c>
      <c r="L141" s="64" t="s">
        <v>917</v>
      </c>
      <c r="M141" s="65">
        <v>378</v>
      </c>
      <c r="N141" s="66">
        <f>Table16[[#This Row],[Price]]/Table16[[#This Row],[Area (sq. in)]]*144</f>
        <v>48.763269876819706</v>
      </c>
      <c r="U141">
        <v>2023</v>
      </c>
      <c r="V141" t="s">
        <v>3201</v>
      </c>
      <c r="W141" t="s">
        <v>99</v>
      </c>
      <c r="X141" s="64" t="s">
        <v>1456</v>
      </c>
      <c r="Y141" t="s">
        <v>71</v>
      </c>
      <c r="Z141" t="s">
        <v>72</v>
      </c>
    </row>
    <row r="142" spans="1:26" x14ac:dyDescent="0.2">
      <c r="A142" t="s">
        <v>1328</v>
      </c>
      <c r="B142" t="s">
        <v>3431</v>
      </c>
      <c r="D142" s="64" t="s">
        <v>465</v>
      </c>
      <c r="E142" s="64" t="s">
        <v>1684</v>
      </c>
      <c r="F142" s="64" t="s">
        <v>1331</v>
      </c>
      <c r="G142" s="64">
        <v>0.28999999999999998</v>
      </c>
      <c r="H142" s="64">
        <v>0.21</v>
      </c>
      <c r="I142" s="64" t="s">
        <v>3329</v>
      </c>
      <c r="J142" s="64">
        <v>834.25</v>
      </c>
      <c r="K142" s="64" t="s">
        <v>1394</v>
      </c>
      <c r="L142" s="64" t="s">
        <v>917</v>
      </c>
      <c r="M142" s="65">
        <v>350.82</v>
      </c>
      <c r="N142" s="66">
        <f>Table16[[#This Row],[Price]]/Table16[[#This Row],[Area (sq. in)]]*144</f>
        <v>60.555085406053344</v>
      </c>
      <c r="U142">
        <v>2023</v>
      </c>
      <c r="V142" t="s">
        <v>3273</v>
      </c>
      <c r="W142" t="s">
        <v>99</v>
      </c>
      <c r="X142" s="64" t="s">
        <v>1685</v>
      </c>
      <c r="Y142" t="s">
        <v>71</v>
      </c>
      <c r="Z142" t="s">
        <v>72</v>
      </c>
    </row>
    <row r="143" spans="1:26" x14ac:dyDescent="0.2">
      <c r="A143" t="s">
        <v>1328</v>
      </c>
      <c r="B143" t="s">
        <v>3431</v>
      </c>
      <c r="D143" s="64" t="s">
        <v>465</v>
      </c>
      <c r="E143" s="64" t="s">
        <v>1708</v>
      </c>
      <c r="F143" s="64" t="s">
        <v>1331</v>
      </c>
      <c r="G143" s="64">
        <v>0.28999999999999998</v>
      </c>
      <c r="H143" s="64">
        <v>0.23</v>
      </c>
      <c r="I143" s="64" t="s">
        <v>3335</v>
      </c>
      <c r="J143" s="64">
        <v>1686.25</v>
      </c>
      <c r="K143" s="64" t="s">
        <v>1394</v>
      </c>
      <c r="L143" s="64" t="s">
        <v>917</v>
      </c>
      <c r="M143" s="65">
        <v>348</v>
      </c>
      <c r="N143" s="66">
        <f>Table16[[#This Row],[Price]]/Table16[[#This Row],[Area (sq. in)]]*144</f>
        <v>29.718013343217201</v>
      </c>
      <c r="U143">
        <v>2023</v>
      </c>
      <c r="V143" t="s">
        <v>3112</v>
      </c>
      <c r="W143" t="s">
        <v>99</v>
      </c>
      <c r="X143" s="64" t="s">
        <v>1709</v>
      </c>
      <c r="Y143" t="s">
        <v>71</v>
      </c>
      <c r="Z143" t="s">
        <v>72</v>
      </c>
    </row>
    <row r="144" spans="1:26" x14ac:dyDescent="0.2">
      <c r="A144" t="s">
        <v>1328</v>
      </c>
      <c r="B144" t="s">
        <v>3432</v>
      </c>
      <c r="D144" s="64" t="s">
        <v>1338</v>
      </c>
      <c r="E144" s="64" t="s">
        <v>1756</v>
      </c>
      <c r="F144" s="64" t="s">
        <v>1366</v>
      </c>
      <c r="G144" s="64">
        <v>1.25</v>
      </c>
      <c r="H144" s="64">
        <v>0.16</v>
      </c>
      <c r="I144" s="64" t="s">
        <v>3359</v>
      </c>
      <c r="J144" s="64">
        <v>550.875</v>
      </c>
      <c r="K144" s="64" t="s">
        <v>1367</v>
      </c>
      <c r="L144" s="64" t="s">
        <v>917</v>
      </c>
      <c r="M144" s="65">
        <v>479</v>
      </c>
      <c r="N144" s="66">
        <f>Table16[[#This Row],[Price]]/Table16[[#This Row],[Area (sq. in)]]*144</f>
        <v>125.21170864533697</v>
      </c>
      <c r="U144">
        <v>2023</v>
      </c>
      <c r="V144" t="s">
        <v>3276</v>
      </c>
      <c r="W144" t="s">
        <v>99</v>
      </c>
      <c r="X144" s="64" t="s">
        <v>1757</v>
      </c>
      <c r="Y144" t="s">
        <v>72</v>
      </c>
      <c r="Z144" t="s">
        <v>72</v>
      </c>
    </row>
    <row r="145" spans="1:26" x14ac:dyDescent="0.2">
      <c r="A145" t="s">
        <v>1328</v>
      </c>
      <c r="B145" t="s">
        <v>3431</v>
      </c>
      <c r="D145" s="64" t="s">
        <v>465</v>
      </c>
      <c r="E145" s="64" t="s">
        <v>1582</v>
      </c>
      <c r="F145" s="64" t="s">
        <v>1331</v>
      </c>
      <c r="G145" s="64">
        <v>0.28999999999999998</v>
      </c>
      <c r="H145" s="64">
        <v>0.21</v>
      </c>
      <c r="I145" s="64" t="s">
        <v>3329</v>
      </c>
      <c r="J145" s="64">
        <v>834.25</v>
      </c>
      <c r="K145" s="64" t="s">
        <v>1394</v>
      </c>
      <c r="L145" s="64" t="s">
        <v>917</v>
      </c>
      <c r="M145" s="65">
        <v>238</v>
      </c>
      <c r="N145" s="66">
        <f>Table16[[#This Row],[Price]]/Table16[[#This Row],[Area (sq. in)]]*144</f>
        <v>41.081210668264909</v>
      </c>
      <c r="U145">
        <v>2023</v>
      </c>
      <c r="V145" t="s">
        <v>3095</v>
      </c>
      <c r="W145" t="s">
        <v>99</v>
      </c>
      <c r="X145" s="64" t="s">
        <v>1583</v>
      </c>
      <c r="Y145" t="s">
        <v>71</v>
      </c>
      <c r="Z145" t="s">
        <v>72</v>
      </c>
    </row>
    <row r="146" spans="1:26" x14ac:dyDescent="0.2">
      <c r="A146" t="s">
        <v>1328</v>
      </c>
      <c r="B146" t="s">
        <v>3431</v>
      </c>
      <c r="D146" s="64" t="s">
        <v>465</v>
      </c>
      <c r="E146" s="64" t="s">
        <v>1539</v>
      </c>
      <c r="F146" s="64" t="s">
        <v>1331</v>
      </c>
      <c r="G146" s="64">
        <v>0.28999999999999998</v>
      </c>
      <c r="H146" s="64">
        <v>0.21</v>
      </c>
      <c r="I146" s="64" t="s">
        <v>3329</v>
      </c>
      <c r="J146" s="64">
        <v>834.25</v>
      </c>
      <c r="K146" s="64" t="s">
        <v>1394</v>
      </c>
      <c r="L146" s="64" t="s">
        <v>917</v>
      </c>
      <c r="M146" s="65">
        <v>228</v>
      </c>
      <c r="N146" s="66">
        <f>Table16[[#This Row],[Price]]/Table16[[#This Row],[Area (sq. in)]]*144</f>
        <v>39.355109379682347</v>
      </c>
      <c r="U146">
        <v>2023</v>
      </c>
      <c r="V146" t="s">
        <v>3198</v>
      </c>
      <c r="W146" t="s">
        <v>99</v>
      </c>
      <c r="X146" s="64" t="s">
        <v>1540</v>
      </c>
      <c r="Y146" t="s">
        <v>71</v>
      </c>
      <c r="Z146" t="s">
        <v>72</v>
      </c>
    </row>
    <row r="147" spans="1:26" hidden="1" x14ac:dyDescent="0.2">
      <c r="A147" t="s">
        <v>1328</v>
      </c>
      <c r="B147" t="s">
        <v>3431</v>
      </c>
      <c r="D147" s="64" t="s">
        <v>465</v>
      </c>
      <c r="E147" s="64" t="s">
        <v>1622</v>
      </c>
      <c r="F147" s="64" t="s">
        <v>1331</v>
      </c>
      <c r="G147" s="64">
        <v>0.28000000000000003</v>
      </c>
      <c r="H147" s="64">
        <v>0.21</v>
      </c>
      <c r="I147" s="64" t="s">
        <v>3342</v>
      </c>
      <c r="J147" s="64">
        <v>960</v>
      </c>
      <c r="K147" s="64" t="s">
        <v>1394</v>
      </c>
      <c r="L147" s="64" t="s">
        <v>991</v>
      </c>
      <c r="M147" s="65">
        <v>508</v>
      </c>
      <c r="N147" s="66">
        <f>Table16[[#This Row],[Price]]/Table16[[#This Row],[Area (sq. in)]]*144</f>
        <v>76.2</v>
      </c>
      <c r="U147">
        <v>2023</v>
      </c>
      <c r="V147" t="s">
        <v>3115</v>
      </c>
      <c r="W147" t="s">
        <v>99</v>
      </c>
      <c r="X147" s="64" t="s">
        <v>1623</v>
      </c>
      <c r="Y147" t="s">
        <v>71</v>
      </c>
      <c r="Z147" t="s">
        <v>72</v>
      </c>
    </row>
    <row r="148" spans="1:26" x14ac:dyDescent="0.2">
      <c r="A148" t="s">
        <v>1328</v>
      </c>
      <c r="B148" t="s">
        <v>3431</v>
      </c>
      <c r="D148" s="64" t="s">
        <v>465</v>
      </c>
      <c r="E148" s="64" t="s">
        <v>1568</v>
      </c>
      <c r="F148" s="64" t="s">
        <v>1331</v>
      </c>
      <c r="G148" s="64">
        <v>0.27</v>
      </c>
      <c r="H148" s="64">
        <v>0.16</v>
      </c>
      <c r="I148" s="64" t="s">
        <v>3325</v>
      </c>
      <c r="J148" s="64">
        <v>2112.25</v>
      </c>
      <c r="K148" s="64" t="s">
        <v>1771</v>
      </c>
      <c r="L148" s="64" t="s">
        <v>917</v>
      </c>
      <c r="M148" s="65">
        <v>1618</v>
      </c>
      <c r="N148" s="66">
        <f>Table16[[#This Row],[Price]]/Table16[[#This Row],[Area (sq. in)]]*144</f>
        <v>110.30512486684815</v>
      </c>
      <c r="U148">
        <v>2023</v>
      </c>
      <c r="V148" t="s">
        <v>3182</v>
      </c>
      <c r="W148" t="s">
        <v>99</v>
      </c>
      <c r="X148" s="64" t="s">
        <v>1569</v>
      </c>
      <c r="Y148" t="s">
        <v>71</v>
      </c>
      <c r="Z148" t="s">
        <v>72</v>
      </c>
    </row>
    <row r="149" spans="1:26" x14ac:dyDescent="0.2">
      <c r="A149" t="s">
        <v>1328</v>
      </c>
      <c r="B149" t="s">
        <v>3431</v>
      </c>
      <c r="D149" s="64" t="s">
        <v>465</v>
      </c>
      <c r="E149" s="64" t="s">
        <v>1597</v>
      </c>
      <c r="F149" s="64" t="s">
        <v>1331</v>
      </c>
      <c r="G149" s="64">
        <v>0.27</v>
      </c>
      <c r="H149" s="64">
        <v>0.16</v>
      </c>
      <c r="I149" s="64" t="s">
        <v>3326</v>
      </c>
      <c r="J149" s="64">
        <v>1686.25</v>
      </c>
      <c r="K149" s="64" t="s">
        <v>1403</v>
      </c>
      <c r="L149" s="64" t="s">
        <v>917</v>
      </c>
      <c r="M149" s="65">
        <v>988</v>
      </c>
      <c r="N149" s="66">
        <f>Table16[[#This Row],[Price]]/Table16[[#This Row],[Area (sq. in)]]*144</f>
        <v>84.371830985915494</v>
      </c>
      <c r="U149">
        <v>2023</v>
      </c>
      <c r="V149" t="s">
        <v>3143</v>
      </c>
      <c r="W149" t="s">
        <v>99</v>
      </c>
      <c r="X149" s="64" t="s">
        <v>1598</v>
      </c>
      <c r="Y149" t="s">
        <v>71</v>
      </c>
      <c r="Z149" t="s">
        <v>72</v>
      </c>
    </row>
    <row r="150" spans="1:26" x14ac:dyDescent="0.2">
      <c r="A150" t="s">
        <v>1328</v>
      </c>
      <c r="B150" t="s">
        <v>3431</v>
      </c>
      <c r="D150" s="64" t="s">
        <v>465</v>
      </c>
      <c r="E150" s="64" t="s">
        <v>1618</v>
      </c>
      <c r="F150" s="64" t="s">
        <v>1331</v>
      </c>
      <c r="G150" s="64">
        <v>0.27</v>
      </c>
      <c r="H150" s="64">
        <v>0.16</v>
      </c>
      <c r="I150" s="64" t="s">
        <v>3325</v>
      </c>
      <c r="J150" s="64">
        <v>2112.25</v>
      </c>
      <c r="K150" s="64" t="s">
        <v>1771</v>
      </c>
      <c r="L150" s="64" t="s">
        <v>917</v>
      </c>
      <c r="M150" s="65">
        <v>928</v>
      </c>
      <c r="N150" s="66">
        <f>Table16[[#This Row],[Price]]/Table16[[#This Row],[Area (sq. in)]]*144</f>
        <v>63.265238489762098</v>
      </c>
      <c r="U150">
        <v>2023</v>
      </c>
      <c r="V150" t="s">
        <v>3253</v>
      </c>
      <c r="W150" t="s">
        <v>99</v>
      </c>
      <c r="X150" s="64" t="s">
        <v>1619</v>
      </c>
      <c r="Y150" t="s">
        <v>71</v>
      </c>
      <c r="Z150" t="s">
        <v>72</v>
      </c>
    </row>
    <row r="151" spans="1:26" x14ac:dyDescent="0.2">
      <c r="A151" t="s">
        <v>1328</v>
      </c>
      <c r="B151" t="s">
        <v>3431</v>
      </c>
      <c r="D151" s="64" t="s">
        <v>465</v>
      </c>
      <c r="E151" s="64" t="s">
        <v>1634</v>
      </c>
      <c r="F151" s="64" t="s">
        <v>1331</v>
      </c>
      <c r="G151" s="64">
        <v>0.27</v>
      </c>
      <c r="H151" s="64">
        <v>0.16</v>
      </c>
      <c r="I151" s="64" t="s">
        <v>3315</v>
      </c>
      <c r="J151" s="64">
        <v>1260.25</v>
      </c>
      <c r="K151" s="64" t="s">
        <v>1473</v>
      </c>
      <c r="L151" s="64" t="s">
        <v>917</v>
      </c>
      <c r="M151" s="65">
        <v>888</v>
      </c>
      <c r="N151" s="66">
        <f>Table16[[#This Row],[Price]]/Table16[[#This Row],[Area (sq. in)]]*144</f>
        <v>101.46558222574886</v>
      </c>
      <c r="U151">
        <v>2023</v>
      </c>
      <c r="V151" t="s">
        <v>3306</v>
      </c>
      <c r="W151" t="s">
        <v>99</v>
      </c>
      <c r="X151" s="64" t="s">
        <v>1635</v>
      </c>
      <c r="Y151" t="s">
        <v>71</v>
      </c>
      <c r="Z151" t="s">
        <v>72</v>
      </c>
    </row>
    <row r="152" spans="1:26" x14ac:dyDescent="0.2">
      <c r="A152" t="s">
        <v>1328</v>
      </c>
      <c r="B152" t="s">
        <v>3431</v>
      </c>
      <c r="D152" s="64" t="s">
        <v>1392</v>
      </c>
      <c r="E152" s="64" t="s">
        <v>1496</v>
      </c>
      <c r="F152" s="64" t="s">
        <v>1331</v>
      </c>
      <c r="G152" s="64">
        <v>0.27</v>
      </c>
      <c r="H152" s="64">
        <v>0.18</v>
      </c>
      <c r="I152" s="64" t="s">
        <v>3345</v>
      </c>
      <c r="J152" s="64">
        <v>1116.25</v>
      </c>
      <c r="K152" s="64" t="s">
        <v>1394</v>
      </c>
      <c r="L152" s="64" t="s">
        <v>917</v>
      </c>
      <c r="M152" s="65">
        <v>868</v>
      </c>
      <c r="N152" s="66">
        <f>Table16[[#This Row],[Price]]/Table16[[#This Row],[Area (sq. in)]]*144</f>
        <v>111.97491601343785</v>
      </c>
      <c r="U152">
        <v>2023</v>
      </c>
      <c r="V152" t="s">
        <v>3121</v>
      </c>
      <c r="W152" t="s">
        <v>99</v>
      </c>
      <c r="X152" s="64" t="s">
        <v>1497</v>
      </c>
      <c r="Y152" t="s">
        <v>71</v>
      </c>
      <c r="Z152" t="s">
        <v>72</v>
      </c>
    </row>
    <row r="153" spans="1:26" x14ac:dyDescent="0.2">
      <c r="A153" t="s">
        <v>1328</v>
      </c>
      <c r="B153" t="s">
        <v>3431</v>
      </c>
      <c r="D153" s="64" t="s">
        <v>465</v>
      </c>
      <c r="E153" s="64" t="s">
        <v>1660</v>
      </c>
      <c r="F153" s="64" t="s">
        <v>1331</v>
      </c>
      <c r="G153" s="64">
        <v>0.27</v>
      </c>
      <c r="H153" s="64">
        <v>0.16</v>
      </c>
      <c r="I153" s="64" t="s">
        <v>3334</v>
      </c>
      <c r="J153" s="64">
        <v>870.25</v>
      </c>
      <c r="K153" s="64" t="s">
        <v>1403</v>
      </c>
      <c r="L153" s="64" t="s">
        <v>917</v>
      </c>
      <c r="M153" s="65">
        <v>858</v>
      </c>
      <c r="N153" s="66">
        <f>Table16[[#This Row],[Price]]/Table16[[#This Row],[Area (sq. in)]]*144</f>
        <v>141.97299626544097</v>
      </c>
      <c r="U153">
        <v>2023</v>
      </c>
      <c r="V153" t="s">
        <v>3278</v>
      </c>
      <c r="W153" t="s">
        <v>99</v>
      </c>
      <c r="X153" s="64" t="s">
        <v>1661</v>
      </c>
      <c r="Y153" t="s">
        <v>71</v>
      </c>
      <c r="Z153" t="s">
        <v>72</v>
      </c>
    </row>
    <row r="154" spans="1:26" x14ac:dyDescent="0.2">
      <c r="A154" t="s">
        <v>1328</v>
      </c>
      <c r="B154" t="s">
        <v>3431</v>
      </c>
      <c r="D154" s="64" t="s">
        <v>465</v>
      </c>
      <c r="E154" s="64" t="s">
        <v>1714</v>
      </c>
      <c r="F154" s="64" t="s">
        <v>1331</v>
      </c>
      <c r="G154" s="64">
        <v>0.27</v>
      </c>
      <c r="H154" s="64">
        <v>0.16</v>
      </c>
      <c r="I154" s="64" t="s">
        <v>3371</v>
      </c>
      <c r="J154" s="64">
        <v>1047.25</v>
      </c>
      <c r="K154" s="64" t="s">
        <v>1403</v>
      </c>
      <c r="L154" s="64" t="s">
        <v>917</v>
      </c>
      <c r="M154" s="65">
        <v>848</v>
      </c>
      <c r="N154" s="66">
        <f>Table16[[#This Row],[Price]]/Table16[[#This Row],[Area (sq. in)]]*144</f>
        <v>116.60253043685843</v>
      </c>
      <c r="U154">
        <v>2023</v>
      </c>
      <c r="V154" t="s">
        <v>3234</v>
      </c>
      <c r="W154" t="s">
        <v>99</v>
      </c>
      <c r="X154" s="64" t="s">
        <v>1715</v>
      </c>
      <c r="Y154" t="s">
        <v>71</v>
      </c>
      <c r="Z154" t="s">
        <v>72</v>
      </c>
    </row>
    <row r="155" spans="1:26" x14ac:dyDescent="0.2">
      <c r="A155" t="s">
        <v>1328</v>
      </c>
      <c r="B155" t="s">
        <v>3431</v>
      </c>
      <c r="D155" s="64" t="s">
        <v>1338</v>
      </c>
      <c r="E155" s="64" t="s">
        <v>1762</v>
      </c>
      <c r="F155" s="64" t="s">
        <v>1331</v>
      </c>
      <c r="G155" s="64">
        <v>0.27</v>
      </c>
      <c r="H155" s="64">
        <v>0.16</v>
      </c>
      <c r="I155" s="64" t="s">
        <v>3345</v>
      </c>
      <c r="J155" s="64">
        <v>1116.25</v>
      </c>
      <c r="K155" s="64" t="s">
        <v>1473</v>
      </c>
      <c r="L155" s="64" t="s">
        <v>917</v>
      </c>
      <c r="M155" s="65">
        <v>778</v>
      </c>
      <c r="N155" s="66">
        <f>Table16[[#This Row],[Price]]/Table16[[#This Row],[Area (sq. in)]]*144</f>
        <v>100.36461366181412</v>
      </c>
      <c r="U155">
        <v>2023</v>
      </c>
      <c r="V155" t="s">
        <v>3144</v>
      </c>
      <c r="W155" t="s">
        <v>99</v>
      </c>
      <c r="X155" s="64" t="s">
        <v>1763</v>
      </c>
      <c r="Y155" t="s">
        <v>71</v>
      </c>
      <c r="Z155" t="s">
        <v>72</v>
      </c>
    </row>
    <row r="156" spans="1:26" x14ac:dyDescent="0.2">
      <c r="A156" t="s">
        <v>1328</v>
      </c>
      <c r="B156" t="s">
        <v>3432</v>
      </c>
      <c r="D156" s="64" t="s">
        <v>1338</v>
      </c>
      <c r="E156" s="64" t="s">
        <v>1606</v>
      </c>
      <c r="F156" s="64" t="s">
        <v>1366</v>
      </c>
      <c r="G156" s="64">
        <v>0.39</v>
      </c>
      <c r="H156" s="64">
        <v>0.57999999999999996</v>
      </c>
      <c r="I156" s="64" t="s">
        <v>3366</v>
      </c>
      <c r="J156" s="64">
        <v>570</v>
      </c>
      <c r="K156" s="64" t="s">
        <v>1367</v>
      </c>
      <c r="L156" s="64" t="s">
        <v>917</v>
      </c>
      <c r="M156" s="65">
        <v>444</v>
      </c>
      <c r="N156" s="66">
        <f>Table16[[#This Row],[Price]]/Table16[[#This Row],[Area (sq. in)]]*144</f>
        <v>112.16842105263157</v>
      </c>
      <c r="U156">
        <v>2023</v>
      </c>
      <c r="V156" t="s">
        <v>3203</v>
      </c>
      <c r="W156" t="s">
        <v>99</v>
      </c>
      <c r="X156" s="64" t="s">
        <v>1607</v>
      </c>
      <c r="Y156" t="s">
        <v>72</v>
      </c>
      <c r="Z156" t="s">
        <v>72</v>
      </c>
    </row>
    <row r="157" spans="1:26" x14ac:dyDescent="0.2">
      <c r="A157" t="s">
        <v>1328</v>
      </c>
      <c r="B157" t="s">
        <v>3432</v>
      </c>
      <c r="D157" s="64" t="s">
        <v>1338</v>
      </c>
      <c r="E157" s="64" t="s">
        <v>1734</v>
      </c>
      <c r="F157" s="64" t="s">
        <v>1366</v>
      </c>
      <c r="G157" s="64">
        <v>0.39</v>
      </c>
      <c r="H157" s="64">
        <v>0.57999999999999996</v>
      </c>
      <c r="I157" s="64" t="s">
        <v>3366</v>
      </c>
      <c r="J157" s="64">
        <v>570</v>
      </c>
      <c r="K157" s="64" t="s">
        <v>1367</v>
      </c>
      <c r="L157" s="64" t="s">
        <v>917</v>
      </c>
      <c r="M157" s="65">
        <v>444</v>
      </c>
      <c r="N157" s="66">
        <f>Table16[[#This Row],[Price]]/Table16[[#This Row],[Area (sq. in)]]*144</f>
        <v>112.16842105263157</v>
      </c>
      <c r="U157">
        <v>2023</v>
      </c>
      <c r="V157" t="s">
        <v>3265</v>
      </c>
      <c r="W157" t="s">
        <v>99</v>
      </c>
      <c r="X157" s="64" t="s">
        <v>1735</v>
      </c>
      <c r="Y157" t="s">
        <v>72</v>
      </c>
      <c r="Z157" t="s">
        <v>72</v>
      </c>
    </row>
    <row r="158" spans="1:26" x14ac:dyDescent="0.2">
      <c r="A158" t="s">
        <v>1328</v>
      </c>
      <c r="B158" t="s">
        <v>3431</v>
      </c>
      <c r="D158" s="64" t="s">
        <v>465</v>
      </c>
      <c r="E158" s="64" t="s">
        <v>1692</v>
      </c>
      <c r="F158" s="64" t="s">
        <v>1331</v>
      </c>
      <c r="G158" s="64">
        <v>0.27</v>
      </c>
      <c r="H158" s="64">
        <v>0.16</v>
      </c>
      <c r="I158" s="64" t="s">
        <v>3323</v>
      </c>
      <c r="J158" s="64">
        <v>552.25</v>
      </c>
      <c r="K158" s="64" t="s">
        <v>1473</v>
      </c>
      <c r="L158" s="64" t="s">
        <v>917</v>
      </c>
      <c r="M158" s="65">
        <v>768</v>
      </c>
      <c r="N158" s="66">
        <f>Table16[[#This Row],[Price]]/Table16[[#This Row],[Area (sq. in)]]*144</f>
        <v>200.2571299230421</v>
      </c>
      <c r="U158">
        <v>2023</v>
      </c>
      <c r="V158" t="s">
        <v>3230</v>
      </c>
      <c r="W158" t="s">
        <v>99</v>
      </c>
      <c r="X158" s="64" t="s">
        <v>1693</v>
      </c>
      <c r="Y158" t="s">
        <v>71</v>
      </c>
      <c r="Z158" t="s">
        <v>72</v>
      </c>
    </row>
    <row r="159" spans="1:26" x14ac:dyDescent="0.2">
      <c r="A159" t="s">
        <v>1328</v>
      </c>
      <c r="B159" t="s">
        <v>3431</v>
      </c>
      <c r="D159" s="64" t="s">
        <v>465</v>
      </c>
      <c r="E159" s="64" t="s">
        <v>1807</v>
      </c>
      <c r="F159" s="64" t="s">
        <v>1331</v>
      </c>
      <c r="G159" s="64">
        <v>0.27</v>
      </c>
      <c r="H159" s="64">
        <v>0.28999999999999998</v>
      </c>
      <c r="I159" s="64" t="s">
        <v>3349</v>
      </c>
      <c r="J159" s="64">
        <v>3396.25</v>
      </c>
      <c r="K159" s="64" t="s">
        <v>1394</v>
      </c>
      <c r="L159" s="64" t="s">
        <v>917</v>
      </c>
      <c r="M159" s="65">
        <v>726.29</v>
      </c>
      <c r="N159" s="66">
        <f>Table16[[#This Row],[Price]]/Table16[[#This Row],[Area (sq. in)]]*144</f>
        <v>30.794482149429516</v>
      </c>
      <c r="U159">
        <v>2023</v>
      </c>
      <c r="V159" t="s">
        <v>3139</v>
      </c>
      <c r="W159" t="s">
        <v>99</v>
      </c>
      <c r="X159" s="64" t="s">
        <v>1808</v>
      </c>
      <c r="Y159" t="s">
        <v>71</v>
      </c>
      <c r="Z159" t="s">
        <v>72</v>
      </c>
    </row>
    <row r="160" spans="1:26" x14ac:dyDescent="0.2">
      <c r="A160" t="s">
        <v>1328</v>
      </c>
      <c r="B160" t="s">
        <v>3431</v>
      </c>
      <c r="D160" s="64" t="s">
        <v>465</v>
      </c>
      <c r="E160" s="64" t="s">
        <v>1690</v>
      </c>
      <c r="F160" s="64" t="s">
        <v>1331</v>
      </c>
      <c r="G160" s="64">
        <v>0.27</v>
      </c>
      <c r="H160" s="64">
        <v>0.18</v>
      </c>
      <c r="I160" s="64" t="s">
        <v>3335</v>
      </c>
      <c r="J160" s="64">
        <v>1686.25</v>
      </c>
      <c r="K160" s="64" t="s">
        <v>1394</v>
      </c>
      <c r="L160" s="64" t="s">
        <v>917</v>
      </c>
      <c r="M160" s="65">
        <v>708</v>
      </c>
      <c r="N160" s="66">
        <f>Table16[[#This Row],[Price]]/Table16[[#This Row],[Area (sq. in)]]*144</f>
        <v>60.460785767234988</v>
      </c>
      <c r="U160">
        <v>2023</v>
      </c>
      <c r="V160" t="s">
        <v>3118</v>
      </c>
      <c r="W160" t="s">
        <v>99</v>
      </c>
      <c r="X160" s="64" t="s">
        <v>1691</v>
      </c>
      <c r="Y160" t="s">
        <v>71</v>
      </c>
      <c r="Z160" t="s">
        <v>72</v>
      </c>
    </row>
    <row r="161" spans="1:26" x14ac:dyDescent="0.2">
      <c r="A161" t="s">
        <v>1328</v>
      </c>
      <c r="B161" t="s">
        <v>3432</v>
      </c>
      <c r="D161" s="64" t="s">
        <v>1338</v>
      </c>
      <c r="E161" s="64" t="s">
        <v>1365</v>
      </c>
      <c r="F161" s="64" t="s">
        <v>1366</v>
      </c>
      <c r="G161" s="64">
        <v>0.39</v>
      </c>
      <c r="H161" s="64">
        <v>0.57999999999999996</v>
      </c>
      <c r="I161" s="64" t="s">
        <v>3324</v>
      </c>
      <c r="J161" s="64">
        <v>576</v>
      </c>
      <c r="K161" s="64" t="s">
        <v>1367</v>
      </c>
      <c r="L161" s="64" t="s">
        <v>917</v>
      </c>
      <c r="M161" s="65">
        <v>426</v>
      </c>
      <c r="N161" s="66">
        <f>Table16[[#This Row],[Price]]/Table16[[#This Row],[Area (sq. in)]]*144</f>
        <v>106.5</v>
      </c>
      <c r="U161">
        <v>2023</v>
      </c>
      <c r="V161" t="s">
        <v>3089</v>
      </c>
      <c r="W161" t="s">
        <v>99</v>
      </c>
      <c r="X161" s="64" t="s">
        <v>1368</v>
      </c>
      <c r="Y161" t="s">
        <v>72</v>
      </c>
      <c r="Z161" t="s">
        <v>72</v>
      </c>
    </row>
    <row r="162" spans="1:26" x14ac:dyDescent="0.2">
      <c r="A162" t="s">
        <v>1328</v>
      </c>
      <c r="B162" t="s">
        <v>3432</v>
      </c>
      <c r="D162" s="64" t="s">
        <v>1338</v>
      </c>
      <c r="E162" s="64" t="s">
        <v>1480</v>
      </c>
      <c r="F162" s="64" t="s">
        <v>1366</v>
      </c>
      <c r="G162" s="64">
        <v>0.39</v>
      </c>
      <c r="H162" s="64">
        <v>0.57999999999999996</v>
      </c>
      <c r="I162" s="64" t="s">
        <v>3324</v>
      </c>
      <c r="J162" s="64">
        <v>576</v>
      </c>
      <c r="K162" s="64" t="s">
        <v>1367</v>
      </c>
      <c r="L162" s="64" t="s">
        <v>917</v>
      </c>
      <c r="M162" s="65">
        <v>426</v>
      </c>
      <c r="N162" s="66">
        <f>Table16[[#This Row],[Price]]/Table16[[#This Row],[Area (sq. in)]]*144</f>
        <v>106.5</v>
      </c>
      <c r="U162">
        <v>2023</v>
      </c>
      <c r="V162" t="s">
        <v>3140</v>
      </c>
      <c r="W162" t="s">
        <v>99</v>
      </c>
      <c r="X162" s="64" t="s">
        <v>1481</v>
      </c>
      <c r="Y162" t="s">
        <v>72</v>
      </c>
      <c r="Z162" t="s">
        <v>72</v>
      </c>
    </row>
    <row r="163" spans="1:26" x14ac:dyDescent="0.2">
      <c r="A163" t="s">
        <v>1328</v>
      </c>
      <c r="B163" t="s">
        <v>3432</v>
      </c>
      <c r="D163" s="64" t="s">
        <v>1338</v>
      </c>
      <c r="E163" s="64" t="s">
        <v>1543</v>
      </c>
      <c r="F163" s="64" t="s">
        <v>1366</v>
      </c>
      <c r="G163" s="64">
        <v>0.39</v>
      </c>
      <c r="H163" s="64">
        <v>0.57999999999999996</v>
      </c>
      <c r="I163" s="64" t="s">
        <v>3359</v>
      </c>
      <c r="J163" s="64">
        <v>550.875</v>
      </c>
      <c r="K163" s="64" t="s">
        <v>1367</v>
      </c>
      <c r="L163" s="64" t="s">
        <v>917</v>
      </c>
      <c r="M163" s="65">
        <v>426</v>
      </c>
      <c r="N163" s="66">
        <f>Table16[[#This Row],[Price]]/Table16[[#This Row],[Area (sq. in)]]*144</f>
        <v>111.357385976855</v>
      </c>
      <c r="U163">
        <v>2023</v>
      </c>
      <c r="V163" t="s">
        <v>3173</v>
      </c>
      <c r="W163" t="s">
        <v>99</v>
      </c>
      <c r="X163" s="64" t="s">
        <v>1544</v>
      </c>
      <c r="Y163" t="s">
        <v>72</v>
      </c>
      <c r="Z163" t="s">
        <v>72</v>
      </c>
    </row>
    <row r="164" spans="1:26" x14ac:dyDescent="0.2">
      <c r="A164" t="s">
        <v>1328</v>
      </c>
      <c r="B164" t="s">
        <v>3432</v>
      </c>
      <c r="D164" s="64" t="s">
        <v>1338</v>
      </c>
      <c r="E164" s="64" t="s">
        <v>1574</v>
      </c>
      <c r="F164" s="64" t="s">
        <v>1366</v>
      </c>
      <c r="G164" s="64">
        <v>0.39</v>
      </c>
      <c r="H164" s="64">
        <v>0.57999999999999996</v>
      </c>
      <c r="I164" s="64" t="s">
        <v>3324</v>
      </c>
      <c r="J164" s="64">
        <v>576</v>
      </c>
      <c r="K164" s="64" t="s">
        <v>1367</v>
      </c>
      <c r="L164" s="64" t="s">
        <v>917</v>
      </c>
      <c r="M164" s="65">
        <v>426</v>
      </c>
      <c r="N164" s="66">
        <f>Table16[[#This Row],[Price]]/Table16[[#This Row],[Area (sq. in)]]*144</f>
        <v>106.5</v>
      </c>
      <c r="U164">
        <v>2023</v>
      </c>
      <c r="V164" t="s">
        <v>3187</v>
      </c>
      <c r="W164" t="s">
        <v>99</v>
      </c>
      <c r="X164" s="64" t="s">
        <v>1575</v>
      </c>
      <c r="Y164" t="s">
        <v>72</v>
      </c>
      <c r="Z164" t="s">
        <v>72</v>
      </c>
    </row>
    <row r="165" spans="1:26" x14ac:dyDescent="0.2">
      <c r="A165" t="s">
        <v>1328</v>
      </c>
      <c r="B165" t="s">
        <v>3432</v>
      </c>
      <c r="D165" s="64" t="s">
        <v>1338</v>
      </c>
      <c r="E165" s="64" t="s">
        <v>1620</v>
      </c>
      <c r="F165" s="64" t="s">
        <v>1366</v>
      </c>
      <c r="G165" s="64">
        <v>0.39</v>
      </c>
      <c r="H165" s="64">
        <v>0.57999999999999996</v>
      </c>
      <c r="I165" s="64" t="s">
        <v>3367</v>
      </c>
      <c r="J165" s="64">
        <v>543.8125</v>
      </c>
      <c r="K165" s="64" t="s">
        <v>1367</v>
      </c>
      <c r="L165" s="64" t="s">
        <v>917</v>
      </c>
      <c r="M165" s="65">
        <v>426</v>
      </c>
      <c r="N165" s="66">
        <f>Table16[[#This Row],[Price]]/Table16[[#This Row],[Area (sq. in)]]*144</f>
        <v>112.80358579473624</v>
      </c>
      <c r="U165">
        <v>2023</v>
      </c>
      <c r="V165" t="s">
        <v>3209</v>
      </c>
      <c r="W165" t="s">
        <v>99</v>
      </c>
      <c r="X165" s="64" t="s">
        <v>1621</v>
      </c>
      <c r="Y165" t="s">
        <v>72</v>
      </c>
      <c r="Z165" t="s">
        <v>72</v>
      </c>
    </row>
    <row r="166" spans="1:26" x14ac:dyDescent="0.2">
      <c r="A166" t="s">
        <v>1328</v>
      </c>
      <c r="B166" t="s">
        <v>3431</v>
      </c>
      <c r="D166" s="64" t="s">
        <v>465</v>
      </c>
      <c r="E166" s="64" t="s">
        <v>1572</v>
      </c>
      <c r="F166" s="64" t="s">
        <v>1331</v>
      </c>
      <c r="G166" s="64">
        <v>0.27</v>
      </c>
      <c r="H166" s="64">
        <v>0.18</v>
      </c>
      <c r="I166" s="64" t="s">
        <v>3326</v>
      </c>
      <c r="J166" s="64">
        <v>1686.25</v>
      </c>
      <c r="K166" s="64" t="s">
        <v>1403</v>
      </c>
      <c r="L166" s="64" t="s">
        <v>917</v>
      </c>
      <c r="M166" s="65">
        <v>698</v>
      </c>
      <c r="N166" s="66">
        <f>Table16[[#This Row],[Price]]/Table16[[#This Row],[Area (sq. in)]]*144</f>
        <v>59.606819866567832</v>
      </c>
      <c r="U166">
        <v>2023</v>
      </c>
      <c r="V166" t="s">
        <v>3092</v>
      </c>
      <c r="W166" t="s">
        <v>99</v>
      </c>
      <c r="X166" s="64" t="s">
        <v>1573</v>
      </c>
      <c r="Y166" t="s">
        <v>71</v>
      </c>
      <c r="Z166" t="s">
        <v>72</v>
      </c>
    </row>
    <row r="167" spans="1:26" x14ac:dyDescent="0.2">
      <c r="A167" t="s">
        <v>1328</v>
      </c>
      <c r="B167" t="s">
        <v>3431</v>
      </c>
      <c r="D167" s="64" t="s">
        <v>465</v>
      </c>
      <c r="E167" s="64" t="s">
        <v>1712</v>
      </c>
      <c r="F167" s="64" t="s">
        <v>1331</v>
      </c>
      <c r="G167" s="64">
        <v>0.27</v>
      </c>
      <c r="H167" s="64">
        <v>0.28999999999999998</v>
      </c>
      <c r="I167" s="64" t="s">
        <v>3330</v>
      </c>
      <c r="J167" s="64">
        <v>2826.25</v>
      </c>
      <c r="K167" s="64" t="s">
        <v>1394</v>
      </c>
      <c r="L167" s="64" t="s">
        <v>917</v>
      </c>
      <c r="M167" s="65">
        <v>680.55</v>
      </c>
      <c r="N167" s="66">
        <f>Table16[[#This Row],[Price]]/Table16[[#This Row],[Area (sq. in)]]*144</f>
        <v>34.674639540026533</v>
      </c>
      <c r="U167">
        <v>2023</v>
      </c>
      <c r="V167" t="s">
        <v>3213</v>
      </c>
      <c r="W167" t="s">
        <v>99</v>
      </c>
      <c r="X167" s="64" t="s">
        <v>1713</v>
      </c>
      <c r="Y167" t="s">
        <v>71</v>
      </c>
      <c r="Z167" t="s">
        <v>72</v>
      </c>
    </row>
    <row r="168" spans="1:26" hidden="1" x14ac:dyDescent="0.2">
      <c r="A168" t="s">
        <v>1328</v>
      </c>
      <c r="B168" t="s">
        <v>3398</v>
      </c>
      <c r="D168" s="64" t="s">
        <v>465</v>
      </c>
      <c r="E168" s="64" t="s">
        <v>1608</v>
      </c>
      <c r="F168" s="64" t="s">
        <v>1331</v>
      </c>
      <c r="G168" s="64">
        <v>0.5</v>
      </c>
      <c r="H168" s="64">
        <v>0.68</v>
      </c>
      <c r="I168" s="64" t="s">
        <v>3324</v>
      </c>
      <c r="J168" s="64">
        <v>576</v>
      </c>
      <c r="K168" s="64" t="s">
        <v>1332</v>
      </c>
      <c r="L168" s="64" t="s">
        <v>401</v>
      </c>
      <c r="M168" s="65">
        <v>420.24</v>
      </c>
      <c r="N168" s="66">
        <f>Table16[[#This Row],[Price]]/Table16[[#This Row],[Area (sq. in)]]*144</f>
        <v>105.06</v>
      </c>
      <c r="U168">
        <v>2023</v>
      </c>
      <c r="V168" t="s">
        <v>3170</v>
      </c>
      <c r="W168" t="s">
        <v>99</v>
      </c>
      <c r="X168" s="64" t="s">
        <v>1609</v>
      </c>
      <c r="Y168" t="s">
        <v>71</v>
      </c>
      <c r="Z168" t="s">
        <v>72</v>
      </c>
    </row>
    <row r="169" spans="1:26" x14ac:dyDescent="0.2">
      <c r="A169" t="s">
        <v>1328</v>
      </c>
      <c r="B169" t="s">
        <v>3431</v>
      </c>
      <c r="D169" s="64" t="s">
        <v>465</v>
      </c>
      <c r="E169" s="64" t="s">
        <v>1616</v>
      </c>
      <c r="F169" s="64" t="s">
        <v>1331</v>
      </c>
      <c r="G169" s="64">
        <v>0.27</v>
      </c>
      <c r="H169" s="64">
        <v>0.16</v>
      </c>
      <c r="I169" s="64" t="s">
        <v>3374</v>
      </c>
      <c r="J169" s="64">
        <v>693.25</v>
      </c>
      <c r="K169" s="64" t="s">
        <v>1403</v>
      </c>
      <c r="L169" s="64" t="s">
        <v>917</v>
      </c>
      <c r="M169" s="65">
        <v>668</v>
      </c>
      <c r="N169" s="66">
        <f>Table16[[#This Row],[Price]]/Table16[[#This Row],[Area (sq. in)]]*144</f>
        <v>138.75513883880274</v>
      </c>
      <c r="U169">
        <v>2023</v>
      </c>
      <c r="V169" t="s">
        <v>3272</v>
      </c>
      <c r="W169" t="s">
        <v>99</v>
      </c>
      <c r="X169" s="64" t="s">
        <v>1617</v>
      </c>
      <c r="Y169" t="s">
        <v>71</v>
      </c>
      <c r="Z169" t="s">
        <v>72</v>
      </c>
    </row>
    <row r="170" spans="1:26" x14ac:dyDescent="0.2">
      <c r="A170" t="s">
        <v>1328</v>
      </c>
      <c r="B170" t="s">
        <v>3431</v>
      </c>
      <c r="D170" s="64" t="s">
        <v>1392</v>
      </c>
      <c r="E170" s="64" t="s">
        <v>1421</v>
      </c>
      <c r="F170" s="64" t="s">
        <v>1331</v>
      </c>
      <c r="G170" s="64">
        <v>0.27</v>
      </c>
      <c r="H170" s="64">
        <v>0.16</v>
      </c>
      <c r="I170" s="64" t="s">
        <v>3329</v>
      </c>
      <c r="J170" s="64">
        <v>834.25</v>
      </c>
      <c r="K170" s="64" t="s">
        <v>1473</v>
      </c>
      <c r="L170" s="64" t="s">
        <v>917</v>
      </c>
      <c r="M170" s="65">
        <v>658</v>
      </c>
      <c r="N170" s="66">
        <f>Table16[[#This Row],[Price]]/Table16[[#This Row],[Area (sq. in)]]*144</f>
        <v>113.57746478873239</v>
      </c>
      <c r="U170">
        <v>2023</v>
      </c>
      <c r="V170" t="s">
        <v>3199</v>
      </c>
      <c r="W170" t="s">
        <v>99</v>
      </c>
      <c r="X170" s="64" t="s">
        <v>1422</v>
      </c>
      <c r="Y170" t="s">
        <v>71</v>
      </c>
      <c r="Z170" t="s">
        <v>72</v>
      </c>
    </row>
    <row r="171" spans="1:26" x14ac:dyDescent="0.2">
      <c r="A171" t="s">
        <v>1328</v>
      </c>
      <c r="B171" t="s">
        <v>3431</v>
      </c>
      <c r="D171" s="64" t="s">
        <v>465</v>
      </c>
      <c r="E171" s="64" t="s">
        <v>1760</v>
      </c>
      <c r="F171" s="64" t="s">
        <v>1331</v>
      </c>
      <c r="G171" s="64">
        <v>0.27</v>
      </c>
      <c r="H171" s="64">
        <v>0.22</v>
      </c>
      <c r="I171" s="64" t="s">
        <v>3321</v>
      </c>
      <c r="J171" s="64">
        <v>2256.25</v>
      </c>
      <c r="K171" s="64" t="s">
        <v>1403</v>
      </c>
      <c r="L171" s="64" t="s">
        <v>917</v>
      </c>
      <c r="M171" s="65">
        <v>628</v>
      </c>
      <c r="N171" s="66">
        <f>Table16[[#This Row],[Price]]/Table16[[#This Row],[Area (sq. in)]]*144</f>
        <v>40.080664819944602</v>
      </c>
      <c r="U171">
        <v>2023</v>
      </c>
      <c r="V171" t="s">
        <v>3128</v>
      </c>
      <c r="W171" t="s">
        <v>99</v>
      </c>
      <c r="X171" s="64" t="s">
        <v>1761</v>
      </c>
      <c r="Y171" t="s">
        <v>71</v>
      </c>
      <c r="Z171" t="s">
        <v>72</v>
      </c>
    </row>
    <row r="172" spans="1:26" x14ac:dyDescent="0.2">
      <c r="A172" t="s">
        <v>1328</v>
      </c>
      <c r="B172" t="s">
        <v>3431</v>
      </c>
      <c r="D172" s="64" t="s">
        <v>465</v>
      </c>
      <c r="E172" s="64" t="s">
        <v>1716</v>
      </c>
      <c r="F172" s="64" t="s">
        <v>1331</v>
      </c>
      <c r="G172" s="64">
        <v>0.27</v>
      </c>
      <c r="H172" s="64">
        <v>0.16</v>
      </c>
      <c r="I172" s="64" t="s">
        <v>3345</v>
      </c>
      <c r="J172" s="64">
        <v>1116.25</v>
      </c>
      <c r="K172" s="64" t="s">
        <v>1473</v>
      </c>
      <c r="L172" s="64" t="s">
        <v>917</v>
      </c>
      <c r="M172" s="65">
        <v>608</v>
      </c>
      <c r="N172" s="66">
        <f>Table16[[#This Row],[Price]]/Table16[[#This Row],[Area (sq. in)]]*144</f>
        <v>78.434042553191489</v>
      </c>
      <c r="U172">
        <v>2023</v>
      </c>
      <c r="V172" t="s">
        <v>3235</v>
      </c>
      <c r="W172" t="s">
        <v>99</v>
      </c>
      <c r="X172" s="64" t="s">
        <v>1717</v>
      </c>
      <c r="Y172" t="s">
        <v>71</v>
      </c>
      <c r="Z172" t="s">
        <v>72</v>
      </c>
    </row>
    <row r="173" spans="1:26" x14ac:dyDescent="0.2">
      <c r="A173" t="s">
        <v>1328</v>
      </c>
      <c r="B173" t="s">
        <v>3431</v>
      </c>
      <c r="D173" s="64" t="s">
        <v>465</v>
      </c>
      <c r="E173" s="64" t="s">
        <v>1591</v>
      </c>
      <c r="F173" s="64" t="s">
        <v>1331</v>
      </c>
      <c r="G173" s="64">
        <v>0.27</v>
      </c>
      <c r="H173" s="64">
        <v>0.18</v>
      </c>
      <c r="I173" s="64" t="s">
        <v>3334</v>
      </c>
      <c r="J173" s="64">
        <v>870.25</v>
      </c>
      <c r="K173" s="64" t="s">
        <v>1403</v>
      </c>
      <c r="L173" s="64" t="s">
        <v>917</v>
      </c>
      <c r="M173" s="65">
        <v>588</v>
      </c>
      <c r="N173" s="66">
        <f>Table16[[#This Row],[Price]]/Table16[[#This Row],[Area (sq. in)]]*144</f>
        <v>97.296179258833661</v>
      </c>
      <c r="U173">
        <v>2023</v>
      </c>
      <c r="V173" t="s">
        <v>3212</v>
      </c>
      <c r="W173" t="s">
        <v>99</v>
      </c>
      <c r="X173" s="64" t="s">
        <v>1592</v>
      </c>
      <c r="Y173" t="s">
        <v>71</v>
      </c>
      <c r="Z173" t="s">
        <v>72</v>
      </c>
    </row>
    <row r="174" spans="1:26" x14ac:dyDescent="0.2">
      <c r="A174" t="s">
        <v>1328</v>
      </c>
      <c r="B174" t="s">
        <v>3431</v>
      </c>
      <c r="D174" s="64" t="s">
        <v>465</v>
      </c>
      <c r="E174" s="64" t="s">
        <v>1668</v>
      </c>
      <c r="F174" s="64" t="s">
        <v>1331</v>
      </c>
      <c r="G174" s="64">
        <v>0.27</v>
      </c>
      <c r="H174" s="64">
        <v>0.28999999999999998</v>
      </c>
      <c r="I174" s="64" t="s">
        <v>3321</v>
      </c>
      <c r="J174" s="64">
        <v>2256.25</v>
      </c>
      <c r="K174" s="64" t="s">
        <v>1394</v>
      </c>
      <c r="L174" s="64" t="s">
        <v>917</v>
      </c>
      <c r="M174" s="65">
        <v>580</v>
      </c>
      <c r="N174" s="66">
        <f>Table16[[#This Row],[Price]]/Table16[[#This Row],[Area (sq. in)]]*144</f>
        <v>37.01717451523546</v>
      </c>
      <c r="U174">
        <v>2023</v>
      </c>
      <c r="V174" t="s">
        <v>3242</v>
      </c>
      <c r="W174" t="s">
        <v>99</v>
      </c>
      <c r="X174" s="64" t="s">
        <v>1669</v>
      </c>
      <c r="Y174" t="s">
        <v>71</v>
      </c>
      <c r="Z174" t="s">
        <v>72</v>
      </c>
    </row>
    <row r="175" spans="1:26" x14ac:dyDescent="0.2">
      <c r="A175" t="s">
        <v>1328</v>
      </c>
      <c r="B175" t="s">
        <v>3431</v>
      </c>
      <c r="D175" s="64" t="s">
        <v>465</v>
      </c>
      <c r="E175" s="64" t="s">
        <v>1823</v>
      </c>
      <c r="F175" s="64" t="s">
        <v>1331</v>
      </c>
      <c r="G175" s="64">
        <v>0.27</v>
      </c>
      <c r="H175" s="64">
        <v>0.3</v>
      </c>
      <c r="I175" s="64" t="s">
        <v>3325</v>
      </c>
      <c r="J175" s="64">
        <v>2112.25</v>
      </c>
      <c r="K175" s="64" t="s">
        <v>1394</v>
      </c>
      <c r="L175" s="64" t="s">
        <v>917</v>
      </c>
      <c r="M175" s="65">
        <v>574.92999999999995</v>
      </c>
      <c r="N175" s="66">
        <f>Table16[[#This Row],[Price]]/Table16[[#This Row],[Area (sq. in)]]*144</f>
        <v>39.195133151852282</v>
      </c>
      <c r="U175">
        <v>2023</v>
      </c>
      <c r="V175" t="s">
        <v>3136</v>
      </c>
      <c r="W175" t="s">
        <v>99</v>
      </c>
      <c r="X175" s="64" t="s">
        <v>1824</v>
      </c>
      <c r="Y175" t="s">
        <v>71</v>
      </c>
      <c r="Z175" t="s">
        <v>72</v>
      </c>
    </row>
    <row r="176" spans="1:26" x14ac:dyDescent="0.2">
      <c r="A176" t="s">
        <v>1328</v>
      </c>
      <c r="B176" t="s">
        <v>3431</v>
      </c>
      <c r="D176" s="64" t="s">
        <v>465</v>
      </c>
      <c r="E176" s="64" t="s">
        <v>1584</v>
      </c>
      <c r="F176" s="64" t="s">
        <v>1331</v>
      </c>
      <c r="G176" s="64">
        <v>0.27</v>
      </c>
      <c r="H176" s="64">
        <v>0.16</v>
      </c>
      <c r="I176" s="64" t="s">
        <v>3323</v>
      </c>
      <c r="J176" s="64">
        <v>552.25</v>
      </c>
      <c r="K176" s="64" t="s">
        <v>1403</v>
      </c>
      <c r="L176" s="64" t="s">
        <v>917</v>
      </c>
      <c r="M176" s="65">
        <v>558</v>
      </c>
      <c r="N176" s="66">
        <f>Table16[[#This Row],[Price]]/Table16[[#This Row],[Area (sq. in)]]*144</f>
        <v>145.49932095971027</v>
      </c>
      <c r="U176">
        <v>2023</v>
      </c>
      <c r="V176" t="s">
        <v>3262</v>
      </c>
      <c r="W176" t="s">
        <v>99</v>
      </c>
      <c r="X176" s="64" t="s">
        <v>1585</v>
      </c>
      <c r="Y176" t="s">
        <v>71</v>
      </c>
      <c r="Z176" t="s">
        <v>72</v>
      </c>
    </row>
    <row r="177" spans="1:26" x14ac:dyDescent="0.2">
      <c r="A177" t="s">
        <v>1328</v>
      </c>
      <c r="B177" t="s">
        <v>3431</v>
      </c>
      <c r="D177" s="64" t="s">
        <v>465</v>
      </c>
      <c r="E177" s="64" t="s">
        <v>1728</v>
      </c>
      <c r="F177" s="64" t="s">
        <v>1331</v>
      </c>
      <c r="G177" s="64">
        <v>0.27</v>
      </c>
      <c r="H177" s="64">
        <v>0.16</v>
      </c>
      <c r="I177" s="64" t="s">
        <v>3374</v>
      </c>
      <c r="J177" s="64">
        <v>693.25</v>
      </c>
      <c r="K177" s="64" t="s">
        <v>1403</v>
      </c>
      <c r="L177" s="64" t="s">
        <v>917</v>
      </c>
      <c r="M177" s="65">
        <v>528</v>
      </c>
      <c r="N177" s="66">
        <f>Table16[[#This Row],[Price]]/Table16[[#This Row],[Area (sq. in)]]*144</f>
        <v>109.67472051929319</v>
      </c>
      <c r="U177">
        <v>2023</v>
      </c>
      <c r="V177" t="s">
        <v>3303</v>
      </c>
      <c r="W177" t="s">
        <v>99</v>
      </c>
      <c r="X177" s="64" t="s">
        <v>1729</v>
      </c>
      <c r="Y177" t="s">
        <v>71</v>
      </c>
      <c r="Z177" t="s">
        <v>72</v>
      </c>
    </row>
    <row r="178" spans="1:26" x14ac:dyDescent="0.2">
      <c r="A178" t="s">
        <v>1328</v>
      </c>
      <c r="B178" t="s">
        <v>3431</v>
      </c>
      <c r="D178" s="64" t="s">
        <v>465</v>
      </c>
      <c r="E178" s="64" t="s">
        <v>1604</v>
      </c>
      <c r="F178" s="64" t="s">
        <v>1331</v>
      </c>
      <c r="G178" s="64">
        <v>0.27</v>
      </c>
      <c r="H178" s="64">
        <v>0.16</v>
      </c>
      <c r="I178" s="64" t="s">
        <v>3323</v>
      </c>
      <c r="J178" s="64">
        <v>552.25</v>
      </c>
      <c r="K178" s="64" t="s">
        <v>1473</v>
      </c>
      <c r="L178" s="64" t="s">
        <v>917</v>
      </c>
      <c r="M178" s="65">
        <v>518</v>
      </c>
      <c r="N178" s="66">
        <f>Table16[[#This Row],[Price]]/Table16[[#This Row],[Area (sq. in)]]*144</f>
        <v>135.06926210955183</v>
      </c>
      <c r="U178">
        <v>2023</v>
      </c>
      <c r="V178" t="s">
        <v>3175</v>
      </c>
      <c r="W178" t="s">
        <v>99</v>
      </c>
      <c r="X178" s="64" t="s">
        <v>1605</v>
      </c>
      <c r="Y178" t="s">
        <v>71</v>
      </c>
      <c r="Z178" t="s">
        <v>72</v>
      </c>
    </row>
    <row r="179" spans="1:26" x14ac:dyDescent="0.2">
      <c r="A179" t="s">
        <v>1328</v>
      </c>
      <c r="B179" t="s">
        <v>3433</v>
      </c>
      <c r="D179" s="64" t="s">
        <v>1444</v>
      </c>
      <c r="E179" s="64" t="s">
        <v>1678</v>
      </c>
      <c r="F179" s="64" t="s">
        <v>1331</v>
      </c>
      <c r="G179" s="64">
        <v>0.45</v>
      </c>
      <c r="H179" s="64">
        <v>0.56000000000000005</v>
      </c>
      <c r="I179" s="64" t="s">
        <v>3373</v>
      </c>
      <c r="J179" s="64">
        <v>1156</v>
      </c>
      <c r="K179" s="64" t="s">
        <v>1453</v>
      </c>
      <c r="L179" s="64" t="s">
        <v>917</v>
      </c>
      <c r="M179" s="65">
        <v>383.25</v>
      </c>
      <c r="N179" s="66">
        <f>Table16[[#This Row],[Price]]/Table16[[#This Row],[Area (sq. in)]]*144</f>
        <v>47.740484429065745</v>
      </c>
      <c r="U179">
        <v>2023</v>
      </c>
      <c r="V179" t="s">
        <v>3260</v>
      </c>
      <c r="W179" t="s">
        <v>99</v>
      </c>
      <c r="X179" s="64" t="s">
        <v>1679</v>
      </c>
      <c r="Y179" t="s">
        <v>72</v>
      </c>
      <c r="Z179" t="s">
        <v>72</v>
      </c>
    </row>
    <row r="180" spans="1:26" x14ac:dyDescent="0.2">
      <c r="A180" t="s">
        <v>1328</v>
      </c>
      <c r="B180" t="s">
        <v>3431</v>
      </c>
      <c r="D180" s="64" t="s">
        <v>465</v>
      </c>
      <c r="E180" s="64" t="s">
        <v>1680</v>
      </c>
      <c r="F180" s="64" t="s">
        <v>1331</v>
      </c>
      <c r="G180" s="64">
        <v>0.27</v>
      </c>
      <c r="H180" s="64">
        <v>0.16</v>
      </c>
      <c r="I180" s="64" t="s">
        <v>3329</v>
      </c>
      <c r="J180" s="64">
        <v>834.25</v>
      </c>
      <c r="K180" s="64" t="s">
        <v>1473</v>
      </c>
      <c r="L180" s="64" t="s">
        <v>917</v>
      </c>
      <c r="M180" s="65">
        <v>508</v>
      </c>
      <c r="N180" s="66">
        <f>Table16[[#This Row],[Price]]/Table16[[#This Row],[Area (sq. in)]]*144</f>
        <v>87.685945459994016</v>
      </c>
      <c r="U180">
        <v>2023</v>
      </c>
      <c r="V180" t="s">
        <v>3205</v>
      </c>
      <c r="W180" t="s">
        <v>99</v>
      </c>
      <c r="X180" s="64" t="s">
        <v>1681</v>
      </c>
      <c r="Y180" t="s">
        <v>71</v>
      </c>
      <c r="Z180" t="s">
        <v>72</v>
      </c>
    </row>
    <row r="181" spans="1:26" x14ac:dyDescent="0.2">
      <c r="A181" t="s">
        <v>1328</v>
      </c>
      <c r="B181" t="s">
        <v>3431</v>
      </c>
      <c r="D181" s="64" t="s">
        <v>465</v>
      </c>
      <c r="E181" s="64" t="s">
        <v>1664</v>
      </c>
      <c r="F181" s="64" t="s">
        <v>1331</v>
      </c>
      <c r="G181" s="64">
        <v>0.27</v>
      </c>
      <c r="H181" s="64">
        <v>0.22</v>
      </c>
      <c r="I181" s="64" t="s">
        <v>3326</v>
      </c>
      <c r="J181" s="64">
        <v>1686.25</v>
      </c>
      <c r="K181" s="64" t="s">
        <v>1403</v>
      </c>
      <c r="L181" s="64" t="s">
        <v>917</v>
      </c>
      <c r="M181" s="65">
        <v>468</v>
      </c>
      <c r="N181" s="66">
        <f>Table16[[#This Row],[Price]]/Table16[[#This Row],[Area (sq. in)]]*144</f>
        <v>39.965604151223125</v>
      </c>
      <c r="U181">
        <v>2023</v>
      </c>
      <c r="V181" t="s">
        <v>3288</v>
      </c>
      <c r="W181" t="s">
        <v>99</v>
      </c>
      <c r="X181" s="64" t="s">
        <v>1665</v>
      </c>
      <c r="Y181" t="s">
        <v>71</v>
      </c>
      <c r="Z181" t="s">
        <v>72</v>
      </c>
    </row>
    <row r="182" spans="1:26" x14ac:dyDescent="0.2">
      <c r="A182" t="s">
        <v>1328</v>
      </c>
      <c r="B182" t="s">
        <v>3431</v>
      </c>
      <c r="D182" s="64" t="s">
        <v>465</v>
      </c>
      <c r="E182" s="64" t="s">
        <v>1450</v>
      </c>
      <c r="F182" s="64" t="s">
        <v>1331</v>
      </c>
      <c r="G182" s="64">
        <v>0.27</v>
      </c>
      <c r="H182" s="64">
        <v>0.28999999999999998</v>
      </c>
      <c r="I182" s="64" t="s">
        <v>3335</v>
      </c>
      <c r="J182" s="64">
        <v>1686.25</v>
      </c>
      <c r="K182" s="64" t="s">
        <v>1394</v>
      </c>
      <c r="L182" s="64" t="s">
        <v>917</v>
      </c>
      <c r="M182" s="65">
        <v>455.03</v>
      </c>
      <c r="N182" s="66">
        <f>Table16[[#This Row],[Price]]/Table16[[#This Row],[Area (sq. in)]]*144</f>
        <v>38.858010378057813</v>
      </c>
      <c r="U182">
        <v>2023</v>
      </c>
      <c r="V182" t="s">
        <v>3308</v>
      </c>
      <c r="W182" t="s">
        <v>99</v>
      </c>
      <c r="X182" s="64" t="s">
        <v>1451</v>
      </c>
      <c r="Y182" t="s">
        <v>71</v>
      </c>
      <c r="Z182" t="s">
        <v>72</v>
      </c>
    </row>
    <row r="183" spans="1:26" x14ac:dyDescent="0.2">
      <c r="A183" t="s">
        <v>1328</v>
      </c>
      <c r="B183" t="s">
        <v>3431</v>
      </c>
      <c r="D183" s="64" t="s">
        <v>465</v>
      </c>
      <c r="E183" s="64" t="s">
        <v>1696</v>
      </c>
      <c r="F183" s="64" t="s">
        <v>1331</v>
      </c>
      <c r="G183" s="64">
        <v>0.27</v>
      </c>
      <c r="H183" s="64">
        <v>0.3</v>
      </c>
      <c r="I183" s="64" t="s">
        <v>3315</v>
      </c>
      <c r="J183" s="64">
        <v>1260.25</v>
      </c>
      <c r="K183" s="64" t="s">
        <v>1394</v>
      </c>
      <c r="L183" s="64" t="s">
        <v>917</v>
      </c>
      <c r="M183" s="65">
        <v>433</v>
      </c>
      <c r="N183" s="66">
        <f>Table16[[#This Row],[Price]]/Table16[[#This Row],[Area (sq. in)]]*144</f>
        <v>49.475897639357271</v>
      </c>
      <c r="U183">
        <v>2023</v>
      </c>
      <c r="V183" t="s">
        <v>3210</v>
      </c>
      <c r="W183" t="s">
        <v>99</v>
      </c>
      <c r="X183" s="64" t="s">
        <v>1697</v>
      </c>
      <c r="Y183" t="s">
        <v>71</v>
      </c>
      <c r="Z183" t="s">
        <v>72</v>
      </c>
    </row>
    <row r="184" spans="1:26" x14ac:dyDescent="0.2">
      <c r="A184" t="s">
        <v>1328</v>
      </c>
      <c r="B184" t="s">
        <v>3431</v>
      </c>
      <c r="D184" s="64" t="s">
        <v>465</v>
      </c>
      <c r="E184" s="64" t="s">
        <v>1448</v>
      </c>
      <c r="F184" s="64" t="s">
        <v>1331</v>
      </c>
      <c r="G184" s="64">
        <v>0.27</v>
      </c>
      <c r="H184" s="64">
        <v>0.24</v>
      </c>
      <c r="I184" s="64" t="s">
        <v>3321</v>
      </c>
      <c r="J184" s="64">
        <v>2256.25</v>
      </c>
      <c r="K184" s="64" t="s">
        <v>1403</v>
      </c>
      <c r="L184" s="64" t="s">
        <v>917</v>
      </c>
      <c r="M184" s="65">
        <v>421</v>
      </c>
      <c r="N184" s="66">
        <f>Table16[[#This Row],[Price]]/Table16[[#This Row],[Area (sq. in)]]*144</f>
        <v>26.869362880886424</v>
      </c>
      <c r="U184">
        <v>2023</v>
      </c>
      <c r="V184" t="s">
        <v>3086</v>
      </c>
      <c r="W184" t="s">
        <v>99</v>
      </c>
      <c r="X184" s="64" t="s">
        <v>1449</v>
      </c>
      <c r="Y184" t="s">
        <v>71</v>
      </c>
      <c r="Z184" t="s">
        <v>72</v>
      </c>
    </row>
    <row r="185" spans="1:26" x14ac:dyDescent="0.2">
      <c r="A185" t="s">
        <v>1328</v>
      </c>
      <c r="B185" t="s">
        <v>3431</v>
      </c>
      <c r="D185" s="64" t="s">
        <v>465</v>
      </c>
      <c r="E185" s="64" t="s">
        <v>1758</v>
      </c>
      <c r="F185" s="64" t="s">
        <v>1331</v>
      </c>
      <c r="G185" s="64">
        <v>0.27</v>
      </c>
      <c r="H185" s="64">
        <v>0.22</v>
      </c>
      <c r="I185" s="64" t="s">
        <v>3321</v>
      </c>
      <c r="J185" s="64">
        <v>2256.25</v>
      </c>
      <c r="K185" s="64" t="s">
        <v>1403</v>
      </c>
      <c r="L185" s="64" t="s">
        <v>917</v>
      </c>
      <c r="M185" s="65">
        <v>412</v>
      </c>
      <c r="N185" s="66">
        <f>Table16[[#This Row],[Price]]/Table16[[#This Row],[Area (sq. in)]]*144</f>
        <v>26.294958448753462</v>
      </c>
      <c r="U185">
        <v>2023</v>
      </c>
      <c r="V185" t="s">
        <v>3101</v>
      </c>
      <c r="W185" t="s">
        <v>99</v>
      </c>
      <c r="X185" s="64" t="s">
        <v>1759</v>
      </c>
      <c r="Y185" t="s">
        <v>71</v>
      </c>
      <c r="Z185" t="s">
        <v>72</v>
      </c>
    </row>
    <row r="186" spans="1:26" x14ac:dyDescent="0.2">
      <c r="A186" t="s">
        <v>1328</v>
      </c>
      <c r="B186" t="s">
        <v>3431</v>
      </c>
      <c r="D186" s="64" t="s">
        <v>465</v>
      </c>
      <c r="E186" s="64" t="s">
        <v>1588</v>
      </c>
      <c r="F186" s="64" t="s">
        <v>1331</v>
      </c>
      <c r="G186" s="64">
        <v>0.27</v>
      </c>
      <c r="H186" s="64">
        <v>0.16</v>
      </c>
      <c r="I186" s="64" t="s">
        <v>3323</v>
      </c>
      <c r="J186" s="64">
        <v>552.25</v>
      </c>
      <c r="K186" s="64" t="s">
        <v>1473</v>
      </c>
      <c r="L186" s="64" t="s">
        <v>917</v>
      </c>
      <c r="M186" s="65">
        <v>398</v>
      </c>
      <c r="N186" s="66">
        <f>Table16[[#This Row],[Price]]/Table16[[#This Row],[Area (sq. in)]]*144</f>
        <v>103.77908555907651</v>
      </c>
      <c r="U186">
        <v>2023</v>
      </c>
      <c r="V186" t="s">
        <v>3214</v>
      </c>
      <c r="W186" t="s">
        <v>99</v>
      </c>
      <c r="X186" s="64" t="s">
        <v>1589</v>
      </c>
      <c r="Y186" t="s">
        <v>71</v>
      </c>
      <c r="Z186" t="s">
        <v>72</v>
      </c>
    </row>
    <row r="187" spans="1:26" x14ac:dyDescent="0.2">
      <c r="A187" t="s">
        <v>1328</v>
      </c>
      <c r="B187" t="s">
        <v>3433</v>
      </c>
      <c r="D187" s="64" t="s">
        <v>1444</v>
      </c>
      <c r="E187" s="64" t="s">
        <v>1688</v>
      </c>
      <c r="F187" s="64" t="s">
        <v>1331</v>
      </c>
      <c r="G187" s="64">
        <v>0.45</v>
      </c>
      <c r="H187" s="64">
        <v>0.56000000000000005</v>
      </c>
      <c r="I187" s="64" t="s">
        <v>3373</v>
      </c>
      <c r="J187" s="64">
        <v>1156</v>
      </c>
      <c r="K187" s="64" t="s">
        <v>1453</v>
      </c>
      <c r="L187" s="64" t="s">
        <v>917</v>
      </c>
      <c r="M187" s="65">
        <v>358</v>
      </c>
      <c r="N187" s="66">
        <f>Table16[[#This Row],[Price]]/Table16[[#This Row],[Area (sq. in)]]*144</f>
        <v>44.595155709342563</v>
      </c>
      <c r="U187">
        <v>2023</v>
      </c>
      <c r="V187" t="s">
        <v>3304</v>
      </c>
      <c r="W187" t="s">
        <v>99</v>
      </c>
      <c r="X187" s="64" t="s">
        <v>1689</v>
      </c>
      <c r="Y187" t="s">
        <v>72</v>
      </c>
      <c r="Z187" t="s">
        <v>72</v>
      </c>
    </row>
    <row r="188" spans="1:26" x14ac:dyDescent="0.2">
      <c r="A188" t="s">
        <v>1328</v>
      </c>
      <c r="B188" t="s">
        <v>3431</v>
      </c>
      <c r="D188" s="64" t="s">
        <v>465</v>
      </c>
      <c r="E188" s="64" t="s">
        <v>1789</v>
      </c>
      <c r="F188" s="64" t="s">
        <v>1331</v>
      </c>
      <c r="G188" s="64">
        <v>0.27</v>
      </c>
      <c r="H188" s="64">
        <v>0.24</v>
      </c>
      <c r="I188" s="64" t="s">
        <v>3321</v>
      </c>
      <c r="J188" s="64">
        <v>2256.25</v>
      </c>
      <c r="K188" s="64" t="s">
        <v>1403</v>
      </c>
      <c r="L188" s="64" t="s">
        <v>917</v>
      </c>
      <c r="M188" s="65">
        <v>388</v>
      </c>
      <c r="N188" s="66">
        <f>Table16[[#This Row],[Price]]/Table16[[#This Row],[Area (sq. in)]]*144</f>
        <v>24.763213296398892</v>
      </c>
      <c r="U188">
        <v>2023</v>
      </c>
      <c r="V188" t="s">
        <v>3149</v>
      </c>
      <c r="W188" t="s">
        <v>99</v>
      </c>
      <c r="X188" s="64" t="s">
        <v>1790</v>
      </c>
      <c r="Y188" t="s">
        <v>71</v>
      </c>
      <c r="Z188" t="s">
        <v>72</v>
      </c>
    </row>
    <row r="189" spans="1:26" x14ac:dyDescent="0.2">
      <c r="A189" t="s">
        <v>1328</v>
      </c>
      <c r="B189" t="s">
        <v>3431</v>
      </c>
      <c r="D189" s="64" t="s">
        <v>465</v>
      </c>
      <c r="E189" s="64" t="s">
        <v>1672</v>
      </c>
      <c r="F189" s="64" t="s">
        <v>1331</v>
      </c>
      <c r="G189" s="64">
        <v>0.27</v>
      </c>
      <c r="H189" s="64">
        <v>0.22</v>
      </c>
      <c r="I189" s="64" t="s">
        <v>3335</v>
      </c>
      <c r="J189" s="64">
        <v>1686.25</v>
      </c>
      <c r="K189" s="64" t="s">
        <v>1403</v>
      </c>
      <c r="L189" s="64" t="s">
        <v>917</v>
      </c>
      <c r="M189" s="65">
        <v>388</v>
      </c>
      <c r="N189" s="66">
        <f>Table16[[#This Row],[Price]]/Table16[[#This Row],[Area (sq. in)]]*144</f>
        <v>33.133876945885845</v>
      </c>
      <c r="U189">
        <v>2023</v>
      </c>
      <c r="V189" t="s">
        <v>3152</v>
      </c>
      <c r="W189" t="s">
        <v>99</v>
      </c>
      <c r="X189" s="64" t="s">
        <v>1673</v>
      </c>
      <c r="Y189" t="s">
        <v>71</v>
      </c>
      <c r="Z189" t="s">
        <v>72</v>
      </c>
    </row>
    <row r="190" spans="1:26" x14ac:dyDescent="0.2">
      <c r="A190" t="s">
        <v>1328</v>
      </c>
      <c r="B190" t="s">
        <v>3431</v>
      </c>
      <c r="D190" s="64" t="s">
        <v>1338</v>
      </c>
      <c r="E190" s="64" t="s">
        <v>1346</v>
      </c>
      <c r="F190" s="64" t="s">
        <v>1347</v>
      </c>
      <c r="G190" s="64">
        <v>0.27</v>
      </c>
      <c r="H190" s="64">
        <v>0.22</v>
      </c>
      <c r="I190" s="64" t="s">
        <v>3321</v>
      </c>
      <c r="J190" s="64">
        <v>2256.25</v>
      </c>
      <c r="K190" s="64" t="s">
        <v>1403</v>
      </c>
      <c r="L190" s="64" t="s">
        <v>917</v>
      </c>
      <c r="M190" s="65">
        <v>378</v>
      </c>
      <c r="N190" s="66">
        <f>Table16[[#This Row],[Price]]/Table16[[#This Row],[Area (sq. in)]]*144</f>
        <v>24.124986149584487</v>
      </c>
      <c r="U190">
        <v>2023</v>
      </c>
      <c r="V190" t="s">
        <v>3233</v>
      </c>
      <c r="W190" t="s">
        <v>99</v>
      </c>
      <c r="X190" s="64" t="s">
        <v>1348</v>
      </c>
      <c r="Y190" t="s">
        <v>71</v>
      </c>
      <c r="Z190" t="s">
        <v>72</v>
      </c>
    </row>
    <row r="191" spans="1:26" x14ac:dyDescent="0.2">
      <c r="A191" t="s">
        <v>1328</v>
      </c>
      <c r="B191" t="s">
        <v>3431</v>
      </c>
      <c r="D191" s="64" t="s">
        <v>465</v>
      </c>
      <c r="E191" s="64" t="s">
        <v>1787</v>
      </c>
      <c r="F191" s="64" t="s">
        <v>1331</v>
      </c>
      <c r="G191" s="64">
        <v>0.27</v>
      </c>
      <c r="H191" s="64">
        <v>0.28999999999999998</v>
      </c>
      <c r="I191" s="64" t="s">
        <v>3329</v>
      </c>
      <c r="J191" s="64">
        <v>834.25</v>
      </c>
      <c r="K191" s="64" t="s">
        <v>1394</v>
      </c>
      <c r="L191" s="64" t="s">
        <v>917</v>
      </c>
      <c r="M191" s="65">
        <v>349.01</v>
      </c>
      <c r="N191" s="66">
        <f>Table16[[#This Row],[Price]]/Table16[[#This Row],[Area (sq. in)]]*144</f>
        <v>60.242661072819899</v>
      </c>
      <c r="U191">
        <v>2023</v>
      </c>
      <c r="V191" t="s">
        <v>3244</v>
      </c>
      <c r="W191" t="s">
        <v>99</v>
      </c>
      <c r="X191" s="64" t="s">
        <v>1788</v>
      </c>
      <c r="Y191" t="s">
        <v>71</v>
      </c>
      <c r="Z191" t="s">
        <v>72</v>
      </c>
    </row>
    <row r="192" spans="1:26" x14ac:dyDescent="0.2">
      <c r="A192" t="s">
        <v>1328</v>
      </c>
      <c r="B192" t="s">
        <v>3431</v>
      </c>
      <c r="D192" s="64" t="s">
        <v>465</v>
      </c>
      <c r="E192" s="64" t="s">
        <v>1698</v>
      </c>
      <c r="F192" s="64" t="s">
        <v>1331</v>
      </c>
      <c r="G192" s="64">
        <v>0.27</v>
      </c>
      <c r="H192" s="64">
        <v>0.28999999999999998</v>
      </c>
      <c r="I192" s="64" t="s">
        <v>3315</v>
      </c>
      <c r="J192" s="64">
        <v>1260.25</v>
      </c>
      <c r="K192" s="64" t="s">
        <v>1394</v>
      </c>
      <c r="L192" s="64" t="s">
        <v>917</v>
      </c>
      <c r="M192" s="65">
        <v>348</v>
      </c>
      <c r="N192" s="66">
        <f>Table16[[#This Row],[Price]]/Table16[[#This Row],[Area (sq. in)]]*144</f>
        <v>39.763538980361041</v>
      </c>
      <c r="U192">
        <v>2023</v>
      </c>
      <c r="V192" t="s">
        <v>3284</v>
      </c>
      <c r="W192" t="s">
        <v>99</v>
      </c>
      <c r="X192" s="64" t="s">
        <v>1699</v>
      </c>
      <c r="Y192" t="s">
        <v>71</v>
      </c>
      <c r="Z192" t="s">
        <v>72</v>
      </c>
    </row>
    <row r="193" spans="1:26" x14ac:dyDescent="0.2">
      <c r="A193" t="s">
        <v>1328</v>
      </c>
      <c r="B193" t="s">
        <v>3431</v>
      </c>
      <c r="D193" s="64" t="s">
        <v>465</v>
      </c>
      <c r="E193" s="64" t="s">
        <v>1827</v>
      </c>
      <c r="F193" s="64" t="s">
        <v>1331</v>
      </c>
      <c r="G193" s="64">
        <v>0.27</v>
      </c>
      <c r="H193" s="64">
        <v>0.22</v>
      </c>
      <c r="I193" s="64" t="s">
        <v>3335</v>
      </c>
      <c r="J193" s="64">
        <v>1686.25</v>
      </c>
      <c r="K193" s="64" t="s">
        <v>1403</v>
      </c>
      <c r="L193" s="64" t="s">
        <v>917</v>
      </c>
      <c r="M193" s="65">
        <v>328</v>
      </c>
      <c r="N193" s="66">
        <f>Table16[[#This Row],[Price]]/Table16[[#This Row],[Area (sq. in)]]*144</f>
        <v>28.010081541882876</v>
      </c>
      <c r="U193">
        <v>2023</v>
      </c>
      <c r="V193" t="s">
        <v>3105</v>
      </c>
      <c r="W193" t="s">
        <v>99</v>
      </c>
      <c r="X193" s="64" t="s">
        <v>1828</v>
      </c>
      <c r="Y193" t="s">
        <v>71</v>
      </c>
      <c r="Z193" t="s">
        <v>72</v>
      </c>
    </row>
    <row r="194" spans="1:26" x14ac:dyDescent="0.2">
      <c r="A194" t="s">
        <v>1328</v>
      </c>
      <c r="B194" t="s">
        <v>3431</v>
      </c>
      <c r="D194" s="64" t="s">
        <v>465</v>
      </c>
      <c r="E194" s="64" t="s">
        <v>1440</v>
      </c>
      <c r="F194" s="64" t="s">
        <v>1331</v>
      </c>
      <c r="G194" s="64">
        <v>0.27</v>
      </c>
      <c r="H194" s="64">
        <v>0.22</v>
      </c>
      <c r="I194" s="64" t="s">
        <v>3326</v>
      </c>
      <c r="J194" s="64">
        <v>1686.25</v>
      </c>
      <c r="K194" s="64" t="s">
        <v>1403</v>
      </c>
      <c r="L194" s="64" t="s">
        <v>917</v>
      </c>
      <c r="M194" s="65">
        <v>328</v>
      </c>
      <c r="N194" s="66">
        <f>Table16[[#This Row],[Price]]/Table16[[#This Row],[Area (sq. in)]]*144</f>
        <v>28.010081541882876</v>
      </c>
      <c r="U194">
        <v>2023</v>
      </c>
      <c r="V194" t="s">
        <v>3124</v>
      </c>
      <c r="W194" t="s">
        <v>99</v>
      </c>
      <c r="X194" s="64" t="s">
        <v>1441</v>
      </c>
      <c r="Y194" t="s">
        <v>71</v>
      </c>
      <c r="Z194" t="s">
        <v>72</v>
      </c>
    </row>
    <row r="195" spans="1:26" x14ac:dyDescent="0.2">
      <c r="A195" t="s">
        <v>1328</v>
      </c>
      <c r="B195" t="s">
        <v>3431</v>
      </c>
      <c r="D195" s="64" t="s">
        <v>465</v>
      </c>
      <c r="E195" s="64" t="s">
        <v>1700</v>
      </c>
      <c r="F195" s="64" t="s">
        <v>1331</v>
      </c>
      <c r="G195" s="64">
        <v>0.27</v>
      </c>
      <c r="H195" s="64">
        <v>0.28999999999999998</v>
      </c>
      <c r="I195" s="64" t="s">
        <v>3323</v>
      </c>
      <c r="J195" s="64">
        <v>552.25</v>
      </c>
      <c r="K195" s="64" t="s">
        <v>1394</v>
      </c>
      <c r="L195" s="64" t="s">
        <v>917</v>
      </c>
      <c r="M195" s="65">
        <v>320.45</v>
      </c>
      <c r="N195" s="66">
        <f>Table16[[#This Row],[Price]]/Table16[[#This Row],[Area (sq. in)]]*144</f>
        <v>83.557808963331823</v>
      </c>
      <c r="U195">
        <v>2023</v>
      </c>
      <c r="V195" t="s">
        <v>3239</v>
      </c>
      <c r="W195" t="s">
        <v>99</v>
      </c>
      <c r="X195" s="64" t="s">
        <v>1701</v>
      </c>
      <c r="Y195" t="s">
        <v>71</v>
      </c>
      <c r="Z195" t="s">
        <v>72</v>
      </c>
    </row>
    <row r="196" spans="1:26" x14ac:dyDescent="0.2">
      <c r="A196" t="s">
        <v>1328</v>
      </c>
      <c r="B196" t="s">
        <v>3431</v>
      </c>
      <c r="D196" s="64" t="s">
        <v>465</v>
      </c>
      <c r="E196" s="64" t="s">
        <v>1670</v>
      </c>
      <c r="F196" s="64" t="s">
        <v>1331</v>
      </c>
      <c r="G196" s="64">
        <v>0.27</v>
      </c>
      <c r="H196" s="64">
        <v>0.22</v>
      </c>
      <c r="I196" s="64" t="s">
        <v>3315</v>
      </c>
      <c r="J196" s="64">
        <v>1260.25</v>
      </c>
      <c r="K196" s="64" t="s">
        <v>1403</v>
      </c>
      <c r="L196" s="64" t="s">
        <v>917</v>
      </c>
      <c r="M196" s="65">
        <v>318</v>
      </c>
      <c r="N196" s="66">
        <f>Table16[[#This Row],[Price]]/Table16[[#This Row],[Area (sq. in)]]*144</f>
        <v>36.335647688950601</v>
      </c>
      <c r="U196">
        <v>2023</v>
      </c>
      <c r="V196" t="s">
        <v>3202</v>
      </c>
      <c r="W196" t="s">
        <v>99</v>
      </c>
      <c r="X196" s="64" t="s">
        <v>1671</v>
      </c>
      <c r="Y196" t="s">
        <v>71</v>
      </c>
      <c r="Z196" t="s">
        <v>72</v>
      </c>
    </row>
    <row r="197" spans="1:26" x14ac:dyDescent="0.2">
      <c r="A197" t="s">
        <v>1328</v>
      </c>
      <c r="B197" t="s">
        <v>3431</v>
      </c>
      <c r="D197" s="64" t="s">
        <v>465</v>
      </c>
      <c r="E197" s="64" t="s">
        <v>1570</v>
      </c>
      <c r="F197" s="64" t="s">
        <v>1331</v>
      </c>
      <c r="G197" s="64">
        <v>0.27</v>
      </c>
      <c r="H197" s="64">
        <v>0.22</v>
      </c>
      <c r="I197" s="64" t="s">
        <v>3323</v>
      </c>
      <c r="J197" s="64">
        <v>552.25</v>
      </c>
      <c r="K197" s="64" t="s">
        <v>1403</v>
      </c>
      <c r="L197" s="64" t="s">
        <v>917</v>
      </c>
      <c r="M197" s="65">
        <v>277</v>
      </c>
      <c r="N197" s="66">
        <f>Table16[[#This Row],[Price]]/Table16[[#This Row],[Area (sq. in)]]*144</f>
        <v>72.228157537347215</v>
      </c>
      <c r="U197">
        <v>2023</v>
      </c>
      <c r="V197" t="s">
        <v>3167</v>
      </c>
      <c r="W197" t="s">
        <v>99</v>
      </c>
      <c r="X197" s="64" t="s">
        <v>1571</v>
      </c>
      <c r="Y197" t="s">
        <v>71</v>
      </c>
      <c r="Z197" t="s">
        <v>72</v>
      </c>
    </row>
    <row r="198" spans="1:26" x14ac:dyDescent="0.2">
      <c r="A198" t="s">
        <v>1328</v>
      </c>
      <c r="B198" t="s">
        <v>3431</v>
      </c>
      <c r="D198" s="64" t="s">
        <v>1338</v>
      </c>
      <c r="E198" s="64" t="s">
        <v>1819</v>
      </c>
      <c r="F198" s="64" t="s">
        <v>1331</v>
      </c>
      <c r="G198" s="64">
        <v>0.27</v>
      </c>
      <c r="H198" s="64">
        <v>0.22</v>
      </c>
      <c r="I198" s="64" t="s">
        <v>3329</v>
      </c>
      <c r="J198" s="64">
        <v>834.25</v>
      </c>
      <c r="K198" s="64" t="s">
        <v>1403</v>
      </c>
      <c r="L198" s="64" t="s">
        <v>917</v>
      </c>
      <c r="M198" s="65">
        <v>258</v>
      </c>
      <c r="N198" s="66">
        <f>Table16[[#This Row],[Price]]/Table16[[#This Row],[Area (sq. in)]]*144</f>
        <v>44.533413245430026</v>
      </c>
      <c r="U198">
        <v>2023</v>
      </c>
      <c r="V198" t="s">
        <v>3222</v>
      </c>
      <c r="W198" t="s">
        <v>99</v>
      </c>
      <c r="X198" s="64" t="s">
        <v>1820</v>
      </c>
      <c r="Y198" t="s">
        <v>71</v>
      </c>
      <c r="Z198" t="s">
        <v>72</v>
      </c>
    </row>
    <row r="199" spans="1:26" x14ac:dyDescent="0.2">
      <c r="A199" t="s">
        <v>1328</v>
      </c>
      <c r="B199" t="s">
        <v>3431</v>
      </c>
      <c r="D199" s="64" t="s">
        <v>465</v>
      </c>
      <c r="E199" s="64" t="s">
        <v>1813</v>
      </c>
      <c r="F199" s="64" t="s">
        <v>1331</v>
      </c>
      <c r="G199" s="64">
        <v>0.27</v>
      </c>
      <c r="H199" s="64">
        <v>0.22</v>
      </c>
      <c r="I199" s="64" t="s">
        <v>3335</v>
      </c>
      <c r="J199" s="64">
        <v>1686.25</v>
      </c>
      <c r="K199" s="64" t="s">
        <v>1403</v>
      </c>
      <c r="L199" s="64" t="s">
        <v>917</v>
      </c>
      <c r="M199" s="65">
        <v>238</v>
      </c>
      <c r="N199" s="66">
        <f>Table16[[#This Row],[Price]]/Table16[[#This Row],[Area (sq. in)]]*144</f>
        <v>20.324388435878426</v>
      </c>
      <c r="U199">
        <v>2023</v>
      </c>
      <c r="V199" t="s">
        <v>3204</v>
      </c>
      <c r="W199" t="s">
        <v>99</v>
      </c>
      <c r="X199" s="64" t="s">
        <v>1814</v>
      </c>
      <c r="Y199" t="s">
        <v>71</v>
      </c>
      <c r="Z199" t="s">
        <v>72</v>
      </c>
    </row>
    <row r="200" spans="1:26" x14ac:dyDescent="0.2">
      <c r="A200" t="s">
        <v>1328</v>
      </c>
      <c r="B200" t="s">
        <v>3431</v>
      </c>
      <c r="D200" s="64" t="s">
        <v>465</v>
      </c>
      <c r="E200" s="64" t="s">
        <v>1770</v>
      </c>
      <c r="F200" s="64" t="s">
        <v>1331</v>
      </c>
      <c r="G200" s="64">
        <v>0.27</v>
      </c>
      <c r="H200" s="64">
        <v>0.22</v>
      </c>
      <c r="I200" s="64" t="s">
        <v>3334</v>
      </c>
      <c r="J200" s="64">
        <v>870.25</v>
      </c>
      <c r="K200" s="64" t="s">
        <v>1403</v>
      </c>
      <c r="L200" s="64" t="s">
        <v>917</v>
      </c>
      <c r="M200" s="65">
        <v>227</v>
      </c>
      <c r="N200" s="66">
        <f>Table16[[#This Row],[Price]]/Table16[[#This Row],[Area (sq. in)]]*144</f>
        <v>37.561620224073543</v>
      </c>
      <c r="U200">
        <v>2023</v>
      </c>
      <c r="V200" t="s">
        <v>3104</v>
      </c>
      <c r="W200" t="s">
        <v>99</v>
      </c>
      <c r="X200" s="64" t="s">
        <v>1772</v>
      </c>
      <c r="Y200" t="s">
        <v>71</v>
      </c>
      <c r="Z200" t="s">
        <v>72</v>
      </c>
    </row>
    <row r="201" spans="1:26" x14ac:dyDescent="0.2">
      <c r="A201" t="s">
        <v>1328</v>
      </c>
      <c r="B201" t="s">
        <v>3431</v>
      </c>
      <c r="D201" s="64" t="s">
        <v>465</v>
      </c>
      <c r="E201" s="64" t="s">
        <v>1746</v>
      </c>
      <c r="F201" s="64" t="s">
        <v>1331</v>
      </c>
      <c r="G201" s="64">
        <v>0.27</v>
      </c>
      <c r="H201" s="64">
        <v>0.22</v>
      </c>
      <c r="I201" s="64" t="s">
        <v>3329</v>
      </c>
      <c r="J201" s="64">
        <v>834.25</v>
      </c>
      <c r="K201" s="64" t="s">
        <v>1403</v>
      </c>
      <c r="L201" s="64" t="s">
        <v>917</v>
      </c>
      <c r="M201" s="65">
        <v>178.24</v>
      </c>
      <c r="N201" s="66">
        <f>Table16[[#This Row],[Price]]/Table16[[#This Row],[Area (sq. in)]]*144</f>
        <v>30.766029367695534</v>
      </c>
      <c r="U201">
        <v>2023</v>
      </c>
      <c r="V201" t="s">
        <v>3185</v>
      </c>
      <c r="W201" t="s">
        <v>99</v>
      </c>
      <c r="X201" s="64" t="s">
        <v>1747</v>
      </c>
      <c r="Y201" t="s">
        <v>71</v>
      </c>
      <c r="Z201" t="s">
        <v>72</v>
      </c>
    </row>
    <row r="202" spans="1:26" x14ac:dyDescent="0.2">
      <c r="A202" t="s">
        <v>1328</v>
      </c>
      <c r="B202" t="s">
        <v>3431</v>
      </c>
      <c r="D202" s="64" t="s">
        <v>465</v>
      </c>
      <c r="E202" s="64" t="s">
        <v>1720</v>
      </c>
      <c r="F202" s="64" t="s">
        <v>1331</v>
      </c>
      <c r="G202" s="64">
        <v>0.27</v>
      </c>
      <c r="H202" s="64">
        <v>0.22</v>
      </c>
      <c r="I202" s="64" t="s">
        <v>3323</v>
      </c>
      <c r="J202" s="64">
        <v>552.25</v>
      </c>
      <c r="K202" s="64" t="s">
        <v>1403</v>
      </c>
      <c r="L202" s="64" t="s">
        <v>917</v>
      </c>
      <c r="M202" s="65">
        <v>178</v>
      </c>
      <c r="N202" s="66">
        <f>Table16[[#This Row],[Price]]/Table16[[#This Row],[Area (sq. in)]]*144</f>
        <v>46.413761883205069</v>
      </c>
      <c r="U202">
        <v>2023</v>
      </c>
      <c r="V202" t="s">
        <v>3088</v>
      </c>
      <c r="W202" t="s">
        <v>99</v>
      </c>
      <c r="X202" s="64" t="s">
        <v>1721</v>
      </c>
      <c r="Y202" t="s">
        <v>71</v>
      </c>
      <c r="Z202" t="s">
        <v>72</v>
      </c>
    </row>
    <row r="203" spans="1:26" x14ac:dyDescent="0.2">
      <c r="A203" t="s">
        <v>1328</v>
      </c>
      <c r="B203" t="s">
        <v>3431</v>
      </c>
      <c r="D203" s="64" t="s">
        <v>465</v>
      </c>
      <c r="E203" s="64" t="s">
        <v>1799</v>
      </c>
      <c r="F203" s="64" t="s">
        <v>1331</v>
      </c>
      <c r="G203" s="64">
        <v>0.27</v>
      </c>
      <c r="H203" s="64">
        <v>0.22</v>
      </c>
      <c r="I203" s="64" t="s">
        <v>3334</v>
      </c>
      <c r="J203" s="64">
        <v>870.25</v>
      </c>
      <c r="K203" s="64" t="s">
        <v>1403</v>
      </c>
      <c r="L203" s="64" t="s">
        <v>917</v>
      </c>
      <c r="M203" s="65">
        <v>178</v>
      </c>
      <c r="N203" s="66">
        <f>Table16[[#This Row],[Price]]/Table16[[#This Row],[Area (sq. in)]]*144</f>
        <v>29.453605285837401</v>
      </c>
      <c r="U203">
        <v>2023</v>
      </c>
      <c r="V203" t="s">
        <v>3183</v>
      </c>
      <c r="W203" t="s">
        <v>99</v>
      </c>
      <c r="X203" s="64" t="s">
        <v>1800</v>
      </c>
      <c r="Y203" t="s">
        <v>71</v>
      </c>
      <c r="Z203" t="s">
        <v>72</v>
      </c>
    </row>
    <row r="204" spans="1:26" x14ac:dyDescent="0.2">
      <c r="A204" t="s">
        <v>1328</v>
      </c>
      <c r="B204" t="s">
        <v>3431</v>
      </c>
      <c r="D204" s="64" t="s">
        <v>465</v>
      </c>
      <c r="E204" s="64" t="s">
        <v>1504</v>
      </c>
      <c r="F204" s="64" t="s">
        <v>1331</v>
      </c>
      <c r="G204" s="64">
        <v>0.27</v>
      </c>
      <c r="H204" s="64">
        <v>0.22</v>
      </c>
      <c r="I204" s="64" t="s">
        <v>3323</v>
      </c>
      <c r="J204" s="64">
        <v>552.25</v>
      </c>
      <c r="K204" s="64" t="s">
        <v>1403</v>
      </c>
      <c r="L204" s="64" t="s">
        <v>917</v>
      </c>
      <c r="M204" s="65">
        <v>178</v>
      </c>
      <c r="N204" s="66">
        <f>Table16[[#This Row],[Price]]/Table16[[#This Row],[Area (sq. in)]]*144</f>
        <v>46.413761883205069</v>
      </c>
      <c r="U204">
        <v>2023</v>
      </c>
      <c r="V204" t="s">
        <v>3217</v>
      </c>
      <c r="W204" t="s">
        <v>99</v>
      </c>
      <c r="X204" s="64" t="s">
        <v>1505</v>
      </c>
      <c r="Y204" t="s">
        <v>71</v>
      </c>
      <c r="Z204" t="s">
        <v>72</v>
      </c>
    </row>
    <row r="205" spans="1:26" x14ac:dyDescent="0.2">
      <c r="A205" t="s">
        <v>1328</v>
      </c>
      <c r="B205" t="s">
        <v>3431</v>
      </c>
      <c r="D205" s="64" t="s">
        <v>465</v>
      </c>
      <c r="E205" s="64" t="s">
        <v>1775</v>
      </c>
      <c r="F205" s="64" t="s">
        <v>1331</v>
      </c>
      <c r="G205" s="64">
        <v>0.26</v>
      </c>
      <c r="H205" s="64">
        <v>0.22</v>
      </c>
      <c r="I205" s="64" t="s">
        <v>3321</v>
      </c>
      <c r="J205" s="64">
        <v>2256.25</v>
      </c>
      <c r="K205" s="64" t="s">
        <v>1403</v>
      </c>
      <c r="L205" s="64" t="s">
        <v>917</v>
      </c>
      <c r="M205" s="65">
        <v>1148</v>
      </c>
      <c r="N205" s="66">
        <f>Table16[[#This Row],[Price]]/Table16[[#This Row],[Area (sq. in)]]*144</f>
        <v>73.268476454293634</v>
      </c>
      <c r="U205">
        <v>2023</v>
      </c>
      <c r="V205" t="s">
        <v>3193</v>
      </c>
      <c r="W205" t="s">
        <v>99</v>
      </c>
      <c r="X205" s="64" t="s">
        <v>1776</v>
      </c>
      <c r="Y205" t="s">
        <v>71</v>
      </c>
      <c r="Z205" t="s">
        <v>72</v>
      </c>
    </row>
    <row r="206" spans="1:26" x14ac:dyDescent="0.2">
      <c r="A206" t="s">
        <v>1328</v>
      </c>
      <c r="B206" t="s">
        <v>3431</v>
      </c>
      <c r="D206" s="64" t="s">
        <v>465</v>
      </c>
      <c r="E206" s="64" t="s">
        <v>1730</v>
      </c>
      <c r="F206" s="64" t="s">
        <v>1331</v>
      </c>
      <c r="G206" s="64">
        <v>0.26</v>
      </c>
      <c r="H206" s="64">
        <v>0.22</v>
      </c>
      <c r="I206" s="64" t="s">
        <v>3315</v>
      </c>
      <c r="J206" s="64">
        <v>1260.25</v>
      </c>
      <c r="K206" s="64" t="s">
        <v>1403</v>
      </c>
      <c r="L206" s="64" t="s">
        <v>917</v>
      </c>
      <c r="M206" s="65">
        <v>948</v>
      </c>
      <c r="N206" s="66">
        <f>Table16[[#This Row],[Price]]/Table16[[#This Row],[Area (sq. in)]]*144</f>
        <v>108.32136480856973</v>
      </c>
      <c r="U206">
        <v>2023</v>
      </c>
      <c r="V206" t="s">
        <v>3241</v>
      </c>
      <c r="W206" t="s">
        <v>99</v>
      </c>
      <c r="X206" s="64" t="s">
        <v>1731</v>
      </c>
      <c r="Y206" t="s">
        <v>71</v>
      </c>
      <c r="Z206" t="s">
        <v>72</v>
      </c>
    </row>
    <row r="207" spans="1:26" x14ac:dyDescent="0.2">
      <c r="A207" t="s">
        <v>1328</v>
      </c>
      <c r="B207" t="s">
        <v>3431</v>
      </c>
      <c r="D207" s="64" t="s">
        <v>465</v>
      </c>
      <c r="E207" s="64" t="s">
        <v>1682</v>
      </c>
      <c r="F207" s="64" t="s">
        <v>1331</v>
      </c>
      <c r="G207" s="64">
        <v>0.26</v>
      </c>
      <c r="H207" s="64">
        <v>0.22</v>
      </c>
      <c r="I207" s="64" t="s">
        <v>3326</v>
      </c>
      <c r="J207" s="64">
        <v>1686.25</v>
      </c>
      <c r="K207" s="64" t="s">
        <v>1403</v>
      </c>
      <c r="L207" s="64" t="s">
        <v>917</v>
      </c>
      <c r="M207" s="65">
        <v>928</v>
      </c>
      <c r="N207" s="66">
        <f>Table16[[#This Row],[Price]]/Table16[[#This Row],[Area (sq. in)]]*144</f>
        <v>79.248035581912518</v>
      </c>
      <c r="U207">
        <v>2023</v>
      </c>
      <c r="V207" t="s">
        <v>3283</v>
      </c>
      <c r="W207" t="s">
        <v>99</v>
      </c>
      <c r="X207" s="64" t="s">
        <v>1683</v>
      </c>
      <c r="Y207" t="s">
        <v>71</v>
      </c>
      <c r="Z207" t="s">
        <v>72</v>
      </c>
    </row>
    <row r="208" spans="1:26" x14ac:dyDescent="0.2">
      <c r="A208" t="s">
        <v>1328</v>
      </c>
      <c r="B208" t="s">
        <v>3431</v>
      </c>
      <c r="D208" s="64" t="s">
        <v>465</v>
      </c>
      <c r="E208" s="64" t="s">
        <v>1593</v>
      </c>
      <c r="F208" s="64" t="s">
        <v>1331</v>
      </c>
      <c r="G208" s="64">
        <v>0.26</v>
      </c>
      <c r="H208" s="64">
        <v>0.22</v>
      </c>
      <c r="I208" s="64" t="s">
        <v>3321</v>
      </c>
      <c r="J208" s="64">
        <v>2256.25</v>
      </c>
      <c r="K208" s="64" t="s">
        <v>1403</v>
      </c>
      <c r="L208" s="64" t="s">
        <v>917</v>
      </c>
      <c r="M208" s="65">
        <v>908</v>
      </c>
      <c r="N208" s="66">
        <f>Table16[[#This Row],[Price]]/Table16[[#This Row],[Area (sq. in)]]*144</f>
        <v>57.95102493074792</v>
      </c>
      <c r="U208">
        <v>2023</v>
      </c>
      <c r="V208" t="s">
        <v>3226</v>
      </c>
      <c r="W208" t="s">
        <v>99</v>
      </c>
      <c r="X208" s="64" t="s">
        <v>1594</v>
      </c>
      <c r="Y208" t="s">
        <v>71</v>
      </c>
      <c r="Z208" t="s">
        <v>72</v>
      </c>
    </row>
    <row r="209" spans="1:26" x14ac:dyDescent="0.2">
      <c r="A209" t="s">
        <v>1328</v>
      </c>
      <c r="B209" t="s">
        <v>3431</v>
      </c>
      <c r="D209" s="64" t="s">
        <v>465</v>
      </c>
      <c r="E209" s="64" t="s">
        <v>1821</v>
      </c>
      <c r="F209" s="64" t="s">
        <v>1331</v>
      </c>
      <c r="G209" s="64">
        <v>0.26</v>
      </c>
      <c r="H209" s="64">
        <v>0.22</v>
      </c>
      <c r="I209" s="64" t="s">
        <v>3335</v>
      </c>
      <c r="J209" s="64">
        <v>1686.25</v>
      </c>
      <c r="K209" s="64" t="s">
        <v>1403</v>
      </c>
      <c r="L209" s="64" t="s">
        <v>917</v>
      </c>
      <c r="M209" s="65">
        <v>835.2</v>
      </c>
      <c r="N209" s="66">
        <f>Table16[[#This Row],[Price]]/Table16[[#This Row],[Area (sq. in)]]*144</f>
        <v>71.323232023721275</v>
      </c>
      <c r="U209">
        <v>2023</v>
      </c>
      <c r="V209" t="s">
        <v>3268</v>
      </c>
      <c r="W209" t="s">
        <v>99</v>
      </c>
      <c r="X209" s="64" t="s">
        <v>1822</v>
      </c>
      <c r="Y209" t="s">
        <v>71</v>
      </c>
      <c r="Z209" t="s">
        <v>72</v>
      </c>
    </row>
    <row r="210" spans="1:26" x14ac:dyDescent="0.2">
      <c r="A210" t="s">
        <v>1328</v>
      </c>
      <c r="B210" t="s">
        <v>3431</v>
      </c>
      <c r="D210" s="64" t="s">
        <v>465</v>
      </c>
      <c r="E210" s="64" t="s">
        <v>1781</v>
      </c>
      <c r="F210" s="64" t="s">
        <v>1331</v>
      </c>
      <c r="G210" s="64">
        <v>0.26</v>
      </c>
      <c r="H210" s="64">
        <v>0.22</v>
      </c>
      <c r="I210" s="64" t="s">
        <v>3315</v>
      </c>
      <c r="J210" s="64">
        <v>1260.25</v>
      </c>
      <c r="K210" s="64" t="s">
        <v>1403</v>
      </c>
      <c r="L210" s="64" t="s">
        <v>917</v>
      </c>
      <c r="M210" s="65">
        <v>768</v>
      </c>
      <c r="N210" s="66">
        <f>Table16[[#This Row],[Price]]/Table16[[#This Row],[Area (sq. in)]]*144</f>
        <v>87.754017060107131</v>
      </c>
      <c r="U210">
        <v>2023</v>
      </c>
      <c r="V210" t="s">
        <v>3271</v>
      </c>
      <c r="W210" t="s">
        <v>99</v>
      </c>
      <c r="X210" s="64" t="s">
        <v>1782</v>
      </c>
      <c r="Y210" t="s">
        <v>71</v>
      </c>
      <c r="Z210" t="s">
        <v>72</v>
      </c>
    </row>
    <row r="211" spans="1:26" x14ac:dyDescent="0.2">
      <c r="A211" t="s">
        <v>1328</v>
      </c>
      <c r="B211" t="s">
        <v>3431</v>
      </c>
      <c r="D211" s="64" t="s">
        <v>465</v>
      </c>
      <c r="E211" s="64" t="s">
        <v>1706</v>
      </c>
      <c r="F211" s="64" t="s">
        <v>1331</v>
      </c>
      <c r="G211" s="64">
        <v>0.26</v>
      </c>
      <c r="H211" s="64">
        <v>0.22</v>
      </c>
      <c r="I211" s="64" t="s">
        <v>3323</v>
      </c>
      <c r="J211" s="64">
        <v>552.25</v>
      </c>
      <c r="K211" s="64" t="s">
        <v>1403</v>
      </c>
      <c r="L211" s="64" t="s">
        <v>917</v>
      </c>
      <c r="M211" s="65">
        <v>628</v>
      </c>
      <c r="N211" s="66">
        <f>Table16[[#This Row],[Price]]/Table16[[#This Row],[Area (sq. in)]]*144</f>
        <v>163.75192394748754</v>
      </c>
      <c r="U211">
        <v>2023</v>
      </c>
      <c r="V211" t="s">
        <v>3291</v>
      </c>
      <c r="W211" t="s">
        <v>99</v>
      </c>
      <c r="X211" s="64" t="s">
        <v>1707</v>
      </c>
      <c r="Y211" t="s">
        <v>71</v>
      </c>
      <c r="Z211" t="s">
        <v>72</v>
      </c>
    </row>
    <row r="212" spans="1:26" x14ac:dyDescent="0.2">
      <c r="A212" t="s">
        <v>1328</v>
      </c>
      <c r="B212" t="s">
        <v>3431</v>
      </c>
      <c r="D212" s="64" t="s">
        <v>1338</v>
      </c>
      <c r="E212" s="64" t="s">
        <v>1825</v>
      </c>
      <c r="F212" s="64" t="s">
        <v>1331</v>
      </c>
      <c r="G212" s="64">
        <v>0.26</v>
      </c>
      <c r="H212" s="64">
        <v>0.22</v>
      </c>
      <c r="I212" s="64" t="s">
        <v>3357</v>
      </c>
      <c r="J212" s="64">
        <v>834.25</v>
      </c>
      <c r="K212" s="64" t="s">
        <v>1403</v>
      </c>
      <c r="L212" s="64" t="s">
        <v>917</v>
      </c>
      <c r="M212" s="65">
        <v>568</v>
      </c>
      <c r="N212" s="66">
        <f>Table16[[#This Row],[Price]]/Table16[[#This Row],[Area (sq. in)]]*144</f>
        <v>98.042553191489361</v>
      </c>
      <c r="U212">
        <v>2023</v>
      </c>
      <c r="V212" t="s">
        <v>3297</v>
      </c>
      <c r="W212" t="s">
        <v>99</v>
      </c>
      <c r="X212" s="64" t="s">
        <v>1826</v>
      </c>
      <c r="Y212" t="s">
        <v>71</v>
      </c>
      <c r="Z212" t="s">
        <v>72</v>
      </c>
    </row>
    <row r="213" spans="1:26" x14ac:dyDescent="0.2">
      <c r="A213" t="s">
        <v>1328</v>
      </c>
      <c r="B213" t="s">
        <v>3431</v>
      </c>
      <c r="D213" s="64" t="s">
        <v>465</v>
      </c>
      <c r="E213" s="64" t="s">
        <v>1773</v>
      </c>
      <c r="F213" s="64" t="s">
        <v>1331</v>
      </c>
      <c r="G213" s="64">
        <v>0.26</v>
      </c>
      <c r="H213" s="64">
        <v>0.22</v>
      </c>
      <c r="I213" s="64" t="s">
        <v>3334</v>
      </c>
      <c r="J213" s="64">
        <v>870.25</v>
      </c>
      <c r="K213" s="64" t="s">
        <v>1403</v>
      </c>
      <c r="L213" s="64" t="s">
        <v>917</v>
      </c>
      <c r="M213" s="65">
        <v>518</v>
      </c>
      <c r="N213" s="66">
        <f>Table16[[#This Row],[Price]]/Table16[[#This Row],[Area (sq. in)]]*144</f>
        <v>85.713300775639183</v>
      </c>
      <c r="U213">
        <v>2023</v>
      </c>
      <c r="V213" t="s">
        <v>3232</v>
      </c>
      <c r="W213" t="s">
        <v>99</v>
      </c>
      <c r="X213" s="64" t="s">
        <v>1774</v>
      </c>
      <c r="Y213" t="s">
        <v>71</v>
      </c>
      <c r="Z213" t="s">
        <v>72</v>
      </c>
    </row>
    <row r="214" spans="1:26" x14ac:dyDescent="0.2">
      <c r="A214" t="s">
        <v>1328</v>
      </c>
      <c r="B214" t="s">
        <v>3431</v>
      </c>
      <c r="D214" s="64" t="s">
        <v>1338</v>
      </c>
      <c r="E214" s="64" t="s">
        <v>1817</v>
      </c>
      <c r="F214" s="64" t="s">
        <v>1331</v>
      </c>
      <c r="G214" s="64">
        <v>0.26</v>
      </c>
      <c r="H214" s="64">
        <v>0.22</v>
      </c>
      <c r="I214" s="64" t="s">
        <v>3323</v>
      </c>
      <c r="J214" s="64">
        <v>552.25</v>
      </c>
      <c r="K214" s="64" t="s">
        <v>1403</v>
      </c>
      <c r="L214" s="64" t="s">
        <v>917</v>
      </c>
      <c r="M214" s="65">
        <v>508</v>
      </c>
      <c r="N214" s="66">
        <f>Table16[[#This Row],[Price]]/Table16[[#This Row],[Area (sq. in)]]*144</f>
        <v>132.46174739701223</v>
      </c>
      <c r="U214">
        <v>2023</v>
      </c>
      <c r="V214" t="s">
        <v>3191</v>
      </c>
      <c r="W214" t="s">
        <v>99</v>
      </c>
      <c r="X214" s="64" t="s">
        <v>1818</v>
      </c>
      <c r="Y214" t="s">
        <v>71</v>
      </c>
      <c r="Z214" t="s">
        <v>72</v>
      </c>
    </row>
    <row r="215" spans="1:26" x14ac:dyDescent="0.2">
      <c r="A215" t="s">
        <v>1328</v>
      </c>
      <c r="B215" t="s">
        <v>3431</v>
      </c>
      <c r="D215" s="64" t="s">
        <v>465</v>
      </c>
      <c r="E215" s="64" t="s">
        <v>1694</v>
      </c>
      <c r="F215" s="64" t="s">
        <v>1331</v>
      </c>
      <c r="G215" s="64">
        <v>0.26</v>
      </c>
      <c r="H215" s="64">
        <v>0.22</v>
      </c>
      <c r="I215" s="64" t="s">
        <v>3357</v>
      </c>
      <c r="J215" s="64">
        <v>834.25</v>
      </c>
      <c r="K215" s="64" t="s">
        <v>1403</v>
      </c>
      <c r="L215" s="64" t="s">
        <v>917</v>
      </c>
      <c r="M215" s="65">
        <v>428</v>
      </c>
      <c r="N215" s="66">
        <f>Table16[[#This Row],[Price]]/Table16[[#This Row],[Area (sq. in)]]*144</f>
        <v>73.877135151333533</v>
      </c>
      <c r="U215">
        <v>2023</v>
      </c>
      <c r="V215" t="s">
        <v>3225</v>
      </c>
      <c r="W215" t="s">
        <v>99</v>
      </c>
      <c r="X215" s="64" t="s">
        <v>1695</v>
      </c>
      <c r="Y215" t="s">
        <v>71</v>
      </c>
      <c r="Z215" t="s">
        <v>72</v>
      </c>
    </row>
    <row r="216" spans="1:26" hidden="1" x14ac:dyDescent="0.2">
      <c r="A216" t="s">
        <v>1328</v>
      </c>
      <c r="B216" t="s">
        <v>3433</v>
      </c>
      <c r="D216" s="64" t="s">
        <v>1702</v>
      </c>
      <c r="E216" s="64" t="s">
        <v>1703</v>
      </c>
      <c r="F216" s="64" t="s">
        <v>1331</v>
      </c>
      <c r="G216" s="64">
        <v>0.55000000000000004</v>
      </c>
      <c r="H216" s="64">
        <v>0.68</v>
      </c>
      <c r="I216" s="64" t="s">
        <v>3382</v>
      </c>
      <c r="J216" s="64">
        <v>961</v>
      </c>
      <c r="K216" s="64" t="s">
        <v>1704</v>
      </c>
      <c r="L216" s="64"/>
      <c r="M216" s="65">
        <v>302.49</v>
      </c>
      <c r="N216" s="66">
        <f>Table16[[#This Row],[Price]]/Table16[[#This Row],[Area (sq. in)]]*144</f>
        <v>45.326285119667013</v>
      </c>
      <c r="U216">
        <v>2023</v>
      </c>
      <c r="V216" t="s">
        <v>3238</v>
      </c>
      <c r="W216" t="s">
        <v>99</v>
      </c>
      <c r="X216" s="4" t="s">
        <v>1705</v>
      </c>
      <c r="Y216" t="s">
        <v>72</v>
      </c>
      <c r="Z216" t="s">
        <v>72</v>
      </c>
    </row>
    <row r="217" spans="1:26" x14ac:dyDescent="0.2">
      <c r="A217" t="s">
        <v>1328</v>
      </c>
      <c r="B217" t="s">
        <v>3431</v>
      </c>
      <c r="D217" s="64" t="s">
        <v>1338</v>
      </c>
      <c r="E217" s="64" t="s">
        <v>1764</v>
      </c>
      <c r="F217" s="64" t="s">
        <v>1331</v>
      </c>
      <c r="G217" s="64">
        <v>0.26</v>
      </c>
      <c r="H217" s="64">
        <v>0.24</v>
      </c>
      <c r="I217" s="64" t="s">
        <v>3323</v>
      </c>
      <c r="J217" s="64">
        <v>552.25</v>
      </c>
      <c r="K217" s="64" t="s">
        <v>1403</v>
      </c>
      <c r="L217" s="64" t="s">
        <v>917</v>
      </c>
      <c r="M217" s="65">
        <v>408</v>
      </c>
      <c r="N217" s="66">
        <f>Table16[[#This Row],[Price]]/Table16[[#This Row],[Area (sq. in)]]*144</f>
        <v>106.38660027161612</v>
      </c>
      <c r="U217">
        <v>2023</v>
      </c>
      <c r="V217" t="s">
        <v>3296</v>
      </c>
      <c r="W217" t="s">
        <v>99</v>
      </c>
      <c r="X217" s="64" t="s">
        <v>1765</v>
      </c>
      <c r="Y217" t="s">
        <v>72</v>
      </c>
      <c r="Z217" t="s">
        <v>71</v>
      </c>
    </row>
    <row r="218" spans="1:26" x14ac:dyDescent="0.2">
      <c r="A218" t="s">
        <v>1328</v>
      </c>
      <c r="B218" t="s">
        <v>3431</v>
      </c>
      <c r="D218" s="64" t="s">
        <v>1338</v>
      </c>
      <c r="E218" s="64" t="s">
        <v>1793</v>
      </c>
      <c r="F218" s="64" t="s">
        <v>1331</v>
      </c>
      <c r="G218" s="64">
        <v>0.26</v>
      </c>
      <c r="H218" s="64">
        <v>0.22</v>
      </c>
      <c r="I218" s="64" t="s">
        <v>3321</v>
      </c>
      <c r="J218" s="64">
        <v>2256.25</v>
      </c>
      <c r="K218" s="64" t="s">
        <v>1403</v>
      </c>
      <c r="L218" s="64" t="s">
        <v>917</v>
      </c>
      <c r="M218" s="65">
        <v>398</v>
      </c>
      <c r="N218" s="66">
        <f>Table16[[#This Row],[Price]]/Table16[[#This Row],[Area (sq. in)]]*144</f>
        <v>25.401440443213296</v>
      </c>
      <c r="U218">
        <v>2023</v>
      </c>
      <c r="V218" t="s">
        <v>3172</v>
      </c>
      <c r="W218" t="s">
        <v>99</v>
      </c>
      <c r="X218" s="64" t="s">
        <v>1794</v>
      </c>
      <c r="Y218" t="s">
        <v>71</v>
      </c>
      <c r="Z218" t="s">
        <v>72</v>
      </c>
    </row>
    <row r="219" spans="1:26" x14ac:dyDescent="0.2">
      <c r="A219" t="s">
        <v>1328</v>
      </c>
      <c r="B219" t="s">
        <v>3431</v>
      </c>
      <c r="D219" s="64" t="s">
        <v>1338</v>
      </c>
      <c r="E219" s="64" t="s">
        <v>1805</v>
      </c>
      <c r="F219" s="64" t="s">
        <v>1331</v>
      </c>
      <c r="G219" s="64">
        <v>0.26</v>
      </c>
      <c r="H219" s="64">
        <v>0.24</v>
      </c>
      <c r="I219" s="64" t="s">
        <v>3323</v>
      </c>
      <c r="J219" s="64">
        <v>552.25</v>
      </c>
      <c r="K219" s="64" t="s">
        <v>1403</v>
      </c>
      <c r="L219" s="64" t="s">
        <v>917</v>
      </c>
      <c r="M219" s="65">
        <v>368</v>
      </c>
      <c r="N219" s="66">
        <f>Table16[[#This Row],[Price]]/Table16[[#This Row],[Area (sq. in)]]*144</f>
        <v>95.956541421457672</v>
      </c>
      <c r="U219">
        <v>2023</v>
      </c>
      <c r="V219" t="s">
        <v>3223</v>
      </c>
      <c r="W219" t="s">
        <v>99</v>
      </c>
      <c r="X219" s="64" t="s">
        <v>1806</v>
      </c>
      <c r="Y219" t="s">
        <v>71</v>
      </c>
      <c r="Z219" t="s">
        <v>72</v>
      </c>
    </row>
    <row r="220" spans="1:26" hidden="1" x14ac:dyDescent="0.2">
      <c r="A220" t="s">
        <v>1328</v>
      </c>
      <c r="B220" t="s">
        <v>3433</v>
      </c>
      <c r="D220" s="64" t="s">
        <v>1702</v>
      </c>
      <c r="E220" s="64" t="s">
        <v>1710</v>
      </c>
      <c r="F220" s="64" t="s">
        <v>1331</v>
      </c>
      <c r="G220" s="64">
        <v>0.55000000000000004</v>
      </c>
      <c r="H220" s="64">
        <v>0.68</v>
      </c>
      <c r="I220" s="64" t="s">
        <v>3387</v>
      </c>
      <c r="J220" s="64">
        <v>720.75</v>
      </c>
      <c r="K220" s="64" t="s">
        <v>1453</v>
      </c>
      <c r="L220" s="64"/>
      <c r="M220" s="65">
        <v>283.52999999999997</v>
      </c>
      <c r="N220" s="66">
        <f>Table16[[#This Row],[Price]]/Table16[[#This Row],[Area (sq. in)]]*144</f>
        <v>56.646992715920909</v>
      </c>
      <c r="U220">
        <v>2023</v>
      </c>
      <c r="V220" t="s">
        <v>3286</v>
      </c>
      <c r="W220" t="s">
        <v>99</v>
      </c>
      <c r="X220" s="4" t="s">
        <v>1711</v>
      </c>
      <c r="Y220" t="s">
        <v>72</v>
      </c>
      <c r="Z220" t="s">
        <v>72</v>
      </c>
    </row>
    <row r="221" spans="1:26" x14ac:dyDescent="0.2">
      <c r="A221" t="s">
        <v>1328</v>
      </c>
      <c r="B221" t="s">
        <v>3431</v>
      </c>
      <c r="D221" s="64" t="s">
        <v>1338</v>
      </c>
      <c r="E221" s="64" t="s">
        <v>1398</v>
      </c>
      <c r="F221" s="64" t="s">
        <v>1347</v>
      </c>
      <c r="G221" s="64">
        <v>0.26</v>
      </c>
      <c r="H221" s="64">
        <v>0.24</v>
      </c>
      <c r="I221" s="64" t="s">
        <v>3323</v>
      </c>
      <c r="J221" s="64">
        <v>552.25</v>
      </c>
      <c r="K221" s="64" t="s">
        <v>1403</v>
      </c>
      <c r="L221" s="64" t="s">
        <v>917</v>
      </c>
      <c r="M221" s="65">
        <v>358</v>
      </c>
      <c r="N221" s="66">
        <f>Table16[[#This Row],[Price]]/Table16[[#This Row],[Area (sq. in)]]*144</f>
        <v>93.349026708918061</v>
      </c>
      <c r="U221">
        <v>2023</v>
      </c>
      <c r="V221" t="s">
        <v>3117</v>
      </c>
      <c r="W221" t="s">
        <v>99</v>
      </c>
      <c r="X221" s="64" t="s">
        <v>1399</v>
      </c>
      <c r="Y221" t="s">
        <v>71</v>
      </c>
      <c r="Z221" t="s">
        <v>72</v>
      </c>
    </row>
    <row r="222" spans="1:26" x14ac:dyDescent="0.2">
      <c r="A222" t="s">
        <v>1328</v>
      </c>
      <c r="B222" t="s">
        <v>3431</v>
      </c>
      <c r="D222" s="64" t="s">
        <v>465</v>
      </c>
      <c r="E222" s="64" t="s">
        <v>1740</v>
      </c>
      <c r="F222" s="64" t="s">
        <v>1331</v>
      </c>
      <c r="G222" s="64">
        <v>0.26</v>
      </c>
      <c r="H222" s="64">
        <v>0.22</v>
      </c>
      <c r="I222" s="64" t="s">
        <v>3315</v>
      </c>
      <c r="J222" s="64">
        <v>1260.25</v>
      </c>
      <c r="K222" s="64" t="s">
        <v>1403</v>
      </c>
      <c r="L222" s="64" t="s">
        <v>917</v>
      </c>
      <c r="M222" s="65">
        <v>348</v>
      </c>
      <c r="N222" s="66">
        <f>Table16[[#This Row],[Price]]/Table16[[#This Row],[Area (sq. in)]]*144</f>
        <v>39.763538980361041</v>
      </c>
      <c r="U222">
        <v>2023</v>
      </c>
      <c r="V222" t="s">
        <v>3127</v>
      </c>
      <c r="W222" t="s">
        <v>99</v>
      </c>
      <c r="X222" s="64" t="s">
        <v>1741</v>
      </c>
      <c r="Y222" t="s">
        <v>71</v>
      </c>
      <c r="Z222" t="s">
        <v>72</v>
      </c>
    </row>
    <row r="223" spans="1:26" x14ac:dyDescent="0.2">
      <c r="A223" t="s">
        <v>1328</v>
      </c>
      <c r="B223" t="s">
        <v>3431</v>
      </c>
      <c r="D223" s="64" t="s">
        <v>465</v>
      </c>
      <c r="E223" s="64" t="s">
        <v>1801</v>
      </c>
      <c r="F223" s="64" t="s">
        <v>1331</v>
      </c>
      <c r="G223" s="64">
        <v>0.26</v>
      </c>
      <c r="H223" s="64">
        <v>0.22</v>
      </c>
      <c r="I223" s="64" t="s">
        <v>3323</v>
      </c>
      <c r="J223" s="64">
        <v>552.25</v>
      </c>
      <c r="K223" s="64" t="s">
        <v>1403</v>
      </c>
      <c r="L223" s="64" t="s">
        <v>917</v>
      </c>
      <c r="M223" s="65">
        <v>344.66</v>
      </c>
      <c r="N223" s="66">
        <f>Table16[[#This Row],[Price]]/Table16[[#This Row],[Area (sq. in)]]*144</f>
        <v>89.870602082390235</v>
      </c>
      <c r="U223">
        <v>2023</v>
      </c>
      <c r="V223" t="s">
        <v>3251</v>
      </c>
      <c r="W223" t="s">
        <v>99</v>
      </c>
      <c r="X223" s="64" t="s">
        <v>1802</v>
      </c>
      <c r="Y223" t="s">
        <v>71</v>
      </c>
      <c r="Z223" t="s">
        <v>72</v>
      </c>
    </row>
    <row r="224" spans="1:26" x14ac:dyDescent="0.2">
      <c r="A224" t="s">
        <v>1328</v>
      </c>
      <c r="B224" t="s">
        <v>3431</v>
      </c>
      <c r="D224" s="64" t="s">
        <v>1338</v>
      </c>
      <c r="E224" s="64" t="s">
        <v>1361</v>
      </c>
      <c r="F224" s="64" t="s">
        <v>1347</v>
      </c>
      <c r="G224" s="64">
        <v>0.26</v>
      </c>
      <c r="H224" s="64">
        <v>0.22</v>
      </c>
      <c r="I224" s="64" t="s">
        <v>3323</v>
      </c>
      <c r="J224" s="64">
        <v>552.25</v>
      </c>
      <c r="K224" s="64" t="s">
        <v>1403</v>
      </c>
      <c r="L224" s="64" t="s">
        <v>917</v>
      </c>
      <c r="M224" s="65">
        <v>318</v>
      </c>
      <c r="N224" s="66">
        <f>Table16[[#This Row],[Price]]/Table16[[#This Row],[Area (sq. in)]]*144</f>
        <v>82.918967858759615</v>
      </c>
      <c r="U224">
        <v>2023</v>
      </c>
      <c r="V224" t="s">
        <v>3208</v>
      </c>
      <c r="W224" t="s">
        <v>99</v>
      </c>
      <c r="X224" s="64" t="s">
        <v>1362</v>
      </c>
      <c r="Y224" t="s">
        <v>71</v>
      </c>
      <c r="Z224" t="s">
        <v>72</v>
      </c>
    </row>
    <row r="225" spans="1:26" x14ac:dyDescent="0.2">
      <c r="A225" t="s">
        <v>1328</v>
      </c>
      <c r="B225" t="s">
        <v>3431</v>
      </c>
      <c r="D225" s="64" t="s">
        <v>465</v>
      </c>
      <c r="E225" s="64" t="s">
        <v>1586</v>
      </c>
      <c r="F225" s="64" t="s">
        <v>1331</v>
      </c>
      <c r="G225" s="64">
        <v>0.26</v>
      </c>
      <c r="H225" s="64">
        <v>0.22</v>
      </c>
      <c r="I225" s="64" t="s">
        <v>3323</v>
      </c>
      <c r="J225" s="64">
        <v>552.25</v>
      </c>
      <c r="K225" s="64" t="s">
        <v>1403</v>
      </c>
      <c r="L225" s="64" t="s">
        <v>917</v>
      </c>
      <c r="M225" s="65">
        <v>318</v>
      </c>
      <c r="N225" s="66">
        <f>Table16[[#This Row],[Price]]/Table16[[#This Row],[Area (sq. in)]]*144</f>
        <v>82.918967858759615</v>
      </c>
      <c r="U225">
        <v>2023</v>
      </c>
      <c r="V225" t="s">
        <v>3300</v>
      </c>
      <c r="W225" t="s">
        <v>99</v>
      </c>
      <c r="X225" s="64" t="s">
        <v>1587</v>
      </c>
      <c r="Y225" t="s">
        <v>71</v>
      </c>
      <c r="Z225" t="s">
        <v>72</v>
      </c>
    </row>
    <row r="226" spans="1:26" x14ac:dyDescent="0.2">
      <c r="A226" t="s">
        <v>1328</v>
      </c>
      <c r="B226" t="s">
        <v>3431</v>
      </c>
      <c r="D226" s="64" t="s">
        <v>465</v>
      </c>
      <c r="E226" s="64" t="s">
        <v>1791</v>
      </c>
      <c r="F226" s="64" t="s">
        <v>1331</v>
      </c>
      <c r="G226" s="64">
        <v>0.26</v>
      </c>
      <c r="H226" s="64">
        <v>0.22</v>
      </c>
      <c r="I226" s="64" t="s">
        <v>3323</v>
      </c>
      <c r="J226" s="64">
        <v>552.25</v>
      </c>
      <c r="K226" s="64" t="s">
        <v>1403</v>
      </c>
      <c r="L226" s="64" t="s">
        <v>917</v>
      </c>
      <c r="M226" s="65">
        <v>288</v>
      </c>
      <c r="N226" s="66">
        <f>Table16[[#This Row],[Price]]/Table16[[#This Row],[Area (sq. in)]]*144</f>
        <v>75.096423721140795</v>
      </c>
      <c r="U226">
        <v>2023</v>
      </c>
      <c r="V226" t="s">
        <v>3100</v>
      </c>
      <c r="W226" t="s">
        <v>99</v>
      </c>
      <c r="X226" s="64" t="s">
        <v>1792</v>
      </c>
      <c r="Y226" t="s">
        <v>71</v>
      </c>
      <c r="Z226" t="s">
        <v>72</v>
      </c>
    </row>
    <row r="227" spans="1:26" x14ac:dyDescent="0.2">
      <c r="A227" t="s">
        <v>1328</v>
      </c>
      <c r="B227" t="s">
        <v>3431</v>
      </c>
      <c r="D227" s="64"/>
      <c r="E227" s="64" t="s">
        <v>1829</v>
      </c>
      <c r="F227" s="64" t="s">
        <v>1331</v>
      </c>
      <c r="G227" s="64">
        <v>0.26</v>
      </c>
      <c r="H227" s="64">
        <v>0.22</v>
      </c>
      <c r="I227" s="64" t="s">
        <v>3323</v>
      </c>
      <c r="J227" s="64">
        <v>552.25</v>
      </c>
      <c r="K227" s="64" t="s">
        <v>1403</v>
      </c>
      <c r="L227" s="64" t="s">
        <v>917</v>
      </c>
      <c r="M227" s="65">
        <v>278</v>
      </c>
      <c r="N227" s="66">
        <f>Table16[[#This Row],[Price]]/Table16[[#This Row],[Area (sq. in)]]*144</f>
        <v>72.488909008601169</v>
      </c>
      <c r="O227">
        <v>2.8</v>
      </c>
      <c r="P227" s="39">
        <v>610</v>
      </c>
      <c r="Q227" s="66">
        <v>1134</v>
      </c>
      <c r="R227">
        <v>1.2</v>
      </c>
      <c r="S227" s="39">
        <v>272</v>
      </c>
      <c r="U227">
        <v>2023</v>
      </c>
      <c r="V227" t="s">
        <v>3258</v>
      </c>
      <c r="W227" t="s">
        <v>338</v>
      </c>
      <c r="X227" s="64"/>
      <c r="Y227" t="s">
        <v>72</v>
      </c>
      <c r="Z227" t="s">
        <v>72</v>
      </c>
    </row>
    <row r="228" spans="1:26" hidden="1" x14ac:dyDescent="0.2">
      <c r="A228" t="s">
        <v>1328</v>
      </c>
      <c r="B228" t="s">
        <v>3433</v>
      </c>
      <c r="D228" s="64" t="s">
        <v>1702</v>
      </c>
      <c r="E228" s="64" t="s">
        <v>1718</v>
      </c>
      <c r="F228" s="64" t="s">
        <v>1331</v>
      </c>
      <c r="G228" s="64">
        <v>0.55000000000000004</v>
      </c>
      <c r="H228" s="64">
        <v>0.68</v>
      </c>
      <c r="I228" s="64" t="s">
        <v>3383</v>
      </c>
      <c r="J228" s="64">
        <v>1201.25</v>
      </c>
      <c r="K228" s="64" t="s">
        <v>1453</v>
      </c>
      <c r="L228" s="64"/>
      <c r="M228" s="65">
        <v>232.54</v>
      </c>
      <c r="N228" s="66">
        <f>Table16[[#This Row],[Price]]/Table16[[#This Row],[Area (sq. in)]]*144</f>
        <v>27.875762747138396</v>
      </c>
      <c r="U228">
        <v>2023</v>
      </c>
      <c r="V228" t="s">
        <v>3215</v>
      </c>
      <c r="W228" t="s">
        <v>99</v>
      </c>
      <c r="X228" s="4" t="s">
        <v>1719</v>
      </c>
      <c r="Y228" t="s">
        <v>72</v>
      </c>
      <c r="Z228" t="s">
        <v>72</v>
      </c>
    </row>
    <row r="229" spans="1:26" x14ac:dyDescent="0.2">
      <c r="A229" t="s">
        <v>1328</v>
      </c>
      <c r="B229" t="s">
        <v>3431</v>
      </c>
      <c r="D229" s="64"/>
      <c r="E229" s="64" t="s">
        <v>1829</v>
      </c>
      <c r="F229" s="64" t="s">
        <v>1331</v>
      </c>
      <c r="G229" s="64">
        <v>0.26</v>
      </c>
      <c r="H229" s="64">
        <v>0.24</v>
      </c>
      <c r="I229" s="64" t="s">
        <v>3323</v>
      </c>
      <c r="J229" s="64">
        <v>552.25</v>
      </c>
      <c r="K229" s="64" t="s">
        <v>1403</v>
      </c>
      <c r="L229" s="64" t="s">
        <v>917</v>
      </c>
      <c r="M229" s="65">
        <v>262.79000000000002</v>
      </c>
      <c r="N229" s="66">
        <f>Table16[[#This Row],[Price]]/Table16[[#This Row],[Area (sq. in)]]*144</f>
        <v>68.522879130828443</v>
      </c>
      <c r="O229">
        <v>2.8</v>
      </c>
      <c r="P229" s="39">
        <v>500</v>
      </c>
      <c r="Q229" s="66">
        <v>1003</v>
      </c>
      <c r="R229">
        <v>1.2</v>
      </c>
      <c r="S229" s="39">
        <v>225</v>
      </c>
      <c r="U229">
        <v>2023</v>
      </c>
      <c r="V229" t="s">
        <v>3120</v>
      </c>
      <c r="W229" t="s">
        <v>338</v>
      </c>
      <c r="X229" s="64"/>
      <c r="Y229" t="s">
        <v>72</v>
      </c>
      <c r="Z229" t="s">
        <v>72</v>
      </c>
    </row>
    <row r="230" spans="1:26" hidden="1" x14ac:dyDescent="0.2">
      <c r="A230" t="s">
        <v>1328</v>
      </c>
      <c r="B230" t="s">
        <v>3431</v>
      </c>
      <c r="D230" s="64"/>
      <c r="E230" s="64" t="s">
        <v>1829</v>
      </c>
      <c r="F230" s="64" t="s">
        <v>1331</v>
      </c>
      <c r="G230" s="64">
        <v>0.25</v>
      </c>
      <c r="H230" s="64">
        <v>0.19</v>
      </c>
      <c r="I230" s="64" t="s">
        <v>3340</v>
      </c>
      <c r="J230" s="64">
        <v>1602</v>
      </c>
      <c r="K230" s="64" t="s">
        <v>1403</v>
      </c>
      <c r="L230" s="64" t="s">
        <v>991</v>
      </c>
      <c r="M230" s="65">
        <v>788</v>
      </c>
      <c r="N230" s="66">
        <f>Table16[[#This Row],[Price]]/Table16[[#This Row],[Area (sq. in)]]*144</f>
        <v>70.831460674157299</v>
      </c>
      <c r="O230">
        <v>2.8</v>
      </c>
      <c r="P230" s="39">
        <v>481</v>
      </c>
      <c r="Q230" s="66">
        <v>981</v>
      </c>
      <c r="R230">
        <v>1.2</v>
      </c>
      <c r="S230" s="39">
        <v>217</v>
      </c>
      <c r="U230">
        <v>2023</v>
      </c>
      <c r="V230" t="s">
        <v>3111</v>
      </c>
      <c r="W230" t="s">
        <v>338</v>
      </c>
      <c r="X230" s="64"/>
      <c r="Y230" t="s">
        <v>72</v>
      </c>
      <c r="Z230" t="s">
        <v>72</v>
      </c>
    </row>
    <row r="231" spans="1:26" hidden="1" x14ac:dyDescent="0.2">
      <c r="A231" t="s">
        <v>1328</v>
      </c>
      <c r="B231" t="s">
        <v>3433</v>
      </c>
      <c r="D231" s="64" t="s">
        <v>1702</v>
      </c>
      <c r="E231" s="64" t="s">
        <v>1724</v>
      </c>
      <c r="F231" s="64" t="s">
        <v>1331</v>
      </c>
      <c r="G231" s="64">
        <v>0.55000000000000004</v>
      </c>
      <c r="H231" s="64">
        <v>0.68</v>
      </c>
      <c r="I231" s="64" t="s">
        <v>3379</v>
      </c>
      <c r="J231" s="64">
        <v>1081.125</v>
      </c>
      <c r="K231" s="64" t="s">
        <v>1453</v>
      </c>
      <c r="L231" s="64"/>
      <c r="M231" s="65">
        <v>222.34</v>
      </c>
      <c r="N231" s="66">
        <f>Table16[[#This Row],[Price]]/Table16[[#This Row],[Area (sq. in)]]*144</f>
        <v>29.61448491155047</v>
      </c>
      <c r="U231">
        <v>2023</v>
      </c>
      <c r="V231" t="s">
        <v>3103</v>
      </c>
      <c r="W231" t="s">
        <v>99</v>
      </c>
      <c r="X231" s="64" t="s">
        <v>1725</v>
      </c>
      <c r="Y231" t="s">
        <v>72</v>
      </c>
      <c r="Z231" t="s">
        <v>72</v>
      </c>
    </row>
    <row r="232" spans="1:26" hidden="1" x14ac:dyDescent="0.2">
      <c r="A232" t="s">
        <v>1328</v>
      </c>
      <c r="B232" t="s">
        <v>3433</v>
      </c>
      <c r="D232" s="64" t="s">
        <v>1702</v>
      </c>
      <c r="E232" s="64" t="s">
        <v>1726</v>
      </c>
      <c r="F232" s="64" t="s">
        <v>1331</v>
      </c>
      <c r="G232" s="64">
        <v>0.55000000000000004</v>
      </c>
      <c r="H232" s="64">
        <v>0.68</v>
      </c>
      <c r="I232" s="64" t="s">
        <v>3381</v>
      </c>
      <c r="J232" s="64">
        <v>658.75</v>
      </c>
      <c r="K232" s="64" t="s">
        <v>1704</v>
      </c>
      <c r="L232" s="64"/>
      <c r="M232" s="65">
        <v>222.34</v>
      </c>
      <c r="N232" s="66">
        <f>Table16[[#This Row],[Price]]/Table16[[#This Row],[Area (sq. in)]]*144</f>
        <v>48.602595825426945</v>
      </c>
      <c r="U232">
        <v>2023</v>
      </c>
      <c r="V232" t="s">
        <v>3275</v>
      </c>
      <c r="W232" t="s">
        <v>99</v>
      </c>
      <c r="X232" s="4" t="s">
        <v>1727</v>
      </c>
      <c r="Y232" t="s">
        <v>72</v>
      </c>
      <c r="Z232" t="s">
        <v>72</v>
      </c>
    </row>
    <row r="233" spans="1:26" hidden="1" x14ac:dyDescent="0.2">
      <c r="A233" t="s">
        <v>1328</v>
      </c>
      <c r="B233" t="s">
        <v>3433</v>
      </c>
      <c r="D233" s="64" t="s">
        <v>1702</v>
      </c>
      <c r="E233" s="64" t="s">
        <v>1732</v>
      </c>
      <c r="F233" s="64" t="s">
        <v>1331</v>
      </c>
      <c r="G233" s="64">
        <v>0.55000000000000004</v>
      </c>
      <c r="H233" s="64">
        <v>0.68</v>
      </c>
      <c r="I233" s="64" t="s">
        <v>3382</v>
      </c>
      <c r="J233" s="64">
        <v>961</v>
      </c>
      <c r="K233" s="64" t="s">
        <v>1453</v>
      </c>
      <c r="L233" s="64"/>
      <c r="M233" s="65">
        <v>212.14</v>
      </c>
      <c r="N233" s="66">
        <f>Table16[[#This Row],[Price]]/Table16[[#This Row],[Area (sq. in)]]*144</f>
        <v>31.787887617065554</v>
      </c>
      <c r="U233">
        <v>2023</v>
      </c>
      <c r="V233" t="s">
        <v>3194</v>
      </c>
      <c r="W233" t="s">
        <v>99</v>
      </c>
      <c r="X233" s="4" t="s">
        <v>1733</v>
      </c>
      <c r="Y233" t="s">
        <v>72</v>
      </c>
      <c r="Z233" t="s">
        <v>72</v>
      </c>
    </row>
    <row r="234" spans="1:26" hidden="1" x14ac:dyDescent="0.2">
      <c r="A234" t="s">
        <v>1328</v>
      </c>
      <c r="B234" t="s">
        <v>3433</v>
      </c>
      <c r="D234" s="64" t="s">
        <v>1702</v>
      </c>
      <c r="E234" s="64" t="s">
        <v>1736</v>
      </c>
      <c r="F234" s="64" t="s">
        <v>1331</v>
      </c>
      <c r="G234" s="64">
        <v>0.55000000000000004</v>
      </c>
      <c r="H234" s="64">
        <v>0.68</v>
      </c>
      <c r="I234" s="64" t="s">
        <v>3386</v>
      </c>
      <c r="J234" s="64">
        <v>480.5</v>
      </c>
      <c r="K234" s="64" t="s">
        <v>1453</v>
      </c>
      <c r="L234" s="64"/>
      <c r="M234" s="65">
        <v>191.74</v>
      </c>
      <c r="N234" s="66">
        <f>Table16[[#This Row],[Price]]/Table16[[#This Row],[Area (sq. in)]]*144</f>
        <v>57.462143600416233</v>
      </c>
      <c r="U234">
        <v>2023</v>
      </c>
      <c r="V234" t="s">
        <v>3261</v>
      </c>
      <c r="W234" t="s">
        <v>99</v>
      </c>
      <c r="X234" s="4" t="s">
        <v>1737</v>
      </c>
      <c r="Y234" t="s">
        <v>72</v>
      </c>
      <c r="Z234" t="s">
        <v>72</v>
      </c>
    </row>
    <row r="235" spans="1:26" hidden="1" x14ac:dyDescent="0.2">
      <c r="A235" t="s">
        <v>1328</v>
      </c>
      <c r="B235" t="s">
        <v>3433</v>
      </c>
      <c r="D235" s="64" t="s">
        <v>1702</v>
      </c>
      <c r="E235" s="64" t="s">
        <v>1738</v>
      </c>
      <c r="F235" s="64" t="s">
        <v>1331</v>
      </c>
      <c r="G235" s="64">
        <v>0.55000000000000004</v>
      </c>
      <c r="H235" s="64">
        <v>0.68</v>
      </c>
      <c r="I235" s="64" t="s">
        <v>3381</v>
      </c>
      <c r="J235" s="64">
        <v>658.75</v>
      </c>
      <c r="K235" s="64" t="s">
        <v>1453</v>
      </c>
      <c r="L235" s="64"/>
      <c r="M235" s="65">
        <v>181.54</v>
      </c>
      <c r="N235" s="66">
        <f>Table16[[#This Row],[Price]]/Table16[[#This Row],[Area (sq. in)]]*144</f>
        <v>39.683886148007595</v>
      </c>
      <c r="U235">
        <v>2023</v>
      </c>
      <c r="V235" t="s">
        <v>3165</v>
      </c>
      <c r="W235" t="s">
        <v>99</v>
      </c>
      <c r="X235" s="4" t="s">
        <v>1739</v>
      </c>
      <c r="Y235" t="s">
        <v>72</v>
      </c>
      <c r="Z235" t="s">
        <v>72</v>
      </c>
    </row>
    <row r="236" spans="1:26" hidden="1" x14ac:dyDescent="0.2">
      <c r="A236" t="s">
        <v>1328</v>
      </c>
      <c r="B236" t="s">
        <v>3433</v>
      </c>
      <c r="D236" s="64" t="s">
        <v>1702</v>
      </c>
      <c r="E236" s="64" t="s">
        <v>1742</v>
      </c>
      <c r="F236" s="64" t="s">
        <v>1331</v>
      </c>
      <c r="G236" s="64">
        <v>0.55000000000000004</v>
      </c>
      <c r="H236" s="64">
        <v>0.68</v>
      </c>
      <c r="I236" s="64" t="s">
        <v>3384</v>
      </c>
      <c r="J236" s="64">
        <v>540.5625</v>
      </c>
      <c r="K236" s="64" t="s">
        <v>1453</v>
      </c>
      <c r="L236" s="64"/>
      <c r="M236" s="65">
        <v>181.54</v>
      </c>
      <c r="N236" s="66">
        <f>Table16[[#This Row],[Price]]/Table16[[#This Row],[Area (sq. in)]]*144</f>
        <v>48.36029136316337</v>
      </c>
      <c r="U236">
        <v>2023</v>
      </c>
      <c r="V236" t="s">
        <v>3246</v>
      </c>
      <c r="W236" t="s">
        <v>99</v>
      </c>
      <c r="X236" s="4" t="s">
        <v>1743</v>
      </c>
      <c r="Y236" t="s">
        <v>72</v>
      </c>
      <c r="Z236" t="s">
        <v>72</v>
      </c>
    </row>
    <row r="237" spans="1:26" hidden="1" x14ac:dyDescent="0.2">
      <c r="A237" t="s">
        <v>1328</v>
      </c>
      <c r="B237" t="s">
        <v>3431</v>
      </c>
      <c r="D237" s="64"/>
      <c r="E237" s="64" t="s">
        <v>1829</v>
      </c>
      <c r="F237" s="64" t="s">
        <v>1331</v>
      </c>
      <c r="G237" s="64">
        <v>0.25</v>
      </c>
      <c r="H237" s="64">
        <v>0.19</v>
      </c>
      <c r="I237" s="64" t="s">
        <v>3361</v>
      </c>
      <c r="J237" s="64">
        <v>1345.5</v>
      </c>
      <c r="K237" s="64" t="s">
        <v>1403</v>
      </c>
      <c r="L237" s="64" t="s">
        <v>991</v>
      </c>
      <c r="M237" s="65">
        <v>748</v>
      </c>
      <c r="N237" s="66">
        <f>Table16[[#This Row],[Price]]/Table16[[#This Row],[Area (sq. in)]]*144</f>
        <v>80.053511705685622</v>
      </c>
      <c r="O237">
        <v>2.8</v>
      </c>
      <c r="P237" s="39">
        <v>460</v>
      </c>
      <c r="Q237" s="66">
        <v>956</v>
      </c>
      <c r="R237">
        <v>1.2</v>
      </c>
      <c r="S237" s="39">
        <v>206</v>
      </c>
      <c r="U237">
        <v>2023</v>
      </c>
      <c r="V237" t="s">
        <v>3176</v>
      </c>
      <c r="W237" t="s">
        <v>338</v>
      </c>
      <c r="X237" s="64"/>
      <c r="Y237" t="s">
        <v>72</v>
      </c>
      <c r="Z237" t="s">
        <v>72</v>
      </c>
    </row>
    <row r="238" spans="1:26" hidden="1" x14ac:dyDescent="0.2">
      <c r="A238" t="s">
        <v>1328</v>
      </c>
      <c r="B238" t="s">
        <v>3431</v>
      </c>
      <c r="D238" s="64"/>
      <c r="E238" s="64" t="s">
        <v>1829</v>
      </c>
      <c r="F238" s="64" t="s">
        <v>1331</v>
      </c>
      <c r="G238" s="64">
        <v>0.25</v>
      </c>
      <c r="H238" s="64">
        <v>0.19</v>
      </c>
      <c r="I238" s="64" t="s">
        <v>3370</v>
      </c>
      <c r="J238" s="64">
        <v>1201.5</v>
      </c>
      <c r="K238" s="64" t="s">
        <v>1403</v>
      </c>
      <c r="L238" s="64" t="s">
        <v>991</v>
      </c>
      <c r="M238" s="65">
        <v>638</v>
      </c>
      <c r="N238" s="66">
        <f>Table16[[#This Row],[Price]]/Table16[[#This Row],[Area (sq. in)]]*144</f>
        <v>76.464419475655433</v>
      </c>
      <c r="O238">
        <v>2.8</v>
      </c>
      <c r="P238" s="39">
        <v>438</v>
      </c>
      <c r="Q238" s="66">
        <v>930</v>
      </c>
      <c r="R238">
        <v>1.2</v>
      </c>
      <c r="S238" s="39">
        <v>197</v>
      </c>
      <c r="U238">
        <v>2023</v>
      </c>
      <c r="V238" t="s">
        <v>3227</v>
      </c>
      <c r="W238" t="s">
        <v>338</v>
      </c>
      <c r="X238" s="64"/>
      <c r="Y238" t="s">
        <v>72</v>
      </c>
      <c r="Z238" t="s">
        <v>72</v>
      </c>
    </row>
    <row r="239" spans="1:26" hidden="1" x14ac:dyDescent="0.2">
      <c r="A239" t="s">
        <v>1328</v>
      </c>
      <c r="B239" t="s">
        <v>3431</v>
      </c>
      <c r="D239" s="64"/>
      <c r="E239" s="64" t="s">
        <v>1829</v>
      </c>
      <c r="F239" s="64" t="s">
        <v>1331</v>
      </c>
      <c r="G239" s="64">
        <v>0.24</v>
      </c>
      <c r="H239" s="64">
        <v>0.19</v>
      </c>
      <c r="I239" s="64" t="s">
        <v>3360</v>
      </c>
      <c r="J239" s="64">
        <v>1440</v>
      </c>
      <c r="K239" s="64" t="s">
        <v>1394</v>
      </c>
      <c r="L239" s="64" t="s">
        <v>991</v>
      </c>
      <c r="M239" s="65">
        <v>848</v>
      </c>
      <c r="N239" s="66">
        <f>Table16[[#This Row],[Price]]/Table16[[#This Row],[Area (sq. in)]]*144</f>
        <v>84.8</v>
      </c>
      <c r="O239">
        <v>2.8</v>
      </c>
      <c r="P239" s="39">
        <v>420</v>
      </c>
      <c r="Q239" s="66">
        <v>908</v>
      </c>
      <c r="R239">
        <v>1.2</v>
      </c>
      <c r="S239" s="39">
        <v>189</v>
      </c>
      <c r="U239">
        <v>2023</v>
      </c>
      <c r="V239" t="s">
        <v>3174</v>
      </c>
      <c r="W239" t="s">
        <v>338</v>
      </c>
      <c r="X239" s="64"/>
      <c r="Y239" t="s">
        <v>72</v>
      </c>
      <c r="Z239" t="s">
        <v>72</v>
      </c>
    </row>
    <row r="240" spans="1:26" hidden="1" x14ac:dyDescent="0.2">
      <c r="A240" t="s">
        <v>1328</v>
      </c>
      <c r="B240" t="s">
        <v>3431</v>
      </c>
      <c r="D240" s="64"/>
      <c r="E240" s="64" t="s">
        <v>1829</v>
      </c>
      <c r="F240" s="64" t="s">
        <v>1331</v>
      </c>
      <c r="G240" s="64">
        <v>0.24</v>
      </c>
      <c r="H240" s="64">
        <v>0.19</v>
      </c>
      <c r="I240" s="64" t="s">
        <v>3368</v>
      </c>
      <c r="J240" s="64">
        <v>864</v>
      </c>
      <c r="K240" s="64" t="s">
        <v>1394</v>
      </c>
      <c r="L240" s="64" t="s">
        <v>991</v>
      </c>
      <c r="M240" s="65">
        <v>678</v>
      </c>
      <c r="N240" s="66">
        <f>Table16[[#This Row],[Price]]/Table16[[#This Row],[Area (sq. in)]]*144</f>
        <v>113</v>
      </c>
      <c r="O240">
        <v>2.8</v>
      </c>
      <c r="P240" s="39">
        <v>395</v>
      </c>
      <c r="Q240" s="66">
        <v>879</v>
      </c>
      <c r="R240">
        <v>1.2</v>
      </c>
      <c r="S240" s="39">
        <v>178</v>
      </c>
      <c r="U240">
        <v>2023</v>
      </c>
      <c r="V240" t="s">
        <v>3220</v>
      </c>
      <c r="W240" t="s">
        <v>338</v>
      </c>
      <c r="X240" s="64"/>
      <c r="Y240" t="s">
        <v>72</v>
      </c>
      <c r="Z240" t="s">
        <v>72</v>
      </c>
    </row>
    <row r="241" spans="1:26" hidden="1" x14ac:dyDescent="0.2">
      <c r="A241" t="s">
        <v>1328</v>
      </c>
      <c r="B241" t="s">
        <v>3433</v>
      </c>
      <c r="D241" s="64" t="s">
        <v>1702</v>
      </c>
      <c r="E241" s="64" t="s">
        <v>1744</v>
      </c>
      <c r="F241" s="64" t="s">
        <v>1331</v>
      </c>
      <c r="G241" s="64">
        <v>0.55000000000000004</v>
      </c>
      <c r="H241" s="64">
        <v>0.68</v>
      </c>
      <c r="I241" s="64" t="s">
        <v>3378</v>
      </c>
      <c r="J241" s="64">
        <v>418.5</v>
      </c>
      <c r="K241" s="64" t="s">
        <v>1453</v>
      </c>
      <c r="L241" s="64"/>
      <c r="M241" s="65">
        <v>176.32</v>
      </c>
      <c r="N241" s="66">
        <f>Table16[[#This Row],[Price]]/Table16[[#This Row],[Area (sq. in)]]*144</f>
        <v>60.669247311827959</v>
      </c>
      <c r="U241">
        <v>2023</v>
      </c>
      <c r="V241" t="s">
        <v>3274</v>
      </c>
      <c r="W241" t="s">
        <v>99</v>
      </c>
      <c r="X241" s="4" t="s">
        <v>1745</v>
      </c>
      <c r="Y241" t="s">
        <v>72</v>
      </c>
      <c r="Z241" t="s">
        <v>72</v>
      </c>
    </row>
    <row r="242" spans="1:26" hidden="1" x14ac:dyDescent="0.2">
      <c r="A242" t="s">
        <v>1328</v>
      </c>
      <c r="B242" t="s">
        <v>3433</v>
      </c>
      <c r="D242" s="64" t="s">
        <v>1702</v>
      </c>
      <c r="E242" s="64" t="s">
        <v>1752</v>
      </c>
      <c r="F242" s="64" t="s">
        <v>1331</v>
      </c>
      <c r="G242" s="64">
        <v>0.55000000000000004</v>
      </c>
      <c r="H242" s="64">
        <v>0.68</v>
      </c>
      <c r="I242" s="64" t="s">
        <v>3385</v>
      </c>
      <c r="J242" s="64">
        <v>564.9375</v>
      </c>
      <c r="K242" s="64" t="s">
        <v>1453</v>
      </c>
      <c r="L242" s="64"/>
      <c r="M242" s="65">
        <v>173.12</v>
      </c>
      <c r="N242" s="66">
        <f>Table16[[#This Row],[Price]]/Table16[[#This Row],[Area (sq. in)]]*144</f>
        <v>44.127500829737805</v>
      </c>
      <c r="U242">
        <v>2023</v>
      </c>
      <c r="V242" t="s">
        <v>3254</v>
      </c>
      <c r="W242" t="s">
        <v>99</v>
      </c>
      <c r="X242" s="4" t="s">
        <v>1753</v>
      </c>
      <c r="Y242" t="s">
        <v>72</v>
      </c>
      <c r="Z242" t="s">
        <v>72</v>
      </c>
    </row>
    <row r="243" spans="1:26" hidden="1" x14ac:dyDescent="0.2">
      <c r="A243" t="s">
        <v>1328</v>
      </c>
      <c r="B243" t="s">
        <v>3433</v>
      </c>
      <c r="D243" s="64" t="s">
        <v>1702</v>
      </c>
      <c r="E243" s="64" t="s">
        <v>1754</v>
      </c>
      <c r="F243" s="64" t="s">
        <v>1331</v>
      </c>
      <c r="G243" s="64">
        <v>0.55000000000000004</v>
      </c>
      <c r="H243" s="64">
        <v>0.68</v>
      </c>
      <c r="I243" s="64" t="s">
        <v>3378</v>
      </c>
      <c r="J243" s="64">
        <v>418.5</v>
      </c>
      <c r="K243" s="64" t="s">
        <v>1453</v>
      </c>
      <c r="L243" s="64"/>
      <c r="M243" s="65">
        <v>171.34</v>
      </c>
      <c r="N243" s="66">
        <f>Table16[[#This Row],[Price]]/Table16[[#This Row],[Area (sq. in)]]*144</f>
        <v>58.955698924731188</v>
      </c>
      <c r="U243">
        <v>2023</v>
      </c>
      <c r="V243" t="s">
        <v>3158</v>
      </c>
      <c r="W243" t="s">
        <v>99</v>
      </c>
      <c r="X243" s="4" t="s">
        <v>1755</v>
      </c>
      <c r="Y243" t="s">
        <v>72</v>
      </c>
      <c r="Z243" t="s">
        <v>72</v>
      </c>
    </row>
    <row r="244" spans="1:26" hidden="1" x14ac:dyDescent="0.2">
      <c r="A244" t="s">
        <v>1328</v>
      </c>
      <c r="B244" t="s">
        <v>3431</v>
      </c>
      <c r="D244" s="64"/>
      <c r="E244" s="64" t="s">
        <v>1829</v>
      </c>
      <c r="F244" s="64" t="s">
        <v>1331</v>
      </c>
      <c r="G244" s="64">
        <v>0.24</v>
      </c>
      <c r="H244" s="64">
        <v>0.19</v>
      </c>
      <c r="I244" s="64" t="s">
        <v>3342</v>
      </c>
      <c r="J244" s="64">
        <v>960</v>
      </c>
      <c r="K244" s="64" t="s">
        <v>1394</v>
      </c>
      <c r="L244" s="64" t="s">
        <v>991</v>
      </c>
      <c r="M244" s="65">
        <v>598</v>
      </c>
      <c r="N244" s="66">
        <f>Table16[[#This Row],[Price]]/Table16[[#This Row],[Area (sq. in)]]*144</f>
        <v>89.7</v>
      </c>
      <c r="O244">
        <v>2.8</v>
      </c>
      <c r="P244" s="39">
        <v>388</v>
      </c>
      <c r="Q244" s="66">
        <v>871</v>
      </c>
      <c r="R244">
        <v>1.2</v>
      </c>
      <c r="S244" s="39">
        <v>175</v>
      </c>
      <c r="U244">
        <v>2023</v>
      </c>
      <c r="V244" t="s">
        <v>3148</v>
      </c>
      <c r="W244" t="s">
        <v>338</v>
      </c>
      <c r="X244" s="64"/>
      <c r="Y244" t="s">
        <v>72</v>
      </c>
      <c r="Z244" t="s">
        <v>72</v>
      </c>
    </row>
    <row r="245" spans="1:26" x14ac:dyDescent="0.2">
      <c r="A245" t="s">
        <v>1328</v>
      </c>
      <c r="B245" t="s">
        <v>3398</v>
      </c>
      <c r="D245" s="64"/>
      <c r="E245" s="64" t="s">
        <v>1829</v>
      </c>
      <c r="F245" s="64" t="s">
        <v>1331</v>
      </c>
      <c r="G245" s="64">
        <v>0.51</v>
      </c>
      <c r="H245" s="64">
        <v>0.65</v>
      </c>
      <c r="I245" s="64" t="s">
        <v>3312</v>
      </c>
      <c r="J245" s="64">
        <v>488.25</v>
      </c>
      <c r="K245" s="64" t="s">
        <v>1332</v>
      </c>
      <c r="L245" s="64" t="s">
        <v>917</v>
      </c>
      <c r="M245" s="65">
        <v>151</v>
      </c>
      <c r="N245" s="66">
        <f>Table16[[#This Row],[Price]]/Table16[[#This Row],[Area (sq. in)]]*144</f>
        <v>44.534562211981573</v>
      </c>
      <c r="O245">
        <v>2.8</v>
      </c>
      <c r="P245" s="39">
        <v>385</v>
      </c>
      <c r="Q245" s="66">
        <v>868</v>
      </c>
      <c r="R245">
        <v>1.2</v>
      </c>
      <c r="S245" s="39">
        <v>175</v>
      </c>
      <c r="U245">
        <v>2023</v>
      </c>
      <c r="V245" t="s">
        <v>3078</v>
      </c>
      <c r="W245" t="s">
        <v>338</v>
      </c>
      <c r="X245" s="64"/>
      <c r="Y245" t="s">
        <v>72</v>
      </c>
      <c r="Z245" t="s">
        <v>72</v>
      </c>
    </row>
    <row r="246" spans="1:26" x14ac:dyDescent="0.2">
      <c r="A246" t="s">
        <v>1328</v>
      </c>
      <c r="B246" t="s">
        <v>3398</v>
      </c>
      <c r="D246" s="64"/>
      <c r="E246" s="64" t="s">
        <v>1829</v>
      </c>
      <c r="F246" s="64" t="s">
        <v>1331</v>
      </c>
      <c r="G246" s="64">
        <v>1.25</v>
      </c>
      <c r="H246" s="64">
        <v>0.16</v>
      </c>
      <c r="I246" s="64" t="s">
        <v>3332</v>
      </c>
      <c r="J246" s="64">
        <v>971.25</v>
      </c>
      <c r="K246" s="64" t="s">
        <v>1332</v>
      </c>
      <c r="L246" s="64" t="s">
        <v>917</v>
      </c>
      <c r="M246" s="65">
        <v>146</v>
      </c>
      <c r="N246" s="66">
        <f>Table16[[#This Row],[Price]]/Table16[[#This Row],[Area (sq. in)]]*144</f>
        <v>21.646332046332049</v>
      </c>
      <c r="O246">
        <v>2.8</v>
      </c>
      <c r="P246" s="39">
        <v>364</v>
      </c>
      <c r="Q246" s="66">
        <v>842</v>
      </c>
      <c r="R246">
        <v>1.2</v>
      </c>
      <c r="S246" s="39">
        <v>165</v>
      </c>
      <c r="U246">
        <v>2023</v>
      </c>
      <c r="V246" t="s">
        <v>3098</v>
      </c>
      <c r="W246" t="s">
        <v>338</v>
      </c>
      <c r="X246" s="64"/>
      <c r="Y246" t="s">
        <v>72</v>
      </c>
      <c r="Z246" t="s">
        <v>72</v>
      </c>
    </row>
    <row r="247" spans="1:26" hidden="1" x14ac:dyDescent="0.2">
      <c r="A247" t="s">
        <v>1328</v>
      </c>
      <c r="B247" t="s">
        <v>3398</v>
      </c>
      <c r="D247" s="64"/>
      <c r="E247" s="64" t="s">
        <v>1829</v>
      </c>
      <c r="F247" s="64" t="s">
        <v>1331</v>
      </c>
      <c r="G247" s="64">
        <v>0.51</v>
      </c>
      <c r="H247" s="64">
        <v>0.65</v>
      </c>
      <c r="I247" s="64" t="s">
        <v>3322</v>
      </c>
      <c r="J247" s="64">
        <v>1200</v>
      </c>
      <c r="K247" s="64" t="s">
        <v>1332</v>
      </c>
      <c r="L247" s="64" t="s">
        <v>401</v>
      </c>
      <c r="M247" s="65">
        <v>141</v>
      </c>
      <c r="N247" s="66">
        <f>Table16[[#This Row],[Price]]/Table16[[#This Row],[Area (sq. in)]]*144</f>
        <v>16.919999999999998</v>
      </c>
      <c r="O247">
        <v>2.8</v>
      </c>
      <c r="P247" s="39">
        <v>417</v>
      </c>
      <c r="Q247" s="66">
        <v>760</v>
      </c>
      <c r="R247">
        <v>1.2</v>
      </c>
      <c r="S247" s="39">
        <v>187</v>
      </c>
      <c r="U247">
        <v>2023</v>
      </c>
      <c r="V247" t="s">
        <v>3087</v>
      </c>
      <c r="W247" t="s">
        <v>338</v>
      </c>
      <c r="X247" s="64"/>
      <c r="Y247" t="s">
        <v>72</v>
      </c>
      <c r="Z247" t="s">
        <v>72</v>
      </c>
    </row>
    <row r="248" spans="1:26" hidden="1" x14ac:dyDescent="0.2">
      <c r="A248" t="s">
        <v>1328</v>
      </c>
      <c r="B248" t="s">
        <v>3433</v>
      </c>
      <c r="D248" s="64" t="s">
        <v>1702</v>
      </c>
      <c r="E248" s="64" t="s">
        <v>1766</v>
      </c>
      <c r="F248" s="64" t="s">
        <v>1331</v>
      </c>
      <c r="G248" s="64">
        <v>0.55000000000000004</v>
      </c>
      <c r="H248" s="64">
        <v>0.68</v>
      </c>
      <c r="I248" s="64" t="s">
        <v>3378</v>
      </c>
      <c r="J248" s="64">
        <v>418.5</v>
      </c>
      <c r="K248" s="64" t="s">
        <v>1453</v>
      </c>
      <c r="L248" s="64"/>
      <c r="M248" s="65">
        <v>140.75</v>
      </c>
      <c r="N248" s="66">
        <f>Table16[[#This Row],[Price]]/Table16[[#This Row],[Area (sq. in)]]*144</f>
        <v>48.43010752688172</v>
      </c>
      <c r="U248">
        <v>2023</v>
      </c>
      <c r="V248" t="s">
        <v>3110</v>
      </c>
      <c r="W248" t="s">
        <v>99</v>
      </c>
      <c r="X248" s="4" t="s">
        <v>1767</v>
      </c>
      <c r="Y248" t="s">
        <v>72</v>
      </c>
      <c r="Z248" t="s">
        <v>72</v>
      </c>
    </row>
    <row r="249" spans="1:26" hidden="1" x14ac:dyDescent="0.2">
      <c r="A249" t="s">
        <v>1328</v>
      </c>
      <c r="B249" t="s">
        <v>3433</v>
      </c>
      <c r="D249" s="64" t="s">
        <v>1702</v>
      </c>
      <c r="E249" s="64" t="s">
        <v>1768</v>
      </c>
      <c r="F249" s="64" t="s">
        <v>1331</v>
      </c>
      <c r="G249" s="64">
        <v>0.55000000000000004</v>
      </c>
      <c r="H249" s="64">
        <v>0.68</v>
      </c>
      <c r="I249" s="64" t="s">
        <v>3378</v>
      </c>
      <c r="J249" s="64">
        <v>418.5</v>
      </c>
      <c r="K249" s="64" t="s">
        <v>1704</v>
      </c>
      <c r="L249" s="64"/>
      <c r="M249" s="65">
        <v>135.94999999999999</v>
      </c>
      <c r="N249" s="66">
        <f>Table16[[#This Row],[Price]]/Table16[[#This Row],[Area (sq. in)]]*144</f>
        <v>46.778494623655909</v>
      </c>
      <c r="U249">
        <v>2023</v>
      </c>
      <c r="V249" t="s">
        <v>3277</v>
      </c>
      <c r="W249" t="s">
        <v>99</v>
      </c>
      <c r="X249" s="4" t="s">
        <v>1769</v>
      </c>
      <c r="Y249" t="s">
        <v>72</v>
      </c>
      <c r="Z249" t="s">
        <v>72</v>
      </c>
    </row>
    <row r="250" spans="1:26" hidden="1" x14ac:dyDescent="0.2">
      <c r="A250" t="s">
        <v>1328</v>
      </c>
      <c r="B250" t="s">
        <v>3433</v>
      </c>
      <c r="D250" s="64" t="s">
        <v>1702</v>
      </c>
      <c r="E250" s="64" t="s">
        <v>1777</v>
      </c>
      <c r="F250" s="64" t="s">
        <v>1331</v>
      </c>
      <c r="G250" s="64">
        <v>0.55000000000000004</v>
      </c>
      <c r="H250" s="64">
        <v>0.68</v>
      </c>
      <c r="I250" s="64" t="s">
        <v>3378</v>
      </c>
      <c r="J250" s="64">
        <v>418.5</v>
      </c>
      <c r="K250" s="64" t="s">
        <v>1453</v>
      </c>
      <c r="L250" s="64"/>
      <c r="M250" s="65">
        <v>130.55000000000001</v>
      </c>
      <c r="N250" s="66">
        <f>Table16[[#This Row],[Price]]/Table16[[#This Row],[Area (sq. in)]]*144</f>
        <v>44.920430107526883</v>
      </c>
      <c r="U250">
        <v>2023</v>
      </c>
      <c r="V250" t="s">
        <v>3131</v>
      </c>
      <c r="W250" t="s">
        <v>99</v>
      </c>
      <c r="X250" s="4" t="s">
        <v>1778</v>
      </c>
      <c r="Y250" t="s">
        <v>72</v>
      </c>
      <c r="Z250" t="s">
        <v>72</v>
      </c>
    </row>
    <row r="251" spans="1:26" hidden="1" x14ac:dyDescent="0.2">
      <c r="A251" t="s">
        <v>1328</v>
      </c>
      <c r="B251" t="s">
        <v>3433</v>
      </c>
      <c r="D251" s="64" t="s">
        <v>1702</v>
      </c>
      <c r="E251" s="64" t="s">
        <v>1779</v>
      </c>
      <c r="F251" s="64" t="s">
        <v>1331</v>
      </c>
      <c r="G251" s="64">
        <v>0.55000000000000004</v>
      </c>
      <c r="H251" s="64">
        <v>0.68</v>
      </c>
      <c r="I251" s="64" t="s">
        <v>3381</v>
      </c>
      <c r="J251" s="64">
        <v>658.75</v>
      </c>
      <c r="K251" s="64" t="s">
        <v>1453</v>
      </c>
      <c r="L251" s="64"/>
      <c r="M251" s="65">
        <v>130.55000000000001</v>
      </c>
      <c r="N251" s="66">
        <f>Table16[[#This Row],[Price]]/Table16[[#This Row],[Area (sq. in)]]*144</f>
        <v>28.537685009487671</v>
      </c>
      <c r="U251">
        <v>2023</v>
      </c>
      <c r="V251" t="s">
        <v>3181</v>
      </c>
      <c r="W251" t="s">
        <v>99</v>
      </c>
      <c r="X251" s="4" t="s">
        <v>1780</v>
      </c>
      <c r="Y251" t="s">
        <v>72</v>
      </c>
      <c r="Z251" t="s">
        <v>72</v>
      </c>
    </row>
    <row r="252" spans="1:26" hidden="1" x14ac:dyDescent="0.2">
      <c r="A252" t="s">
        <v>1328</v>
      </c>
      <c r="B252" t="s">
        <v>3431</v>
      </c>
      <c r="D252" s="64"/>
      <c r="E252" s="64" t="s">
        <v>1829</v>
      </c>
      <c r="F252" s="64" t="s">
        <v>1331</v>
      </c>
      <c r="G252" s="64">
        <v>0.24</v>
      </c>
      <c r="H252" s="64">
        <v>0.19</v>
      </c>
      <c r="I252" s="64" t="s">
        <v>3324</v>
      </c>
      <c r="J252" s="64">
        <v>576</v>
      </c>
      <c r="K252" s="64" t="s">
        <v>1394</v>
      </c>
      <c r="L252" s="64" t="s">
        <v>991</v>
      </c>
      <c r="M252" s="65">
        <v>518</v>
      </c>
      <c r="N252" s="66">
        <f>Table16[[#This Row],[Price]]/Table16[[#This Row],[Area (sq. in)]]*144</f>
        <v>129.5</v>
      </c>
      <c r="O252">
        <v>2.8</v>
      </c>
      <c r="P252" s="39">
        <v>342</v>
      </c>
      <c r="Q252" s="66">
        <v>671</v>
      </c>
      <c r="R252">
        <v>1.2</v>
      </c>
      <c r="S252" s="39">
        <v>155</v>
      </c>
      <c r="U252">
        <v>2023</v>
      </c>
      <c r="V252" t="s">
        <v>3285</v>
      </c>
      <c r="W252" t="s">
        <v>338</v>
      </c>
      <c r="X252" s="64"/>
      <c r="Y252" t="s">
        <v>72</v>
      </c>
      <c r="Z252" t="s">
        <v>72</v>
      </c>
    </row>
    <row r="253" spans="1:26" hidden="1" x14ac:dyDescent="0.2">
      <c r="A253" t="s">
        <v>1328</v>
      </c>
      <c r="B253" t="s">
        <v>3433</v>
      </c>
      <c r="D253" s="64" t="s">
        <v>1702</v>
      </c>
      <c r="E253" s="64" t="s">
        <v>1785</v>
      </c>
      <c r="F253" s="64" t="s">
        <v>1331</v>
      </c>
      <c r="G253" s="64">
        <v>0.55000000000000004</v>
      </c>
      <c r="H253" s="64">
        <v>0.68</v>
      </c>
      <c r="I253" s="64" t="s">
        <v>3378</v>
      </c>
      <c r="J253" s="64">
        <v>418.5</v>
      </c>
      <c r="K253" s="64" t="s">
        <v>1453</v>
      </c>
      <c r="L253" s="64"/>
      <c r="M253" s="65">
        <v>120.35</v>
      </c>
      <c r="N253" s="66">
        <f>Table16[[#This Row],[Price]]/Table16[[#This Row],[Area (sq. in)]]*144</f>
        <v>41.410752688172046</v>
      </c>
      <c r="U253">
        <v>2023</v>
      </c>
      <c r="V253" t="s">
        <v>3103</v>
      </c>
      <c r="W253" t="s">
        <v>99</v>
      </c>
      <c r="X253" s="4" t="s">
        <v>1786</v>
      </c>
      <c r="Y253" t="s">
        <v>72</v>
      </c>
      <c r="Z253" t="s">
        <v>72</v>
      </c>
    </row>
    <row r="254" spans="1:26" hidden="1" x14ac:dyDescent="0.2">
      <c r="A254" t="s">
        <v>1328</v>
      </c>
      <c r="B254" t="s">
        <v>3398</v>
      </c>
      <c r="D254" s="64"/>
      <c r="E254" s="64" t="s">
        <v>1829</v>
      </c>
      <c r="F254" s="64" t="s">
        <v>1331</v>
      </c>
      <c r="G254" s="64">
        <v>0.51</v>
      </c>
      <c r="H254" s="64">
        <v>0.65</v>
      </c>
      <c r="I254" s="64" t="s">
        <v>3333</v>
      </c>
      <c r="J254" s="64">
        <v>810</v>
      </c>
      <c r="K254" s="64" t="s">
        <v>1332</v>
      </c>
      <c r="L254" s="64" t="s">
        <v>401</v>
      </c>
      <c r="M254" s="65">
        <v>118</v>
      </c>
      <c r="N254" s="66">
        <f>Table16[[#This Row],[Price]]/Table16[[#This Row],[Area (sq. in)]]*144</f>
        <v>20.977777777777778</v>
      </c>
      <c r="O254">
        <v>2.8</v>
      </c>
      <c r="P254" s="39">
        <v>330</v>
      </c>
      <c r="Q254" s="66">
        <v>657</v>
      </c>
      <c r="R254">
        <v>1.2</v>
      </c>
      <c r="S254" s="39">
        <v>150</v>
      </c>
      <c r="U254">
        <v>2023</v>
      </c>
      <c r="V254" t="s">
        <v>3102</v>
      </c>
      <c r="W254" t="s">
        <v>338</v>
      </c>
      <c r="X254" s="64"/>
      <c r="Y254" t="s">
        <v>72</v>
      </c>
      <c r="Z254" t="s">
        <v>72</v>
      </c>
    </row>
    <row r="255" spans="1:26" x14ac:dyDescent="0.2">
      <c r="A255" t="s">
        <v>1328</v>
      </c>
      <c r="B255" t="s">
        <v>3398</v>
      </c>
      <c r="D255" s="64"/>
      <c r="E255" s="64" t="s">
        <v>1829</v>
      </c>
      <c r="F255" s="64" t="s">
        <v>1331</v>
      </c>
      <c r="G255" s="64">
        <v>0.51</v>
      </c>
      <c r="H255" s="64">
        <v>0.65</v>
      </c>
      <c r="I255" s="64" t="s">
        <v>3327</v>
      </c>
      <c r="J255" s="64">
        <v>754.0625</v>
      </c>
      <c r="K255" s="64" t="s">
        <v>1332</v>
      </c>
      <c r="L255" s="64" t="s">
        <v>917</v>
      </c>
      <c r="M255" s="65">
        <v>112.99</v>
      </c>
      <c r="N255" s="66">
        <f>Table16[[#This Row],[Price]]/Table16[[#This Row],[Area (sq. in)]]*144</f>
        <v>21.577203481143805</v>
      </c>
      <c r="O255">
        <v>2.8</v>
      </c>
      <c r="P255" s="39">
        <v>315</v>
      </c>
      <c r="Q255" s="66">
        <v>640</v>
      </c>
      <c r="R255">
        <v>1.2</v>
      </c>
      <c r="S255" s="39">
        <v>142</v>
      </c>
      <c r="U255">
        <v>2023</v>
      </c>
      <c r="V255" t="s">
        <v>3081</v>
      </c>
      <c r="W255" t="s">
        <v>338</v>
      </c>
      <c r="X255" s="64"/>
      <c r="Y255" t="s">
        <v>72</v>
      </c>
      <c r="Z255" t="s">
        <v>72</v>
      </c>
    </row>
    <row r="256" spans="1:26" hidden="1" x14ac:dyDescent="0.2">
      <c r="A256" t="s">
        <v>1328</v>
      </c>
      <c r="B256" t="s">
        <v>3433</v>
      </c>
      <c r="D256" s="64" t="s">
        <v>1702</v>
      </c>
      <c r="E256" s="64" t="s">
        <v>1795</v>
      </c>
      <c r="F256" s="64" t="s">
        <v>1331</v>
      </c>
      <c r="G256" s="64">
        <v>0.55000000000000004</v>
      </c>
      <c r="H256" s="64">
        <v>0.68</v>
      </c>
      <c r="I256" s="64" t="s">
        <v>3378</v>
      </c>
      <c r="J256" s="64">
        <v>418.5</v>
      </c>
      <c r="K256" s="64" t="s">
        <v>1453</v>
      </c>
      <c r="L256" s="64"/>
      <c r="M256" s="65">
        <v>110.15</v>
      </c>
      <c r="N256" s="66">
        <f>Table16[[#This Row],[Price]]/Table16[[#This Row],[Area (sq. in)]]*144</f>
        <v>37.901075268817202</v>
      </c>
      <c r="U256">
        <v>2023</v>
      </c>
      <c r="V256" t="s">
        <v>3134</v>
      </c>
      <c r="W256" t="s">
        <v>99</v>
      </c>
      <c r="X256" s="4" t="s">
        <v>1796</v>
      </c>
      <c r="Y256" t="s">
        <v>72</v>
      </c>
      <c r="Z256" t="s">
        <v>72</v>
      </c>
    </row>
    <row r="257" spans="1:26" hidden="1" x14ac:dyDescent="0.2">
      <c r="A257" t="s">
        <v>1328</v>
      </c>
      <c r="B257" t="s">
        <v>3433</v>
      </c>
      <c r="D257" s="64" t="s">
        <v>1702</v>
      </c>
      <c r="E257" s="64" t="s">
        <v>1797</v>
      </c>
      <c r="F257" s="64" t="s">
        <v>1331</v>
      </c>
      <c r="G257" s="64">
        <v>0.55000000000000004</v>
      </c>
      <c r="H257" s="64">
        <v>0.68</v>
      </c>
      <c r="I257" s="64" t="s">
        <v>3380</v>
      </c>
      <c r="J257" s="64">
        <v>356.5</v>
      </c>
      <c r="K257" s="64" t="s">
        <v>1453</v>
      </c>
      <c r="L257" s="64"/>
      <c r="M257" s="65">
        <v>110.15</v>
      </c>
      <c r="N257" s="66">
        <f>Table16[[#This Row],[Price]]/Table16[[#This Row],[Area (sq. in)]]*144</f>
        <v>44.492566619915848</v>
      </c>
      <c r="U257">
        <v>2023</v>
      </c>
      <c r="V257" t="s">
        <v>3184</v>
      </c>
      <c r="W257" t="s">
        <v>99</v>
      </c>
      <c r="X257" s="4" t="s">
        <v>1798</v>
      </c>
      <c r="Y257" t="s">
        <v>72</v>
      </c>
      <c r="Z257" t="s">
        <v>72</v>
      </c>
    </row>
    <row r="258" spans="1:26" hidden="1" x14ac:dyDescent="0.2">
      <c r="A258" t="s">
        <v>1328</v>
      </c>
      <c r="B258" t="s">
        <v>3433</v>
      </c>
      <c r="D258" s="64" t="s">
        <v>1702</v>
      </c>
      <c r="E258" s="64" t="s">
        <v>1803</v>
      </c>
      <c r="F258" s="64" t="s">
        <v>1331</v>
      </c>
      <c r="G258" s="64">
        <v>0.55000000000000004</v>
      </c>
      <c r="H258" s="64">
        <v>0.68</v>
      </c>
      <c r="I258" s="64" t="s">
        <v>3378</v>
      </c>
      <c r="J258" s="64">
        <v>418.5</v>
      </c>
      <c r="K258" s="64" t="s">
        <v>1453</v>
      </c>
      <c r="L258" s="64"/>
      <c r="M258" s="65">
        <v>105.72</v>
      </c>
      <c r="N258" s="66">
        <f>Table16[[#This Row],[Price]]/Table16[[#This Row],[Area (sq. in)]]*144</f>
        <v>36.376774193548385</v>
      </c>
      <c r="U258">
        <v>2023</v>
      </c>
      <c r="V258" t="s">
        <v>3131</v>
      </c>
      <c r="W258" t="s">
        <v>99</v>
      </c>
      <c r="X258" s="64" t="s">
        <v>1804</v>
      </c>
      <c r="Y258" t="s">
        <v>72</v>
      </c>
      <c r="Z258" t="s">
        <v>72</v>
      </c>
    </row>
    <row r="259" spans="1:26" x14ac:dyDescent="0.2">
      <c r="A259" t="s">
        <v>1328</v>
      </c>
      <c r="B259" t="s">
        <v>3398</v>
      </c>
      <c r="D259" s="64"/>
      <c r="E259" s="64" t="s">
        <v>1829</v>
      </c>
      <c r="F259" s="64" t="s">
        <v>1331</v>
      </c>
      <c r="G259" s="64">
        <v>0.51</v>
      </c>
      <c r="H259" s="64">
        <v>0.61</v>
      </c>
      <c r="I259" s="64" t="s">
        <v>3317</v>
      </c>
      <c r="J259" s="64">
        <v>690.5625</v>
      </c>
      <c r="K259" s="64" t="s">
        <v>1332</v>
      </c>
      <c r="L259" s="64" t="s">
        <v>917</v>
      </c>
      <c r="M259" s="65">
        <v>101.28</v>
      </c>
      <c r="N259" s="66">
        <f>Table16[[#This Row],[Price]]/Table16[[#This Row],[Area (sq. in)]]*144</f>
        <v>21.119478685853924</v>
      </c>
      <c r="O259">
        <v>2.8</v>
      </c>
      <c r="P259" s="39">
        <v>301</v>
      </c>
      <c r="Q259" s="66">
        <v>623</v>
      </c>
      <c r="R259">
        <v>1.2</v>
      </c>
      <c r="S259" s="39">
        <v>136</v>
      </c>
      <c r="U259">
        <v>2023</v>
      </c>
      <c r="V259" t="s">
        <v>3081</v>
      </c>
      <c r="W259" t="s">
        <v>338</v>
      </c>
      <c r="X259" s="64"/>
      <c r="Y259" t="s">
        <v>72</v>
      </c>
      <c r="Z259" t="s">
        <v>72</v>
      </c>
    </row>
    <row r="260" spans="1:26" x14ac:dyDescent="0.2">
      <c r="A260" t="s">
        <v>1328</v>
      </c>
      <c r="B260" t="s">
        <v>3398</v>
      </c>
      <c r="D260" s="64"/>
      <c r="E260" s="64" t="s">
        <v>1829</v>
      </c>
      <c r="F260" s="64" t="s">
        <v>1331</v>
      </c>
      <c r="G260" s="64">
        <v>0.51</v>
      </c>
      <c r="H260" s="64">
        <v>0.65</v>
      </c>
      <c r="I260" s="64" t="s">
        <v>3316</v>
      </c>
      <c r="J260" s="64">
        <v>432</v>
      </c>
      <c r="K260" s="64" t="s">
        <v>1332</v>
      </c>
      <c r="L260" s="64" t="s">
        <v>917</v>
      </c>
      <c r="M260" s="65">
        <v>100.5</v>
      </c>
      <c r="N260" s="66">
        <f>Table16[[#This Row],[Price]]/Table16[[#This Row],[Area (sq. in)]]*144</f>
        <v>33.5</v>
      </c>
      <c r="O260">
        <v>2.8</v>
      </c>
      <c r="P260" s="39">
        <v>289</v>
      </c>
      <c r="Q260" s="66">
        <v>609</v>
      </c>
      <c r="R260">
        <v>1.2</v>
      </c>
      <c r="S260" s="39">
        <v>131</v>
      </c>
      <c r="U260">
        <v>2023</v>
      </c>
      <c r="V260" t="s">
        <v>3083</v>
      </c>
      <c r="W260" t="s">
        <v>338</v>
      </c>
      <c r="X260" s="64"/>
      <c r="Y260" t="s">
        <v>72</v>
      </c>
      <c r="Z260" t="s">
        <v>72</v>
      </c>
    </row>
    <row r="261" spans="1:26" hidden="1" x14ac:dyDescent="0.2">
      <c r="A261" t="s">
        <v>1328</v>
      </c>
      <c r="B261" t="s">
        <v>3433</v>
      </c>
      <c r="D261" s="64" t="s">
        <v>1338</v>
      </c>
      <c r="E261" s="64" t="s">
        <v>1809</v>
      </c>
      <c r="F261" s="64" t="s">
        <v>1331</v>
      </c>
      <c r="G261" s="64">
        <v>0.5</v>
      </c>
      <c r="H261" s="64">
        <v>0.5</v>
      </c>
      <c r="I261" s="64" t="s">
        <v>3384</v>
      </c>
      <c r="J261" s="64">
        <v>540.5625</v>
      </c>
      <c r="K261" s="64" t="s">
        <v>1453</v>
      </c>
      <c r="L261" s="64"/>
      <c r="M261" s="65">
        <v>98.21</v>
      </c>
      <c r="N261" s="66">
        <f>Table16[[#This Row],[Price]]/Table16[[#This Row],[Area (sq. in)]]*144</f>
        <v>26.162081165452651</v>
      </c>
      <c r="U261">
        <v>2023</v>
      </c>
      <c r="V261" t="s">
        <v>3250</v>
      </c>
      <c r="W261" t="s">
        <v>99</v>
      </c>
      <c r="X261" s="4" t="s">
        <v>1810</v>
      </c>
      <c r="Y261" t="s">
        <v>72</v>
      </c>
      <c r="Z261" t="s">
        <v>72</v>
      </c>
    </row>
    <row r="262" spans="1:26" hidden="1" x14ac:dyDescent="0.2">
      <c r="A262" t="s">
        <v>1328</v>
      </c>
      <c r="B262" t="s">
        <v>3433</v>
      </c>
      <c r="D262" s="64" t="s">
        <v>1702</v>
      </c>
      <c r="E262" s="64" t="s">
        <v>1811</v>
      </c>
      <c r="F262" s="64" t="s">
        <v>1331</v>
      </c>
      <c r="G262" s="64">
        <v>0.55000000000000004</v>
      </c>
      <c r="H262" s="64">
        <v>0.68</v>
      </c>
      <c r="I262" s="64" t="s">
        <v>3380</v>
      </c>
      <c r="J262" s="64">
        <v>356.5</v>
      </c>
      <c r="K262" s="64" t="s">
        <v>1453</v>
      </c>
      <c r="L262" s="64"/>
      <c r="M262" s="65">
        <v>93.71</v>
      </c>
      <c r="N262" s="66">
        <f>Table16[[#This Row],[Price]]/Table16[[#This Row],[Area (sq. in)]]*144</f>
        <v>37.852005610098175</v>
      </c>
      <c r="U262">
        <v>2023</v>
      </c>
      <c r="V262" t="s">
        <v>3110</v>
      </c>
      <c r="W262" t="s">
        <v>99</v>
      </c>
      <c r="X262" s="4" t="s">
        <v>1812</v>
      </c>
      <c r="Y262" t="s">
        <v>72</v>
      </c>
      <c r="Z262" t="s">
        <v>72</v>
      </c>
    </row>
    <row r="263" spans="1:26" hidden="1" x14ac:dyDescent="0.2">
      <c r="A263" t="s">
        <v>1328</v>
      </c>
      <c r="B263" t="s">
        <v>3433</v>
      </c>
      <c r="D263" s="64" t="s">
        <v>1702</v>
      </c>
      <c r="E263" s="64" t="s">
        <v>1815</v>
      </c>
      <c r="F263" s="64" t="s">
        <v>1331</v>
      </c>
      <c r="G263" s="64">
        <v>0.55000000000000004</v>
      </c>
      <c r="H263" s="64">
        <v>0.68</v>
      </c>
      <c r="I263" s="64" t="s">
        <v>3378</v>
      </c>
      <c r="J263" s="64">
        <v>418.5</v>
      </c>
      <c r="K263" s="64" t="s">
        <v>1453</v>
      </c>
      <c r="L263" s="64"/>
      <c r="M263" s="65">
        <v>92.69</v>
      </c>
      <c r="N263" s="66">
        <f>Table16[[#This Row],[Price]]/Table16[[#This Row],[Area (sq. in)]]*144</f>
        <v>31.893333333333331</v>
      </c>
      <c r="U263">
        <v>2023</v>
      </c>
      <c r="V263" t="s">
        <v>3145</v>
      </c>
      <c r="W263" t="s">
        <v>99</v>
      </c>
      <c r="X263" s="4" t="s">
        <v>1816</v>
      </c>
      <c r="Y263" t="s">
        <v>72</v>
      </c>
      <c r="Z263" t="s">
        <v>72</v>
      </c>
    </row>
    <row r="264" spans="1:26" x14ac:dyDescent="0.2">
      <c r="A264" t="s">
        <v>1328</v>
      </c>
      <c r="B264" t="s">
        <v>3398</v>
      </c>
      <c r="D264" s="64"/>
      <c r="E264" s="64" t="s">
        <v>1829</v>
      </c>
      <c r="F264" s="64" t="s">
        <v>1331</v>
      </c>
      <c r="G264" s="64">
        <v>0.51</v>
      </c>
      <c r="H264" s="64">
        <v>0.65</v>
      </c>
      <c r="I264" s="64" t="s">
        <v>3314</v>
      </c>
      <c r="J264" s="64">
        <v>563.5625</v>
      </c>
      <c r="K264" s="64" t="s">
        <v>1332</v>
      </c>
      <c r="L264" s="64" t="s">
        <v>917</v>
      </c>
      <c r="M264" s="65">
        <v>88.7</v>
      </c>
      <c r="N264" s="66">
        <f>Table16[[#This Row],[Price]]/Table16[[#This Row],[Area (sq. in)]]*144</f>
        <v>22.664389486525451</v>
      </c>
      <c r="O264">
        <v>2.8</v>
      </c>
      <c r="P264" s="39">
        <v>272</v>
      </c>
      <c r="Q264" s="66">
        <v>589</v>
      </c>
      <c r="R264">
        <v>1.2</v>
      </c>
      <c r="S264" s="39">
        <v>124</v>
      </c>
      <c r="U264">
        <v>2023</v>
      </c>
      <c r="V264" t="s">
        <v>3081</v>
      </c>
      <c r="W264" t="s">
        <v>338</v>
      </c>
      <c r="X264" s="64"/>
      <c r="Y264" t="s">
        <v>72</v>
      </c>
      <c r="Z264" t="s">
        <v>72</v>
      </c>
    </row>
    <row r="265" spans="1:26" x14ac:dyDescent="0.2">
      <c r="A265" t="s">
        <v>1328</v>
      </c>
      <c r="B265" t="s">
        <v>3398</v>
      </c>
      <c r="D265" s="64"/>
      <c r="E265" s="64" t="s">
        <v>1829</v>
      </c>
      <c r="F265" s="64" t="s">
        <v>1331</v>
      </c>
      <c r="G265" s="64">
        <v>0.51</v>
      </c>
      <c r="H265" s="64">
        <v>0.65</v>
      </c>
      <c r="I265" s="64" t="s">
        <v>3319</v>
      </c>
      <c r="J265" s="64">
        <v>436.5625</v>
      </c>
      <c r="K265" s="64" t="s">
        <v>1332</v>
      </c>
      <c r="L265" s="64" t="s">
        <v>917</v>
      </c>
      <c r="M265" s="65">
        <v>87.89</v>
      </c>
      <c r="N265" s="66">
        <f>Table16[[#This Row],[Price]]/Table16[[#This Row],[Area (sq. in)]]*144</f>
        <v>28.990488188976379</v>
      </c>
      <c r="O265">
        <v>2.8</v>
      </c>
      <c r="P265" s="39">
        <v>268</v>
      </c>
      <c r="Q265" s="66">
        <v>584</v>
      </c>
      <c r="R265">
        <v>1.2</v>
      </c>
      <c r="S265" s="39">
        <v>122</v>
      </c>
      <c r="U265">
        <v>2023</v>
      </c>
      <c r="V265" t="s">
        <v>3081</v>
      </c>
      <c r="W265" t="s">
        <v>338</v>
      </c>
      <c r="X265" s="64"/>
      <c r="Y265" t="s">
        <v>72</v>
      </c>
      <c r="Z265" t="s">
        <v>72</v>
      </c>
    </row>
    <row r="266" spans="1:26" x14ac:dyDescent="0.2">
      <c r="A266" t="s">
        <v>1328</v>
      </c>
      <c r="B266" t="s">
        <v>3398</v>
      </c>
      <c r="D266" s="64"/>
      <c r="E266" s="64" t="s">
        <v>1829</v>
      </c>
      <c r="F266" s="64" t="s">
        <v>1331</v>
      </c>
      <c r="G266" s="64">
        <v>0.51</v>
      </c>
      <c r="H266" s="64">
        <v>0.65</v>
      </c>
      <c r="I266" s="64" t="s">
        <v>3313</v>
      </c>
      <c r="J266" s="64">
        <v>500.0625</v>
      </c>
      <c r="K266" s="64" t="s">
        <v>1332</v>
      </c>
      <c r="L266" s="64" t="s">
        <v>917</v>
      </c>
      <c r="M266" s="65">
        <v>83.4</v>
      </c>
      <c r="N266" s="66">
        <f>Table16[[#This Row],[Price]]/Table16[[#This Row],[Area (sq. in)]]*144</f>
        <v>24.016197975253096</v>
      </c>
      <c r="O266">
        <v>2.8</v>
      </c>
      <c r="P266" s="39">
        <v>267</v>
      </c>
      <c r="Q266" s="66">
        <v>583</v>
      </c>
      <c r="R266">
        <v>1.2</v>
      </c>
      <c r="S266" s="39">
        <v>121</v>
      </c>
      <c r="U266">
        <v>2023</v>
      </c>
      <c r="V266" t="s">
        <v>3081</v>
      </c>
      <c r="W266" t="s">
        <v>338</v>
      </c>
      <c r="X266" s="64"/>
      <c r="Y266" t="s">
        <v>72</v>
      </c>
      <c r="Z266" t="s">
        <v>72</v>
      </c>
    </row>
    <row r="267" spans="1:26" hidden="1" x14ac:dyDescent="0.2">
      <c r="A267" t="s">
        <v>1328</v>
      </c>
      <c r="B267" t="s">
        <v>3431</v>
      </c>
      <c r="D267" s="64"/>
      <c r="E267" s="64" t="s">
        <v>1829</v>
      </c>
      <c r="F267" s="64" t="s">
        <v>1331</v>
      </c>
      <c r="G267" s="64">
        <v>0.24</v>
      </c>
      <c r="H267" s="64">
        <v>0.19</v>
      </c>
      <c r="I267" s="64" t="s">
        <v>3365</v>
      </c>
      <c r="J267" s="64">
        <v>480</v>
      </c>
      <c r="K267" s="64" t="s">
        <v>1394</v>
      </c>
      <c r="L267" s="64" t="s">
        <v>991</v>
      </c>
      <c r="M267" s="65">
        <v>478</v>
      </c>
      <c r="N267" s="66">
        <f>Table16[[#This Row],[Price]]/Table16[[#This Row],[Area (sq. in)]]*144</f>
        <v>143.4</v>
      </c>
      <c r="O267">
        <v>2.8</v>
      </c>
      <c r="P267" s="39">
        <v>250</v>
      </c>
      <c r="Q267" s="66">
        <v>563</v>
      </c>
      <c r="R267">
        <v>1.2</v>
      </c>
      <c r="S267" s="39">
        <v>114</v>
      </c>
      <c r="U267">
        <v>2023</v>
      </c>
      <c r="V267" t="s">
        <v>3200</v>
      </c>
      <c r="W267" t="s">
        <v>338</v>
      </c>
      <c r="X267" s="64"/>
      <c r="Y267" t="s">
        <v>72</v>
      </c>
      <c r="Z267" t="s">
        <v>72</v>
      </c>
    </row>
    <row r="268" spans="1:26" hidden="1" x14ac:dyDescent="0.2">
      <c r="A268" t="s">
        <v>1328</v>
      </c>
      <c r="B268" t="s">
        <v>5516</v>
      </c>
      <c r="D268" s="64"/>
      <c r="E268" s="64"/>
      <c r="F268" s="64"/>
      <c r="G268" s="64"/>
      <c r="H268" s="64"/>
      <c r="I268" s="64"/>
      <c r="J268" s="64">
        <f>24*41</f>
        <v>984</v>
      </c>
      <c r="K268" s="64"/>
      <c r="L268" s="64"/>
      <c r="M268" s="65">
        <v>159</v>
      </c>
      <c r="N268" s="66">
        <f>Table16[[#This Row],[Price]]/Table16[[#This Row],[Area (sq. in)]]*144</f>
        <v>23.26829268292683</v>
      </c>
      <c r="O268">
        <v>0.53300000000000003</v>
      </c>
      <c r="P268" s="39">
        <v>33.5</v>
      </c>
      <c r="U268">
        <v>2023</v>
      </c>
      <c r="W268" t="s">
        <v>70</v>
      </c>
      <c r="X268" s="64"/>
    </row>
    <row r="269" spans="1:26" hidden="1" x14ac:dyDescent="0.2">
      <c r="A269" t="s">
        <v>1328</v>
      </c>
      <c r="B269" t="s">
        <v>5516</v>
      </c>
      <c r="D269" s="64"/>
      <c r="E269" s="64"/>
      <c r="F269" s="64"/>
      <c r="G269" s="64"/>
      <c r="H269" s="64"/>
      <c r="I269" s="64"/>
      <c r="J269" s="64">
        <f>30*60</f>
        <v>1800</v>
      </c>
      <c r="K269" s="64"/>
      <c r="L269" s="64"/>
      <c r="M269" s="65">
        <v>232</v>
      </c>
      <c r="N269" s="66">
        <f>Table16[[#This Row],[Price]]/Table16[[#This Row],[Area (sq. in)]]*144</f>
        <v>18.559999999999999</v>
      </c>
      <c r="O269">
        <v>0.53300000000000003</v>
      </c>
      <c r="P269" s="39">
        <v>33.5</v>
      </c>
      <c r="U269">
        <v>2023</v>
      </c>
      <c r="W269" t="s">
        <v>70</v>
      </c>
      <c r="X269" s="64"/>
    </row>
    <row r="270" spans="1:26" hidden="1" x14ac:dyDescent="0.2">
      <c r="A270" t="s">
        <v>1328</v>
      </c>
      <c r="B270" t="s">
        <v>5516</v>
      </c>
      <c r="D270" s="64"/>
      <c r="E270" s="64"/>
      <c r="F270" s="64"/>
      <c r="G270" s="64"/>
      <c r="H270" s="64"/>
      <c r="I270" s="64"/>
      <c r="J270" s="64">
        <f>48*72</f>
        <v>3456</v>
      </c>
      <c r="K270" s="64"/>
      <c r="L270" s="64"/>
      <c r="M270" s="65">
        <v>410</v>
      </c>
      <c r="N270" s="66">
        <f>Table16[[#This Row],[Price]]/Table16[[#This Row],[Area (sq. in)]]*144</f>
        <v>17.083333333333332</v>
      </c>
      <c r="O270">
        <v>0.53300000000000003</v>
      </c>
      <c r="P270" s="39">
        <v>33.5</v>
      </c>
      <c r="U270">
        <v>2023</v>
      </c>
      <c r="W270" t="s">
        <v>70</v>
      </c>
      <c r="X270" s="64"/>
    </row>
    <row r="271" spans="1:26" hidden="1" x14ac:dyDescent="0.2">
      <c r="A271" t="s">
        <v>1328</v>
      </c>
      <c r="B271" t="s">
        <v>5516</v>
      </c>
      <c r="D271" s="64"/>
      <c r="E271" s="64"/>
      <c r="F271" s="64"/>
      <c r="G271" s="64"/>
      <c r="H271" s="64"/>
      <c r="I271" s="64"/>
      <c r="J271" s="64">
        <f>24*41</f>
        <v>984</v>
      </c>
      <c r="K271" s="64"/>
      <c r="L271" s="64"/>
      <c r="M271" s="65">
        <v>195</v>
      </c>
      <c r="N271" s="66">
        <f>Table16[[#This Row],[Price]]/Table16[[#This Row],[Area (sq. in)]]*144</f>
        <v>28.536585365853661</v>
      </c>
      <c r="O271">
        <v>0.53300000000000003</v>
      </c>
      <c r="P271" s="39">
        <v>33.5</v>
      </c>
      <c r="U271">
        <v>2023</v>
      </c>
      <c r="W271" t="s">
        <v>70</v>
      </c>
      <c r="X271" s="64"/>
    </row>
    <row r="272" spans="1:26" hidden="1" x14ac:dyDescent="0.2">
      <c r="A272" t="s">
        <v>1328</v>
      </c>
      <c r="B272" t="s">
        <v>5516</v>
      </c>
      <c r="D272" s="64"/>
      <c r="E272" s="64"/>
      <c r="F272" s="64"/>
      <c r="G272" s="64"/>
      <c r="H272" s="64"/>
      <c r="I272" s="64"/>
      <c r="J272" s="64">
        <f>30*60</f>
        <v>1800</v>
      </c>
      <c r="K272" s="64"/>
      <c r="L272" s="64"/>
      <c r="M272" s="65">
        <v>330</v>
      </c>
      <c r="N272" s="66">
        <f>Table16[[#This Row],[Price]]/Table16[[#This Row],[Area (sq. in)]]*144</f>
        <v>26.4</v>
      </c>
      <c r="O272">
        <v>0.57099999999999995</v>
      </c>
      <c r="P272" s="39">
        <v>36</v>
      </c>
      <c r="U272">
        <v>2023</v>
      </c>
      <c r="W272" t="s">
        <v>70</v>
      </c>
      <c r="X272" s="64"/>
    </row>
    <row r="273" spans="1:24" hidden="1" x14ac:dyDescent="0.2">
      <c r="A273" t="s">
        <v>1328</v>
      </c>
      <c r="B273" t="s">
        <v>5516</v>
      </c>
      <c r="D273" s="64"/>
      <c r="E273" s="64"/>
      <c r="F273" s="64"/>
      <c r="G273" s="64"/>
      <c r="H273" s="64"/>
      <c r="I273" s="64"/>
      <c r="J273" s="64">
        <f>48*72</f>
        <v>3456</v>
      </c>
      <c r="K273" s="64"/>
      <c r="L273" s="64"/>
      <c r="M273" s="65">
        <v>505</v>
      </c>
      <c r="N273" s="66">
        <f>Table16[[#This Row],[Price]]/Table16[[#This Row],[Area (sq. in)]]*144</f>
        <v>21.041666666666664</v>
      </c>
      <c r="O273">
        <v>0.64</v>
      </c>
      <c r="P273" s="39">
        <v>40.5</v>
      </c>
      <c r="U273">
        <v>2023</v>
      </c>
      <c r="W273" t="s">
        <v>70</v>
      </c>
      <c r="X273" s="64"/>
    </row>
    <row r="274" spans="1:24" hidden="1" x14ac:dyDescent="0.2">
      <c r="A274" t="s">
        <v>1328</v>
      </c>
      <c r="B274" t="s">
        <v>5516</v>
      </c>
      <c r="D274" s="64"/>
      <c r="E274" s="64"/>
      <c r="F274" s="64"/>
      <c r="G274" s="64"/>
      <c r="H274" s="64"/>
      <c r="I274" s="64"/>
      <c r="J274" s="64">
        <f>24*41</f>
        <v>984</v>
      </c>
      <c r="K274" s="64"/>
      <c r="L274" s="64"/>
      <c r="M274" s="65">
        <v>176</v>
      </c>
      <c r="N274" s="66">
        <f>Table16[[#This Row],[Price]]/Table16[[#This Row],[Area (sq. in)]]*144</f>
        <v>25.756097560975611</v>
      </c>
      <c r="O274">
        <v>0.53300000000000003</v>
      </c>
      <c r="P274" s="39">
        <v>33.5</v>
      </c>
      <c r="U274">
        <v>2023</v>
      </c>
      <c r="W274" t="s">
        <v>70</v>
      </c>
      <c r="X274" s="64"/>
    </row>
    <row r="275" spans="1:24" hidden="1" x14ac:dyDescent="0.2">
      <c r="A275" t="s">
        <v>1328</v>
      </c>
      <c r="B275" t="s">
        <v>5516</v>
      </c>
      <c r="D275" s="64"/>
      <c r="E275" s="64"/>
      <c r="F275" s="64"/>
      <c r="G275" s="64"/>
      <c r="H275" s="64"/>
      <c r="I275" s="64"/>
      <c r="J275" s="64">
        <f>30*60</f>
        <v>1800</v>
      </c>
      <c r="K275" s="64"/>
      <c r="L275" s="64"/>
      <c r="M275" s="65">
        <v>219</v>
      </c>
      <c r="N275" s="66">
        <f>Table16[[#This Row],[Price]]/Table16[[#This Row],[Area (sq. in)]]*144</f>
        <v>17.52</v>
      </c>
      <c r="O275">
        <v>0.57099999999999995</v>
      </c>
      <c r="P275" s="39">
        <v>36</v>
      </c>
      <c r="U275">
        <v>2023</v>
      </c>
      <c r="W275" t="s">
        <v>70</v>
      </c>
      <c r="X275" s="64"/>
    </row>
    <row r="276" spans="1:24" hidden="1" x14ac:dyDescent="0.2">
      <c r="A276" t="s">
        <v>1328</v>
      </c>
      <c r="B276" t="s">
        <v>5516</v>
      </c>
      <c r="D276" s="64"/>
      <c r="E276" s="64"/>
      <c r="F276" s="64"/>
      <c r="G276" s="64"/>
      <c r="H276" s="64"/>
      <c r="I276" s="64"/>
      <c r="J276" s="64">
        <f>48*72</f>
        <v>3456</v>
      </c>
      <c r="K276" s="64"/>
      <c r="L276" s="64"/>
      <c r="M276" s="65">
        <v>225</v>
      </c>
      <c r="N276" s="66">
        <f>Table16[[#This Row],[Price]]/Table16[[#This Row],[Area (sq. in)]]*144</f>
        <v>9.375</v>
      </c>
      <c r="O276">
        <v>0.64</v>
      </c>
      <c r="P276" s="39">
        <v>40.5</v>
      </c>
      <c r="U276">
        <v>2023</v>
      </c>
      <c r="W276" t="s">
        <v>70</v>
      </c>
      <c r="X276" s="64"/>
    </row>
    <row r="277" spans="1:24" hidden="1" x14ac:dyDescent="0.2">
      <c r="A277" t="s">
        <v>1328</v>
      </c>
      <c r="B277" t="s">
        <v>5516</v>
      </c>
      <c r="D277" s="64"/>
      <c r="E277" s="64"/>
      <c r="F277" s="64"/>
      <c r="G277" s="64"/>
      <c r="H277" s="64"/>
      <c r="I277" s="64"/>
      <c r="J277" s="64">
        <f>24*41</f>
        <v>984</v>
      </c>
      <c r="K277" s="64"/>
      <c r="L277" s="64"/>
      <c r="M277" s="65">
        <v>182</v>
      </c>
      <c r="N277" s="66">
        <f>Table16[[#This Row],[Price]]/Table16[[#This Row],[Area (sq. in)]]*144</f>
        <v>26.634146341463417</v>
      </c>
      <c r="O277">
        <v>0.53300000000000003</v>
      </c>
      <c r="P277" s="39">
        <v>33.5</v>
      </c>
      <c r="U277">
        <v>2023</v>
      </c>
      <c r="W277" t="s">
        <v>70</v>
      </c>
      <c r="X277" s="64"/>
    </row>
    <row r="278" spans="1:24" hidden="1" x14ac:dyDescent="0.2">
      <c r="A278" t="s">
        <v>1328</v>
      </c>
      <c r="B278" t="s">
        <v>5516</v>
      </c>
      <c r="D278" s="64"/>
      <c r="E278" s="64"/>
      <c r="F278" s="64"/>
      <c r="G278" s="64"/>
      <c r="H278" s="64"/>
      <c r="I278" s="64"/>
      <c r="J278" s="64">
        <f>30*60</f>
        <v>1800</v>
      </c>
      <c r="K278" s="64"/>
      <c r="L278" s="64"/>
      <c r="M278" s="65">
        <v>310</v>
      </c>
      <c r="N278" s="66">
        <f>Table16[[#This Row],[Price]]/Table16[[#This Row],[Area (sq. in)]]*144</f>
        <v>24.8</v>
      </c>
      <c r="O278">
        <v>0.57099999999999995</v>
      </c>
      <c r="P278" s="39">
        <v>36</v>
      </c>
      <c r="U278">
        <v>2023</v>
      </c>
      <c r="W278" t="s">
        <v>70</v>
      </c>
      <c r="X278" s="64"/>
    </row>
    <row r="279" spans="1:24" hidden="1" x14ac:dyDescent="0.2">
      <c r="A279" t="s">
        <v>1328</v>
      </c>
      <c r="B279" t="s">
        <v>5516</v>
      </c>
      <c r="D279" s="64"/>
      <c r="E279" s="64"/>
      <c r="F279" s="64"/>
      <c r="G279" s="64"/>
      <c r="H279" s="64"/>
      <c r="I279" s="64"/>
      <c r="J279" s="64">
        <f>48*72</f>
        <v>3456</v>
      </c>
      <c r="K279" s="64"/>
      <c r="L279" s="64"/>
      <c r="M279" s="65">
        <v>204</v>
      </c>
      <c r="N279" s="66">
        <f>Table16[[#This Row],[Price]]/Table16[[#This Row],[Area (sq. in)]]*144</f>
        <v>8.5</v>
      </c>
      <c r="O279">
        <v>0.64</v>
      </c>
      <c r="P279" s="39">
        <v>40.5</v>
      </c>
      <c r="U279">
        <v>2023</v>
      </c>
      <c r="W279" t="s">
        <v>70</v>
      </c>
      <c r="X279" s="64"/>
    </row>
    <row r="280" spans="1:24" hidden="1" x14ac:dyDescent="0.2">
      <c r="A280" t="s">
        <v>1328</v>
      </c>
      <c r="B280" t="s">
        <v>5516</v>
      </c>
      <c r="D280" s="64"/>
      <c r="E280" s="64"/>
      <c r="F280" s="64"/>
      <c r="G280" s="64"/>
      <c r="H280" s="64"/>
      <c r="I280" s="64"/>
      <c r="J280" s="64">
        <f>24*41</f>
        <v>984</v>
      </c>
      <c r="K280" s="64"/>
      <c r="L280" s="64"/>
      <c r="M280" s="65">
        <v>147</v>
      </c>
      <c r="N280" s="66">
        <f>Table16[[#This Row],[Price]]/Table16[[#This Row],[Area (sq. in)]]*144</f>
        <v>21.512195121951219</v>
      </c>
      <c r="O280">
        <v>0.53300000000000003</v>
      </c>
      <c r="P280" s="39">
        <v>33.5</v>
      </c>
      <c r="U280">
        <v>2023</v>
      </c>
      <c r="W280" t="s">
        <v>70</v>
      </c>
      <c r="X280" s="64"/>
    </row>
    <row r="281" spans="1:24" hidden="1" x14ac:dyDescent="0.2">
      <c r="A281" t="s">
        <v>1328</v>
      </c>
      <c r="B281" t="s">
        <v>5516</v>
      </c>
      <c r="D281" s="64"/>
      <c r="E281" s="64"/>
      <c r="F281" s="64"/>
      <c r="G281" s="64"/>
      <c r="H281" s="64"/>
      <c r="I281" s="64"/>
      <c r="J281" s="64">
        <f>30*60</f>
        <v>1800</v>
      </c>
      <c r="K281" s="64"/>
      <c r="L281" s="64"/>
      <c r="M281" s="65">
        <v>184</v>
      </c>
      <c r="N281" s="66">
        <f>Table16[[#This Row],[Price]]/Table16[[#This Row],[Area (sq. in)]]*144</f>
        <v>14.72</v>
      </c>
      <c r="O281">
        <v>0.57099999999999995</v>
      </c>
      <c r="P281" s="39">
        <v>36</v>
      </c>
      <c r="U281">
        <v>2023</v>
      </c>
      <c r="W281" t="s">
        <v>70</v>
      </c>
      <c r="X281" s="64"/>
    </row>
    <row r="282" spans="1:24" hidden="1" x14ac:dyDescent="0.2">
      <c r="A282" t="s">
        <v>1328</v>
      </c>
      <c r="B282" t="s">
        <v>5516</v>
      </c>
      <c r="D282" s="64"/>
      <c r="E282" s="64"/>
      <c r="F282" s="64"/>
      <c r="G282" s="64"/>
      <c r="H282" s="64"/>
      <c r="I282" s="64"/>
      <c r="J282" s="64">
        <f>48*80</f>
        <v>3840</v>
      </c>
      <c r="K282" s="64"/>
      <c r="L282" s="64"/>
      <c r="M282" s="65">
        <v>232</v>
      </c>
      <c r="N282" s="66">
        <f>Table16[[#This Row],[Price]]/Table16[[#This Row],[Area (sq. in)]]*144</f>
        <v>8.6999999999999993</v>
      </c>
      <c r="O282">
        <v>0.64</v>
      </c>
      <c r="P282" s="39">
        <v>40.5</v>
      </c>
      <c r="U282">
        <v>2023</v>
      </c>
      <c r="W282" t="s">
        <v>70</v>
      </c>
      <c r="X282" s="64"/>
    </row>
    <row r="283" spans="1:24" hidden="1" x14ac:dyDescent="0.2">
      <c r="A283" t="s">
        <v>1328</v>
      </c>
      <c r="D283" s="64"/>
      <c r="E283" s="64"/>
      <c r="F283" s="64"/>
      <c r="G283" s="64"/>
      <c r="H283" s="64"/>
      <c r="I283" s="64"/>
      <c r="J283" s="64"/>
      <c r="K283" s="64"/>
      <c r="L283" s="64"/>
      <c r="M283" s="65">
        <v>1550</v>
      </c>
      <c r="N283" s="66"/>
      <c r="P283" s="39">
        <v>112</v>
      </c>
      <c r="U283">
        <v>2023</v>
      </c>
      <c r="W283" t="s">
        <v>70</v>
      </c>
      <c r="X283" s="64"/>
    </row>
    <row r="284" spans="1:24" hidden="1" x14ac:dyDescent="0.2">
      <c r="A284" t="s">
        <v>1328</v>
      </c>
      <c r="D284" s="64"/>
      <c r="E284" s="64"/>
      <c r="F284" s="64"/>
      <c r="G284" s="64"/>
      <c r="H284" s="64"/>
      <c r="I284" s="64"/>
      <c r="J284" s="64"/>
      <c r="K284" s="64"/>
      <c r="L284" s="64"/>
      <c r="M284" s="65">
        <v>1800</v>
      </c>
      <c r="N284" s="66"/>
      <c r="P284" s="39">
        <v>112</v>
      </c>
      <c r="U284">
        <v>2023</v>
      </c>
      <c r="W284" t="s">
        <v>70</v>
      </c>
      <c r="X284" s="64"/>
    </row>
    <row r="285" spans="1:24" hidden="1" x14ac:dyDescent="0.2">
      <c r="A285" t="s">
        <v>1328</v>
      </c>
      <c r="D285" s="64"/>
      <c r="E285" s="64"/>
      <c r="F285" s="64"/>
      <c r="G285" s="64"/>
      <c r="H285" s="64"/>
      <c r="I285" s="64"/>
      <c r="J285" s="64"/>
      <c r="K285" s="64"/>
      <c r="L285" s="64"/>
      <c r="M285" s="65">
        <v>2425</v>
      </c>
      <c r="N285" s="66"/>
      <c r="P285" s="39">
        <v>112</v>
      </c>
      <c r="U285">
        <v>2023</v>
      </c>
      <c r="W285" t="s">
        <v>70</v>
      </c>
      <c r="X285" s="64"/>
    </row>
    <row r="286" spans="1:24" hidden="1" x14ac:dyDescent="0.2">
      <c r="A286" t="s">
        <v>1328</v>
      </c>
      <c r="D286" s="64"/>
      <c r="E286" s="64"/>
      <c r="F286" s="64"/>
      <c r="G286" s="64"/>
      <c r="H286" s="64"/>
      <c r="I286" s="64"/>
      <c r="J286" s="64"/>
      <c r="K286" s="64"/>
      <c r="L286" s="64"/>
      <c r="M286" s="65">
        <v>2775</v>
      </c>
      <c r="N286" s="66"/>
      <c r="P286" s="39">
        <v>112</v>
      </c>
      <c r="U286">
        <v>2023</v>
      </c>
      <c r="W286" t="s">
        <v>70</v>
      </c>
      <c r="X286" s="64"/>
    </row>
    <row r="287" spans="1:24" hidden="1" x14ac:dyDescent="0.2">
      <c r="A287" t="s">
        <v>1328</v>
      </c>
      <c r="D287" s="64"/>
      <c r="E287" s="64"/>
      <c r="F287" s="64"/>
      <c r="G287" s="64"/>
      <c r="H287" s="64"/>
      <c r="I287" s="64"/>
      <c r="J287" s="64"/>
      <c r="K287" s="64"/>
      <c r="L287" s="64"/>
      <c r="M287" s="65">
        <v>310</v>
      </c>
      <c r="N287" s="66"/>
      <c r="P287" s="39">
        <v>0</v>
      </c>
      <c r="U287">
        <v>2023</v>
      </c>
      <c r="W287" t="s">
        <v>70</v>
      </c>
      <c r="X287" s="64"/>
    </row>
    <row r="288" spans="1:24" hidden="1" x14ac:dyDescent="0.2">
      <c r="A288" t="s">
        <v>1328</v>
      </c>
      <c r="D288" s="64"/>
      <c r="E288" s="64"/>
      <c r="F288" s="64"/>
      <c r="G288" s="64"/>
      <c r="H288" s="64"/>
      <c r="I288" s="64"/>
      <c r="J288" s="64"/>
      <c r="K288" s="64"/>
      <c r="L288" s="64"/>
      <c r="M288" s="65">
        <v>320</v>
      </c>
      <c r="N288" s="66"/>
      <c r="P288" s="39">
        <v>56</v>
      </c>
      <c r="U288">
        <v>2023</v>
      </c>
      <c r="W288" t="s">
        <v>70</v>
      </c>
      <c r="X288" s="64"/>
    </row>
    <row r="289" spans="1:24" hidden="1" x14ac:dyDescent="0.2">
      <c r="A289" t="s">
        <v>1328</v>
      </c>
      <c r="D289" s="64"/>
      <c r="E289" s="64"/>
      <c r="F289" s="64"/>
      <c r="G289" s="64"/>
      <c r="H289" s="64"/>
      <c r="I289" s="64"/>
      <c r="J289" s="64"/>
      <c r="K289" s="64"/>
      <c r="L289" s="64"/>
      <c r="M289" s="65">
        <v>325</v>
      </c>
      <c r="N289" s="66"/>
      <c r="P289" s="39">
        <v>56</v>
      </c>
      <c r="U289">
        <v>2023</v>
      </c>
      <c r="W289" t="s">
        <v>70</v>
      </c>
      <c r="X289" s="64"/>
    </row>
    <row r="290" spans="1:24" hidden="1" x14ac:dyDescent="0.2">
      <c r="A290" t="s">
        <v>1328</v>
      </c>
      <c r="D290" s="64"/>
      <c r="E290" s="64"/>
      <c r="F290" s="64"/>
      <c r="G290" s="64"/>
      <c r="H290" s="64"/>
      <c r="I290" s="64"/>
      <c r="J290" s="64"/>
      <c r="K290" s="64"/>
      <c r="L290" s="64"/>
      <c r="M290" s="65">
        <v>365</v>
      </c>
      <c r="N290" s="66"/>
      <c r="P290" s="39">
        <v>56</v>
      </c>
      <c r="U290">
        <v>2023</v>
      </c>
      <c r="W290" t="s">
        <v>70</v>
      </c>
      <c r="X290" s="64"/>
    </row>
    <row r="291" spans="1:24" hidden="1" x14ac:dyDescent="0.2">
      <c r="A291" t="s">
        <v>1328</v>
      </c>
      <c r="D291" s="64"/>
      <c r="E291" s="64"/>
      <c r="F291" s="64"/>
      <c r="G291" s="64"/>
      <c r="H291" s="64"/>
      <c r="I291" s="64"/>
      <c r="J291" s="64"/>
      <c r="K291" s="64"/>
      <c r="L291" s="64"/>
      <c r="M291" s="65">
        <v>345</v>
      </c>
      <c r="N291" s="66"/>
      <c r="P291" s="39">
        <v>56</v>
      </c>
      <c r="U291">
        <v>2023</v>
      </c>
      <c r="W291" t="s">
        <v>70</v>
      </c>
      <c r="X291" s="64"/>
    </row>
    <row r="292" spans="1:24" hidden="1" x14ac:dyDescent="0.2">
      <c r="A292" t="s">
        <v>1328</v>
      </c>
      <c r="D292" s="64"/>
      <c r="E292" s="64"/>
      <c r="F292" s="64"/>
      <c r="G292" s="64"/>
      <c r="H292" s="64"/>
      <c r="I292" s="64"/>
      <c r="J292" s="64"/>
      <c r="K292" s="64"/>
      <c r="L292" s="64"/>
      <c r="M292" s="65">
        <v>385</v>
      </c>
      <c r="N292" s="66"/>
      <c r="P292" s="39">
        <v>59.5</v>
      </c>
      <c r="U292">
        <v>2023</v>
      </c>
      <c r="W292" t="s">
        <v>70</v>
      </c>
      <c r="X292" s="64"/>
    </row>
    <row r="293" spans="1:24" hidden="1" x14ac:dyDescent="0.2">
      <c r="A293" t="s">
        <v>1328</v>
      </c>
      <c r="D293" s="64"/>
      <c r="E293" s="64"/>
      <c r="F293" s="64"/>
      <c r="G293" s="64"/>
      <c r="H293" s="64"/>
      <c r="I293" s="64"/>
      <c r="J293" s="64"/>
      <c r="K293" s="64"/>
      <c r="L293" s="64"/>
      <c r="M293" s="65">
        <v>360</v>
      </c>
      <c r="N293" s="66"/>
      <c r="P293" s="39">
        <v>63</v>
      </c>
      <c r="U293">
        <v>2023</v>
      </c>
      <c r="W293" t="s">
        <v>70</v>
      </c>
      <c r="X293" s="64"/>
    </row>
    <row r="294" spans="1:24" hidden="1" x14ac:dyDescent="0.2">
      <c r="A294" t="s">
        <v>1328</v>
      </c>
      <c r="D294" s="64"/>
      <c r="E294" s="64"/>
      <c r="F294" s="64"/>
      <c r="G294" s="64"/>
      <c r="H294" s="64"/>
      <c r="I294" s="64"/>
      <c r="J294" s="64"/>
      <c r="K294" s="64"/>
      <c r="L294" s="64"/>
      <c r="M294" s="65">
        <v>335</v>
      </c>
      <c r="N294" s="66"/>
      <c r="P294" s="39">
        <v>50.5</v>
      </c>
      <c r="U294">
        <v>2023</v>
      </c>
      <c r="W294" t="s">
        <v>70</v>
      </c>
      <c r="X294" s="64"/>
    </row>
    <row r="295" spans="1:24" hidden="1" x14ac:dyDescent="0.2">
      <c r="A295" t="s">
        <v>1328</v>
      </c>
      <c r="D295" s="64"/>
      <c r="E295" s="64"/>
      <c r="F295" s="64"/>
      <c r="G295" s="64"/>
      <c r="H295" s="64"/>
      <c r="I295" s="64"/>
      <c r="J295" s="64"/>
      <c r="K295" s="64"/>
      <c r="L295" s="64"/>
      <c r="M295" s="65">
        <v>385</v>
      </c>
      <c r="N295" s="66"/>
      <c r="P295" s="39">
        <v>50.5</v>
      </c>
      <c r="U295">
        <v>2023</v>
      </c>
      <c r="W295" t="s">
        <v>70</v>
      </c>
      <c r="X295" s="64"/>
    </row>
    <row r="296" spans="1:24" hidden="1" x14ac:dyDescent="0.2">
      <c r="A296" t="s">
        <v>1328</v>
      </c>
      <c r="D296" s="64"/>
      <c r="E296" s="64"/>
      <c r="F296" s="64"/>
      <c r="G296" s="64"/>
      <c r="H296" s="64"/>
      <c r="I296" s="64"/>
      <c r="J296" s="64"/>
      <c r="K296" s="64"/>
      <c r="L296" s="64"/>
      <c r="M296" s="65">
        <v>375</v>
      </c>
      <c r="N296" s="66"/>
      <c r="P296" s="39">
        <v>56</v>
      </c>
      <c r="U296">
        <v>2023</v>
      </c>
      <c r="W296" t="s">
        <v>70</v>
      </c>
      <c r="X296" s="64"/>
    </row>
    <row r="297" spans="1:24" hidden="1" x14ac:dyDescent="0.2">
      <c r="A297" t="s">
        <v>1328</v>
      </c>
      <c r="D297" s="64"/>
      <c r="E297" s="64"/>
      <c r="F297" s="64"/>
      <c r="G297" s="64"/>
      <c r="H297" s="64"/>
      <c r="I297" s="64"/>
      <c r="J297" s="64"/>
      <c r="K297" s="64"/>
      <c r="L297" s="64"/>
      <c r="M297" s="65">
        <v>395</v>
      </c>
      <c r="N297" s="66"/>
      <c r="P297" s="39">
        <v>56</v>
      </c>
      <c r="U297">
        <v>2023</v>
      </c>
      <c r="W297" t="s">
        <v>70</v>
      </c>
      <c r="X297" s="64"/>
    </row>
    <row r="298" spans="1:24" hidden="1" x14ac:dyDescent="0.2">
      <c r="A298" t="s">
        <v>1328</v>
      </c>
      <c r="D298" s="64"/>
      <c r="E298" s="64"/>
      <c r="F298" s="64"/>
      <c r="G298" s="64"/>
      <c r="H298" s="64"/>
      <c r="I298" s="64"/>
      <c r="J298" s="64"/>
      <c r="K298" s="64"/>
      <c r="L298" s="64"/>
      <c r="M298" s="65">
        <v>405</v>
      </c>
      <c r="N298" s="66"/>
      <c r="P298" s="39">
        <v>59.5</v>
      </c>
      <c r="U298">
        <v>2023</v>
      </c>
      <c r="W298" t="s">
        <v>70</v>
      </c>
      <c r="X298" s="64"/>
    </row>
    <row r="299" spans="1:24" hidden="1" x14ac:dyDescent="0.2">
      <c r="A299" t="s">
        <v>1328</v>
      </c>
      <c r="D299" s="64"/>
      <c r="E299" s="64"/>
      <c r="F299" s="64"/>
      <c r="G299" s="64"/>
      <c r="H299" s="64"/>
      <c r="I299" s="64"/>
      <c r="J299" s="64"/>
      <c r="K299" s="64"/>
      <c r="L299" s="64"/>
      <c r="M299" s="65">
        <v>440</v>
      </c>
      <c r="N299" s="66"/>
      <c r="P299" s="39">
        <v>63</v>
      </c>
      <c r="U299">
        <v>2023</v>
      </c>
      <c r="W299" t="s">
        <v>70</v>
      </c>
      <c r="X299" s="64"/>
    </row>
    <row r="300" spans="1:24" hidden="1" x14ac:dyDescent="0.2">
      <c r="A300" t="s">
        <v>1328</v>
      </c>
      <c r="D300" s="64"/>
      <c r="E300" s="64"/>
      <c r="F300" s="64"/>
      <c r="G300" s="64"/>
      <c r="H300" s="64"/>
      <c r="I300" s="64"/>
      <c r="J300" s="64"/>
      <c r="K300" s="64"/>
      <c r="L300" s="64"/>
      <c r="M300" s="65">
        <v>455</v>
      </c>
      <c r="N300" s="66"/>
      <c r="P300" s="39">
        <v>63</v>
      </c>
      <c r="U300">
        <v>2023</v>
      </c>
      <c r="W300" t="s">
        <v>70</v>
      </c>
      <c r="X300" s="64"/>
    </row>
    <row r="301" spans="1:24" hidden="1" x14ac:dyDescent="0.2">
      <c r="A301" t="s">
        <v>1328</v>
      </c>
      <c r="D301" s="64"/>
      <c r="E301" s="64"/>
      <c r="F301" s="64"/>
      <c r="G301" s="64"/>
      <c r="H301" s="64"/>
      <c r="I301" s="64"/>
      <c r="J301" s="64"/>
      <c r="K301" s="64"/>
      <c r="L301" s="64"/>
      <c r="M301" s="65">
        <v>315</v>
      </c>
      <c r="N301" s="66"/>
      <c r="P301" s="39">
        <v>63</v>
      </c>
      <c r="U301">
        <v>2023</v>
      </c>
      <c r="W301" t="s">
        <v>70</v>
      </c>
      <c r="X301" s="64"/>
    </row>
    <row r="302" spans="1:24" hidden="1" x14ac:dyDescent="0.2">
      <c r="A302" t="s">
        <v>1328</v>
      </c>
      <c r="D302" s="64"/>
      <c r="E302" s="64"/>
      <c r="F302" s="64"/>
      <c r="G302" s="64"/>
      <c r="H302" s="64"/>
      <c r="I302" s="64"/>
      <c r="J302" s="64"/>
      <c r="K302" s="64"/>
      <c r="L302" s="64"/>
      <c r="M302" s="65">
        <v>385</v>
      </c>
      <c r="N302" s="66"/>
      <c r="P302" s="39">
        <v>56</v>
      </c>
      <c r="U302">
        <v>2023</v>
      </c>
      <c r="W302" t="s">
        <v>70</v>
      </c>
      <c r="X302" s="64"/>
    </row>
    <row r="303" spans="1:24" hidden="1" x14ac:dyDescent="0.2">
      <c r="A303" t="s">
        <v>1328</v>
      </c>
      <c r="D303" s="64"/>
      <c r="E303" s="64"/>
      <c r="F303" s="64"/>
      <c r="G303" s="64"/>
      <c r="H303" s="64"/>
      <c r="I303" s="64"/>
      <c r="J303" s="64"/>
      <c r="K303" s="64"/>
      <c r="L303" s="64"/>
      <c r="M303" s="65">
        <v>340</v>
      </c>
      <c r="N303" s="66"/>
      <c r="P303" s="39">
        <v>56</v>
      </c>
      <c r="U303">
        <v>2023</v>
      </c>
      <c r="W303" t="s">
        <v>70</v>
      </c>
      <c r="X303" s="64"/>
    </row>
    <row r="304" spans="1:24" hidden="1" x14ac:dyDescent="0.2">
      <c r="A304" t="s">
        <v>1328</v>
      </c>
      <c r="D304" s="64"/>
      <c r="E304" s="64"/>
      <c r="F304" s="64"/>
      <c r="G304" s="64"/>
      <c r="H304" s="64"/>
      <c r="I304" s="64"/>
      <c r="J304" s="64"/>
      <c r="K304" s="64"/>
      <c r="L304" s="64"/>
      <c r="M304" s="65">
        <v>355</v>
      </c>
      <c r="N304" s="66"/>
      <c r="P304" s="39">
        <v>56</v>
      </c>
      <c r="U304">
        <v>2023</v>
      </c>
      <c r="W304" t="s">
        <v>70</v>
      </c>
      <c r="X304" s="64"/>
    </row>
    <row r="305" spans="1:24" hidden="1" x14ac:dyDescent="0.2">
      <c r="A305" t="s">
        <v>1328</v>
      </c>
      <c r="D305" s="64"/>
      <c r="E305" s="64"/>
      <c r="F305" s="64"/>
      <c r="G305" s="64"/>
      <c r="H305" s="64"/>
      <c r="I305" s="64"/>
      <c r="J305" s="64"/>
      <c r="K305" s="64"/>
      <c r="L305" s="64"/>
      <c r="M305" s="65">
        <v>400</v>
      </c>
      <c r="N305" s="66"/>
      <c r="P305" s="39">
        <v>56</v>
      </c>
      <c r="U305">
        <v>2023</v>
      </c>
      <c r="W305" t="s">
        <v>70</v>
      </c>
      <c r="X305" s="64"/>
    </row>
    <row r="306" spans="1:24" hidden="1" x14ac:dyDescent="0.2">
      <c r="A306" t="s">
        <v>1328</v>
      </c>
      <c r="D306" s="64"/>
      <c r="E306" s="64"/>
      <c r="F306" s="64"/>
      <c r="G306" s="64"/>
      <c r="H306" s="64"/>
      <c r="I306" s="64"/>
      <c r="J306" s="64"/>
      <c r="K306" s="64"/>
      <c r="L306" s="64"/>
      <c r="M306" s="65">
        <v>370</v>
      </c>
      <c r="N306" s="66"/>
      <c r="P306" s="39">
        <v>59.5</v>
      </c>
      <c r="U306">
        <v>2023</v>
      </c>
      <c r="W306" t="s">
        <v>70</v>
      </c>
      <c r="X306" s="64"/>
    </row>
    <row r="307" spans="1:24" hidden="1" x14ac:dyDescent="0.2">
      <c r="A307" t="s">
        <v>1328</v>
      </c>
      <c r="D307" s="64"/>
      <c r="E307" s="64"/>
      <c r="F307" s="64"/>
      <c r="G307" s="64"/>
      <c r="H307" s="64"/>
      <c r="I307" s="64"/>
      <c r="J307" s="64"/>
      <c r="K307" s="64"/>
      <c r="L307" s="64"/>
      <c r="M307" s="65">
        <v>470</v>
      </c>
      <c r="N307" s="66"/>
      <c r="P307" s="39">
        <v>63</v>
      </c>
      <c r="U307">
        <v>2023</v>
      </c>
      <c r="W307" t="s">
        <v>70</v>
      </c>
      <c r="X307" s="64"/>
    </row>
    <row r="308" spans="1:24" hidden="1" x14ac:dyDescent="0.2">
      <c r="A308" t="s">
        <v>1328</v>
      </c>
      <c r="D308" s="64"/>
      <c r="E308" s="64"/>
      <c r="F308" s="64"/>
      <c r="G308" s="64"/>
      <c r="H308" s="64"/>
      <c r="I308" s="64"/>
      <c r="J308" s="64"/>
      <c r="K308" s="64"/>
      <c r="L308" s="64"/>
      <c r="M308" s="65">
        <v>440</v>
      </c>
      <c r="N308" s="66"/>
      <c r="P308" s="39">
        <v>63</v>
      </c>
      <c r="U308">
        <v>2023</v>
      </c>
      <c r="W308" t="s">
        <v>70</v>
      </c>
      <c r="X308" s="64"/>
    </row>
    <row r="309" spans="1:24" hidden="1" x14ac:dyDescent="0.2">
      <c r="A309" t="s">
        <v>1328</v>
      </c>
      <c r="D309" s="64"/>
      <c r="E309" s="64"/>
      <c r="F309" s="64"/>
      <c r="G309" s="64"/>
      <c r="H309" s="64"/>
      <c r="I309" s="64"/>
      <c r="J309" s="64"/>
      <c r="K309" s="64"/>
      <c r="L309" s="64"/>
      <c r="M309" s="65">
        <v>345</v>
      </c>
      <c r="N309" s="66"/>
      <c r="P309" s="39">
        <v>63</v>
      </c>
      <c r="U309">
        <v>2023</v>
      </c>
      <c r="W309" t="s">
        <v>70</v>
      </c>
      <c r="X309" s="64"/>
    </row>
    <row r="310" spans="1:24" hidden="1" x14ac:dyDescent="0.2">
      <c r="A310" t="s">
        <v>1328</v>
      </c>
      <c r="D310" s="64"/>
      <c r="E310" s="64"/>
      <c r="F310" s="64"/>
      <c r="G310" s="64"/>
      <c r="H310" s="64"/>
      <c r="I310" s="64"/>
      <c r="J310" s="64"/>
      <c r="K310" s="64"/>
      <c r="L310" s="64"/>
      <c r="M310" s="65">
        <v>390</v>
      </c>
      <c r="N310" s="66"/>
      <c r="P310" s="39">
        <v>50.5</v>
      </c>
      <c r="U310">
        <v>2023</v>
      </c>
      <c r="W310" t="s">
        <v>70</v>
      </c>
      <c r="X310" s="64"/>
    </row>
    <row r="311" spans="1:24" hidden="1" x14ac:dyDescent="0.2">
      <c r="A311" t="s">
        <v>1328</v>
      </c>
      <c r="D311" s="64"/>
      <c r="E311" s="64"/>
      <c r="F311" s="64"/>
      <c r="G311" s="64"/>
      <c r="H311" s="64"/>
      <c r="I311" s="64"/>
      <c r="J311" s="64"/>
      <c r="K311" s="64"/>
      <c r="L311" s="64"/>
      <c r="M311" s="65">
        <v>340</v>
      </c>
      <c r="N311" s="66"/>
      <c r="P311" s="39">
        <v>50.5</v>
      </c>
      <c r="U311">
        <v>2023</v>
      </c>
      <c r="W311" t="s">
        <v>70</v>
      </c>
      <c r="X311" s="64"/>
    </row>
    <row r="312" spans="1:24" hidden="1" x14ac:dyDescent="0.2">
      <c r="A312" t="s">
        <v>1328</v>
      </c>
      <c r="D312" s="64"/>
      <c r="E312" s="64"/>
      <c r="F312" s="64"/>
      <c r="G312" s="64"/>
      <c r="H312" s="64"/>
      <c r="I312" s="64"/>
      <c r="J312" s="64"/>
      <c r="K312" s="64"/>
      <c r="L312" s="64"/>
      <c r="M312" s="65">
        <v>375</v>
      </c>
      <c r="N312" s="66"/>
      <c r="P312" s="39">
        <v>50.5</v>
      </c>
      <c r="U312">
        <v>2023</v>
      </c>
      <c r="W312" t="s">
        <v>70</v>
      </c>
      <c r="X312" s="64"/>
    </row>
    <row r="313" spans="1:24" hidden="1" x14ac:dyDescent="0.2">
      <c r="A313" t="s">
        <v>1328</v>
      </c>
      <c r="D313" s="64"/>
      <c r="E313" s="64"/>
      <c r="F313" s="64"/>
      <c r="G313" s="64"/>
      <c r="H313" s="64"/>
      <c r="I313" s="64"/>
      <c r="J313" s="64"/>
      <c r="K313" s="64"/>
      <c r="L313" s="64"/>
      <c r="M313" s="65">
        <v>375</v>
      </c>
      <c r="N313" s="66"/>
      <c r="P313" s="39">
        <v>56</v>
      </c>
      <c r="U313">
        <v>2023</v>
      </c>
      <c r="W313" t="s">
        <v>70</v>
      </c>
      <c r="X313" s="64"/>
    </row>
    <row r="314" spans="1:24" hidden="1" x14ac:dyDescent="0.2">
      <c r="A314" t="s">
        <v>1328</v>
      </c>
      <c r="D314" s="64"/>
      <c r="E314" s="64"/>
      <c r="F314" s="64"/>
      <c r="G314" s="64"/>
      <c r="H314" s="64"/>
      <c r="I314" s="64"/>
      <c r="J314" s="64"/>
      <c r="K314" s="64"/>
      <c r="L314" s="64"/>
      <c r="M314" s="65">
        <v>395</v>
      </c>
      <c r="N314" s="66"/>
      <c r="P314" s="39">
        <v>59.5</v>
      </c>
      <c r="U314">
        <v>2023</v>
      </c>
      <c r="W314" t="s">
        <v>70</v>
      </c>
      <c r="X314" s="64"/>
    </row>
    <row r="315" spans="1:24" hidden="1" x14ac:dyDescent="0.2">
      <c r="A315" t="s">
        <v>1328</v>
      </c>
      <c r="D315" s="64"/>
      <c r="E315" s="64"/>
      <c r="F315" s="64"/>
      <c r="G315" s="64"/>
      <c r="H315" s="64"/>
      <c r="I315" s="64"/>
      <c r="J315" s="64"/>
      <c r="K315" s="64"/>
      <c r="L315" s="64"/>
      <c r="M315" s="65">
        <v>525</v>
      </c>
      <c r="N315" s="66"/>
      <c r="P315" s="39">
        <v>63</v>
      </c>
      <c r="U315">
        <v>2023</v>
      </c>
      <c r="W315" t="s">
        <v>70</v>
      </c>
      <c r="X315" s="64"/>
    </row>
    <row r="316" spans="1:24" hidden="1" x14ac:dyDescent="0.2">
      <c r="A316" t="s">
        <v>1328</v>
      </c>
      <c r="D316" s="64"/>
      <c r="E316" s="64"/>
      <c r="F316" s="64"/>
      <c r="G316" s="64"/>
      <c r="H316" s="64"/>
      <c r="I316" s="64"/>
      <c r="J316" s="64"/>
      <c r="K316" s="64"/>
      <c r="L316" s="64"/>
      <c r="M316" s="65">
        <v>500</v>
      </c>
      <c r="N316" s="66"/>
      <c r="P316" s="39">
        <v>63</v>
      </c>
      <c r="U316">
        <v>2023</v>
      </c>
      <c r="W316" t="s">
        <v>70</v>
      </c>
      <c r="X316" s="64"/>
    </row>
    <row r="317" spans="1:24" hidden="1" x14ac:dyDescent="0.2">
      <c r="A317" t="s">
        <v>1328</v>
      </c>
      <c r="D317" s="64"/>
      <c r="E317" s="64"/>
      <c r="F317" s="64"/>
      <c r="G317" s="64"/>
      <c r="H317" s="64"/>
      <c r="I317" s="64"/>
      <c r="J317" s="64"/>
      <c r="K317" s="64"/>
      <c r="L317" s="64"/>
      <c r="M317" s="65">
        <v>390</v>
      </c>
      <c r="N317" s="66"/>
      <c r="P317" s="39">
        <v>63</v>
      </c>
      <c r="U317">
        <v>2023</v>
      </c>
      <c r="W317" t="s">
        <v>70</v>
      </c>
      <c r="X317" s="64"/>
    </row>
    <row r="318" spans="1:24" hidden="1" x14ac:dyDescent="0.2">
      <c r="A318" t="s">
        <v>1328</v>
      </c>
      <c r="D318" s="64"/>
      <c r="E318" s="64"/>
      <c r="F318" s="64"/>
      <c r="G318" s="64"/>
      <c r="H318" s="64"/>
      <c r="I318" s="64"/>
      <c r="J318" s="64"/>
      <c r="K318" s="64"/>
      <c r="L318" s="64"/>
      <c r="M318" s="65">
        <v>435</v>
      </c>
      <c r="N318" s="66"/>
      <c r="P318" s="39">
        <v>50.5</v>
      </c>
      <c r="U318">
        <v>2023</v>
      </c>
      <c r="W318" t="s">
        <v>70</v>
      </c>
      <c r="X318" s="64"/>
    </row>
    <row r="319" spans="1:24" hidden="1" x14ac:dyDescent="0.2">
      <c r="A319" t="s">
        <v>1328</v>
      </c>
      <c r="D319" s="64"/>
      <c r="E319" s="64"/>
      <c r="F319" s="64"/>
      <c r="G319" s="64"/>
      <c r="H319" s="64"/>
      <c r="I319" s="64"/>
      <c r="J319" s="64"/>
      <c r="K319" s="64"/>
      <c r="L319" s="64"/>
      <c r="M319" s="65">
        <v>470</v>
      </c>
      <c r="N319" s="66"/>
      <c r="P319" s="39">
        <v>50.5</v>
      </c>
      <c r="U319">
        <v>2023</v>
      </c>
      <c r="W319" t="s">
        <v>70</v>
      </c>
      <c r="X319" s="64"/>
    </row>
    <row r="320" spans="1:24" hidden="1" x14ac:dyDescent="0.2">
      <c r="A320" t="s">
        <v>1328</v>
      </c>
      <c r="D320" s="64"/>
      <c r="E320" s="64"/>
      <c r="F320" s="64"/>
      <c r="G320" s="64"/>
      <c r="H320" s="64"/>
      <c r="I320" s="64"/>
      <c r="J320" s="64"/>
      <c r="K320" s="64"/>
      <c r="L320" s="64"/>
      <c r="M320" s="65">
        <v>465</v>
      </c>
      <c r="N320" s="66"/>
      <c r="P320" s="39">
        <v>56</v>
      </c>
      <c r="U320">
        <v>2023</v>
      </c>
      <c r="W320" t="s">
        <v>70</v>
      </c>
      <c r="X320" s="64"/>
    </row>
    <row r="321" spans="1:24" hidden="1" x14ac:dyDescent="0.2">
      <c r="A321" t="s">
        <v>1328</v>
      </c>
      <c r="D321" s="64"/>
      <c r="E321" s="64"/>
      <c r="F321" s="64"/>
      <c r="G321" s="64"/>
      <c r="H321" s="64"/>
      <c r="I321" s="64"/>
      <c r="J321" s="64"/>
      <c r="K321" s="64"/>
      <c r="L321" s="64"/>
      <c r="M321" s="65">
        <v>485</v>
      </c>
      <c r="N321" s="66"/>
      <c r="P321" s="39">
        <v>59.5</v>
      </c>
      <c r="U321">
        <v>2023</v>
      </c>
      <c r="W321" t="s">
        <v>70</v>
      </c>
      <c r="X321" s="64"/>
    </row>
    <row r="322" spans="1:24" hidden="1" x14ac:dyDescent="0.2">
      <c r="A322" t="s">
        <v>1328</v>
      </c>
      <c r="D322" s="64"/>
      <c r="E322" s="64"/>
      <c r="F322" s="64"/>
      <c r="G322" s="64"/>
      <c r="H322" s="64"/>
      <c r="I322" s="64"/>
      <c r="J322" s="64"/>
      <c r="K322" s="64"/>
      <c r="L322" s="64"/>
      <c r="M322" s="65">
        <v>510</v>
      </c>
      <c r="N322" s="66"/>
      <c r="P322" s="39">
        <v>63</v>
      </c>
      <c r="U322">
        <v>2023</v>
      </c>
      <c r="W322" t="s">
        <v>70</v>
      </c>
      <c r="X322" s="64"/>
    </row>
    <row r="323" spans="1:24" hidden="1" x14ac:dyDescent="0.2">
      <c r="A323" t="s">
        <v>1328</v>
      </c>
      <c r="D323" s="64"/>
      <c r="E323" s="64"/>
      <c r="F323" s="64"/>
      <c r="G323" s="64"/>
      <c r="H323" s="64"/>
      <c r="I323" s="64"/>
      <c r="J323" s="64"/>
      <c r="K323" s="64"/>
      <c r="L323" s="64"/>
      <c r="M323" s="65">
        <v>510</v>
      </c>
      <c r="N323" s="66"/>
      <c r="P323" s="39">
        <v>63</v>
      </c>
      <c r="U323">
        <v>2023</v>
      </c>
      <c r="W323" t="s">
        <v>70</v>
      </c>
      <c r="X323" s="64"/>
    </row>
    <row r="324" spans="1:24" hidden="1" x14ac:dyDescent="0.2">
      <c r="A324" t="s">
        <v>1328</v>
      </c>
      <c r="D324" s="64"/>
      <c r="E324" s="64"/>
      <c r="F324" s="64"/>
      <c r="G324" s="64"/>
      <c r="H324" s="64"/>
      <c r="I324" s="64"/>
      <c r="J324" s="64"/>
      <c r="K324" s="64"/>
      <c r="L324" s="64"/>
      <c r="M324" s="65">
        <v>219</v>
      </c>
      <c r="N324" s="66"/>
      <c r="P324" s="39">
        <v>63</v>
      </c>
      <c r="U324">
        <v>2023</v>
      </c>
      <c r="W324" t="s">
        <v>70</v>
      </c>
      <c r="X324" s="64"/>
    </row>
    <row r="325" spans="1:24" hidden="1" x14ac:dyDescent="0.2">
      <c r="A325" t="s">
        <v>1328</v>
      </c>
      <c r="D325" s="64"/>
      <c r="E325" s="64"/>
      <c r="F325" s="64"/>
      <c r="G325" s="64"/>
      <c r="H325" s="64"/>
      <c r="I325" s="64"/>
      <c r="J325" s="64"/>
      <c r="K325" s="64"/>
      <c r="L325" s="64"/>
      <c r="M325" s="65">
        <v>325</v>
      </c>
      <c r="N325" s="66"/>
      <c r="P325" s="39">
        <v>50.5</v>
      </c>
      <c r="U325">
        <v>2023</v>
      </c>
      <c r="W325" t="s">
        <v>70</v>
      </c>
      <c r="X325" s="64"/>
    </row>
    <row r="326" spans="1:24" hidden="1" x14ac:dyDescent="0.2">
      <c r="A326" t="s">
        <v>1328</v>
      </c>
      <c r="D326" s="64"/>
      <c r="E326" s="64"/>
      <c r="F326" s="64"/>
      <c r="G326" s="64"/>
      <c r="H326" s="64"/>
      <c r="I326" s="64"/>
      <c r="J326" s="64"/>
      <c r="K326" s="64"/>
      <c r="L326" s="64"/>
      <c r="M326" s="65">
        <v>385</v>
      </c>
      <c r="N326" s="66"/>
      <c r="P326" s="39">
        <v>56</v>
      </c>
      <c r="U326">
        <v>2023</v>
      </c>
      <c r="W326" t="s">
        <v>70</v>
      </c>
      <c r="X326" s="64"/>
    </row>
    <row r="327" spans="1:24" hidden="1" x14ac:dyDescent="0.2">
      <c r="A327" t="s">
        <v>1328</v>
      </c>
      <c r="D327" s="64"/>
      <c r="E327" s="64"/>
      <c r="F327" s="64"/>
      <c r="G327" s="64"/>
      <c r="H327" s="64"/>
      <c r="I327" s="64"/>
      <c r="J327" s="64"/>
      <c r="K327" s="64"/>
      <c r="L327" s="64"/>
      <c r="M327" s="65">
        <v>385</v>
      </c>
      <c r="N327" s="66"/>
      <c r="P327" s="39">
        <v>50.5</v>
      </c>
      <c r="U327">
        <v>2023</v>
      </c>
      <c r="W327" t="s">
        <v>70</v>
      </c>
      <c r="X327" s="64"/>
    </row>
    <row r="328" spans="1:24" hidden="1" x14ac:dyDescent="0.2">
      <c r="A328" t="s">
        <v>1328</v>
      </c>
      <c r="D328" s="64"/>
      <c r="E328" s="64"/>
      <c r="F328" s="64"/>
      <c r="G328" s="64"/>
      <c r="H328" s="64"/>
      <c r="I328" s="64"/>
      <c r="J328" s="64"/>
      <c r="K328" s="64"/>
      <c r="L328" s="64"/>
      <c r="M328" s="65">
        <v>475</v>
      </c>
      <c r="N328" s="66"/>
      <c r="P328" s="39">
        <v>56</v>
      </c>
      <c r="U328">
        <v>2023</v>
      </c>
      <c r="W328" t="s">
        <v>70</v>
      </c>
      <c r="X328" s="64"/>
    </row>
    <row r="329" spans="1:24" hidden="1" x14ac:dyDescent="0.2">
      <c r="A329" t="s">
        <v>1328</v>
      </c>
      <c r="D329" s="64"/>
      <c r="E329" s="64"/>
      <c r="F329" s="64"/>
      <c r="G329" s="64"/>
      <c r="H329" s="64"/>
      <c r="I329" s="64"/>
      <c r="J329" s="64"/>
      <c r="K329" s="64"/>
      <c r="L329" s="64"/>
      <c r="M329" s="65">
        <v>395</v>
      </c>
      <c r="N329" s="66"/>
      <c r="P329" s="39">
        <v>56</v>
      </c>
      <c r="U329">
        <v>2023</v>
      </c>
      <c r="W329" t="s">
        <v>70</v>
      </c>
      <c r="X329" s="64"/>
    </row>
    <row r="330" spans="1:24" hidden="1" x14ac:dyDescent="0.2">
      <c r="A330" t="s">
        <v>1328</v>
      </c>
      <c r="D330" s="64"/>
      <c r="E330" s="64"/>
      <c r="F330" s="64"/>
      <c r="G330" s="64"/>
      <c r="H330" s="64"/>
      <c r="I330" s="64"/>
      <c r="J330" s="64"/>
      <c r="K330" s="64"/>
      <c r="L330" s="64"/>
      <c r="M330" s="65">
        <v>400</v>
      </c>
      <c r="N330" s="66"/>
      <c r="P330" s="39">
        <v>56</v>
      </c>
      <c r="U330">
        <v>2023</v>
      </c>
      <c r="W330" t="s">
        <v>70</v>
      </c>
      <c r="X330" s="64"/>
    </row>
    <row r="331" spans="1:24" hidden="1" x14ac:dyDescent="0.2">
      <c r="A331" t="s">
        <v>1328</v>
      </c>
      <c r="D331" s="64"/>
      <c r="E331" s="64"/>
      <c r="F331" s="64"/>
      <c r="G331" s="64"/>
      <c r="H331" s="64"/>
      <c r="I331" s="64"/>
      <c r="J331" s="64"/>
      <c r="K331" s="64"/>
      <c r="L331" s="64"/>
      <c r="M331" s="65">
        <v>600</v>
      </c>
      <c r="N331" s="66"/>
      <c r="P331" s="39">
        <v>63</v>
      </c>
      <c r="U331">
        <v>2023</v>
      </c>
      <c r="W331" t="s">
        <v>70</v>
      </c>
      <c r="X331" s="64"/>
    </row>
    <row r="332" spans="1:24" hidden="1" x14ac:dyDescent="0.2">
      <c r="A332" t="s">
        <v>1328</v>
      </c>
      <c r="D332" s="64"/>
      <c r="E332" s="64"/>
      <c r="F332" s="64"/>
      <c r="G332" s="64"/>
      <c r="H332" s="64"/>
      <c r="I332" s="64"/>
      <c r="J332" s="64"/>
      <c r="K332" s="64"/>
      <c r="L332" s="64"/>
      <c r="M332" s="65">
        <v>63.5</v>
      </c>
      <c r="N332" s="66"/>
      <c r="P332" s="39">
        <v>63</v>
      </c>
      <c r="U332">
        <v>2023</v>
      </c>
      <c r="W332" t="s">
        <v>70</v>
      </c>
      <c r="X332" s="64"/>
    </row>
    <row r="333" spans="1:24" hidden="1" x14ac:dyDescent="0.2">
      <c r="A333" t="s">
        <v>1328</v>
      </c>
      <c r="D333" s="64"/>
      <c r="E333" s="64"/>
      <c r="F333" s="64"/>
      <c r="G333" s="64"/>
      <c r="H333" s="64"/>
      <c r="I333" s="64"/>
      <c r="J333" s="64"/>
      <c r="K333" s="64"/>
      <c r="L333" s="64"/>
      <c r="M333" s="65">
        <v>69.5</v>
      </c>
      <c r="N333" s="66"/>
      <c r="P333" s="39">
        <v>33.5</v>
      </c>
      <c r="U333">
        <v>2023</v>
      </c>
      <c r="W333" t="s">
        <v>70</v>
      </c>
      <c r="X333" s="64"/>
    </row>
    <row r="334" spans="1:24" hidden="1" x14ac:dyDescent="0.2">
      <c r="A334" t="s">
        <v>1328</v>
      </c>
      <c r="D334" s="64"/>
      <c r="E334" s="64"/>
      <c r="F334" s="64"/>
      <c r="G334" s="64"/>
      <c r="H334" s="64"/>
      <c r="I334" s="64"/>
      <c r="J334" s="64"/>
      <c r="K334" s="64"/>
      <c r="L334" s="64"/>
      <c r="M334" s="65">
        <v>135</v>
      </c>
      <c r="N334" s="66"/>
      <c r="P334" s="39">
        <v>33.5</v>
      </c>
      <c r="U334">
        <v>2023</v>
      </c>
      <c r="W334" t="s">
        <v>70</v>
      </c>
      <c r="X334" s="64"/>
    </row>
    <row r="335" spans="1:24" hidden="1" x14ac:dyDescent="0.2">
      <c r="A335" t="s">
        <v>1328</v>
      </c>
      <c r="D335" s="64"/>
      <c r="E335" s="64"/>
      <c r="F335" s="64"/>
      <c r="G335" s="64"/>
      <c r="H335" s="64"/>
      <c r="I335" s="64"/>
      <c r="J335" s="64"/>
      <c r="K335" s="64"/>
      <c r="L335" s="64"/>
      <c r="M335" s="65">
        <v>135</v>
      </c>
      <c r="N335" s="66"/>
      <c r="P335" s="39">
        <v>33.5</v>
      </c>
      <c r="U335">
        <v>2023</v>
      </c>
      <c r="W335" t="s">
        <v>70</v>
      </c>
      <c r="X335" s="64"/>
    </row>
  </sheetData>
  <mergeCells count="1">
    <mergeCell ref="AH2:AI2"/>
  </mergeCells>
  <hyperlinks>
    <hyperlink ref="A1" location="'Table of Contents'!A1" display="Table of Contents" xr:uid="{58E50BF8-5FFB-4C3B-B1DA-9B3DAD18AF78}"/>
    <hyperlink ref="X253" r:id="rId1" xr:uid="{2569C54D-6E98-4434-84A2-B55620ECCD6F}"/>
    <hyperlink ref="X248" r:id="rId2" xr:uid="{695F917A-79B2-45D4-B75C-E18D357B8F65}"/>
    <hyperlink ref="X262" r:id="rId3" xr:uid="{DE783DF4-2FEF-4766-A13B-E426C9158294}"/>
    <hyperlink ref="X250" r:id="rId4" xr:uid="{D672F762-F1B7-4279-A520-02FAE2AE5B5E}"/>
    <hyperlink ref="X256" r:id="rId5" xr:uid="{E76621C1-9E4E-44AD-95AE-A7C9BE18D9C7}"/>
    <hyperlink ref="X263" r:id="rId6" xr:uid="{78B4C0C3-BA78-4FBF-BB84-4931C2CF6D42}"/>
    <hyperlink ref="X243" r:id="rId7" xr:uid="{A0FEE673-3E06-4F24-BD4A-3D0E500C8076}"/>
    <hyperlink ref="X235" r:id="rId8" xr:uid="{9DA9FD19-F000-4181-96FA-A082885409BD}"/>
    <hyperlink ref="X251" r:id="rId9" xr:uid="{57DE2D2F-F26A-4B0F-9A10-E4F4E4A83135}"/>
    <hyperlink ref="X257" r:id="rId10" xr:uid="{B1253E82-E954-4839-AD22-3AE9ACB57E93}"/>
    <hyperlink ref="X233" r:id="rId11" xr:uid="{A19F66D2-FE83-40CE-9C64-2B010E104FFB}"/>
    <hyperlink ref="X228" r:id="rId12" xr:uid="{E6A8E745-4C75-4E80-8BF0-1123BBEC1AE5}"/>
    <hyperlink ref="X216" r:id="rId13" xr:uid="{883E826A-24CF-46C6-940D-EB4E7058F80F}"/>
    <hyperlink ref="X236" r:id="rId14" xr:uid="{13945F19-9CD4-4274-8D36-3E349B814468}"/>
    <hyperlink ref="X261" r:id="rId15" xr:uid="{F7B256CF-10D1-4152-8E1B-04525F35A13D}"/>
    <hyperlink ref="X242" r:id="rId16" xr:uid="{A0B34B09-D682-486D-80DB-6FA47F9BD963}"/>
    <hyperlink ref="X234" r:id="rId17" xr:uid="{FEA27109-65DA-4F4C-A28F-E4EE8C821327}"/>
    <hyperlink ref="X241" r:id="rId18" xr:uid="{FD316828-E7A0-4E7E-B178-DA526AE8EBC3}"/>
    <hyperlink ref="X232" r:id="rId19" xr:uid="{9FCA349F-5189-4FA8-953B-7CB95490AC3A}"/>
    <hyperlink ref="X249" r:id="rId20" xr:uid="{6351E903-FC07-4AC5-B485-DBB0C0F71B58}"/>
    <hyperlink ref="X220" r:id="rId21" xr:uid="{B0F21E3E-04E7-4B26-AE67-71A4EFE80EE1}"/>
  </hyperlinks>
  <pageMargins left="0.7" right="0.7" top="0.75" bottom="0.75" header="0.3" footer="0.3"/>
  <pageSetup orientation="portrait" r:id="rId22"/>
  <tableParts count="1">
    <tablePart r:id="rId2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E36CB-770D-4CE2-93EB-3F4615B12C37}">
  <dimension ref="A1:AC15"/>
  <sheetViews>
    <sheetView showGridLines="0" tabSelected="1" zoomScale="110" zoomScaleNormal="110" workbookViewId="0">
      <selection activeCell="E21" sqref="E21"/>
    </sheetView>
  </sheetViews>
  <sheetFormatPr baseColWidth="10" defaultColWidth="8.83203125" defaultRowHeight="15" x14ac:dyDescent="0.2"/>
  <cols>
    <col min="1" max="1" width="31.33203125" bestFit="1" customWidth="1"/>
    <col min="2" max="2" width="15.6640625" bestFit="1" customWidth="1"/>
    <col min="3" max="3" width="17.33203125" bestFit="1" customWidth="1"/>
    <col min="4" max="4" width="14.6640625" bestFit="1" customWidth="1"/>
    <col min="5" max="5" width="15.33203125" bestFit="1" customWidth="1"/>
    <col min="6" max="6" width="15" bestFit="1" customWidth="1"/>
    <col min="7" max="7" width="15.5" bestFit="1" customWidth="1"/>
    <col min="8" max="8" width="14.5" bestFit="1" customWidth="1"/>
    <col min="9" max="9" width="12" bestFit="1" customWidth="1"/>
    <col min="10" max="10" width="12.33203125" bestFit="1" customWidth="1"/>
    <col min="11" max="12" width="14.5" bestFit="1" customWidth="1"/>
    <col min="13" max="13" width="15" bestFit="1" customWidth="1"/>
    <col min="14" max="14" width="18.5" customWidth="1"/>
    <col min="15" max="15" width="11.33203125" customWidth="1"/>
    <col min="16" max="16" width="13.5" bestFit="1" customWidth="1"/>
    <col min="17" max="17" width="12.33203125" bestFit="1" customWidth="1"/>
    <col min="18" max="18" width="12.6640625" customWidth="1"/>
    <col min="19" max="19" width="10.6640625" customWidth="1"/>
    <col min="20" max="20" width="11.33203125" customWidth="1"/>
    <col min="21" max="21" width="16.5" bestFit="1" customWidth="1"/>
    <col min="23" max="23" width="17" bestFit="1" customWidth="1"/>
    <col min="24" max="24" width="7.6640625" bestFit="1" customWidth="1"/>
    <col min="25" max="25" width="8.5" bestFit="1" customWidth="1"/>
    <col min="26" max="26" width="27.6640625" bestFit="1" customWidth="1"/>
    <col min="27" max="27" width="12.33203125" bestFit="1" customWidth="1"/>
    <col min="28" max="28" width="16.5" bestFit="1" customWidth="1"/>
    <col min="29" max="29" width="6.33203125" bestFit="1" customWidth="1"/>
  </cols>
  <sheetData>
    <row r="1" spans="1:29" x14ac:dyDescent="0.2">
      <c r="A1" s="4" t="s">
        <v>21</v>
      </c>
    </row>
    <row r="2" spans="1:29" ht="16" thickBot="1" x14ac:dyDescent="0.25">
      <c r="A2" s="41" t="s">
        <v>342</v>
      </c>
      <c r="Y2" s="15"/>
      <c r="Z2" s="15"/>
      <c r="AA2" s="15"/>
      <c r="AB2" s="15"/>
      <c r="AC2" s="15"/>
    </row>
    <row r="3" spans="1:29" x14ac:dyDescent="0.2">
      <c r="A3" s="434" t="s">
        <v>343</v>
      </c>
      <c r="B3" s="435"/>
      <c r="C3" s="436"/>
      <c r="D3" s="437" t="s">
        <v>344</v>
      </c>
      <c r="E3" s="437"/>
      <c r="F3" s="437"/>
      <c r="G3" s="437"/>
      <c r="H3" s="437"/>
      <c r="I3" s="437"/>
      <c r="J3" s="438"/>
      <c r="K3" s="439" t="s">
        <v>345</v>
      </c>
      <c r="L3" s="440"/>
      <c r="M3" s="440"/>
      <c r="N3" s="440"/>
      <c r="O3" s="440"/>
      <c r="P3" s="440"/>
      <c r="Q3" s="441"/>
      <c r="R3" s="442" t="s">
        <v>346</v>
      </c>
      <c r="S3" s="443"/>
      <c r="T3" s="443"/>
      <c r="U3" s="430" t="s">
        <v>4571</v>
      </c>
      <c r="V3" s="444"/>
      <c r="W3" s="430" t="s">
        <v>4572</v>
      </c>
      <c r="X3" s="444"/>
      <c r="Y3" s="417" t="s">
        <v>347</v>
      </c>
      <c r="Z3" s="418"/>
      <c r="AA3" s="418"/>
      <c r="AB3" s="418"/>
      <c r="AC3" s="447"/>
    </row>
    <row r="4" spans="1:29" ht="16" thickBot="1" x14ac:dyDescent="0.25">
      <c r="A4" s="106" t="s">
        <v>0</v>
      </c>
      <c r="B4" s="107" t="s">
        <v>348</v>
      </c>
      <c r="C4" s="108" t="s">
        <v>349</v>
      </c>
      <c r="D4" s="109" t="s">
        <v>350</v>
      </c>
      <c r="E4" s="110" t="s">
        <v>351</v>
      </c>
      <c r="F4" s="110" t="s">
        <v>352</v>
      </c>
      <c r="G4" s="110" t="s">
        <v>353</v>
      </c>
      <c r="H4" s="110" t="s">
        <v>354</v>
      </c>
      <c r="I4" s="110" t="s">
        <v>355</v>
      </c>
      <c r="J4" s="110" t="s">
        <v>356</v>
      </c>
      <c r="K4" s="111" t="s">
        <v>350</v>
      </c>
      <c r="L4" s="112" t="s">
        <v>351</v>
      </c>
      <c r="M4" s="112" t="s">
        <v>352</v>
      </c>
      <c r="N4" s="112" t="s">
        <v>353</v>
      </c>
      <c r="O4" s="112" t="s">
        <v>354</v>
      </c>
      <c r="P4" s="112" t="s">
        <v>355</v>
      </c>
      <c r="Q4" s="119" t="s">
        <v>356</v>
      </c>
      <c r="R4" s="113" t="s">
        <v>357</v>
      </c>
      <c r="S4" s="114" t="s">
        <v>358</v>
      </c>
      <c r="T4" s="115" t="s">
        <v>359</v>
      </c>
      <c r="U4" s="116" t="s">
        <v>360</v>
      </c>
      <c r="V4" s="212" t="s">
        <v>361</v>
      </c>
      <c r="W4" s="116" t="s">
        <v>360</v>
      </c>
      <c r="X4" s="116" t="s">
        <v>361</v>
      </c>
      <c r="Y4" s="45" t="s">
        <v>39</v>
      </c>
      <c r="Z4" s="46" t="s">
        <v>5321</v>
      </c>
      <c r="AA4" s="46" t="s">
        <v>362</v>
      </c>
      <c r="AB4" s="46" t="s">
        <v>5385</v>
      </c>
      <c r="AC4" s="117" t="s">
        <v>41</v>
      </c>
    </row>
    <row r="5" spans="1:29" x14ac:dyDescent="0.2">
      <c r="A5" s="47" t="s">
        <v>6</v>
      </c>
      <c r="B5" s="36" t="s">
        <v>917</v>
      </c>
      <c r="C5" s="36" t="s">
        <v>364</v>
      </c>
      <c r="D5" s="270" t="s">
        <v>366</v>
      </c>
      <c r="E5" s="270" t="s">
        <v>366</v>
      </c>
      <c r="F5" s="270" t="s">
        <v>366</v>
      </c>
      <c r="G5" s="270" t="s">
        <v>366</v>
      </c>
      <c r="H5" s="270" t="s">
        <v>366</v>
      </c>
      <c r="I5" s="270" t="s">
        <v>366</v>
      </c>
      <c r="J5" s="270" t="s">
        <v>366</v>
      </c>
      <c r="K5" s="270" t="s">
        <v>366</v>
      </c>
      <c r="L5" s="270" t="s">
        <v>366</v>
      </c>
      <c r="M5" s="270" t="s">
        <v>366</v>
      </c>
      <c r="N5" s="270" t="s">
        <v>366</v>
      </c>
      <c r="O5" s="270" t="s">
        <v>366</v>
      </c>
      <c r="P5" s="270" t="s">
        <v>366</v>
      </c>
      <c r="Q5" s="270" t="s">
        <v>366</v>
      </c>
      <c r="R5">
        <v>24.954681440443213</v>
      </c>
      <c r="S5" s="269">
        <v>54.113275397063234</v>
      </c>
      <c r="T5" s="269">
        <v>113.34530109053355</v>
      </c>
      <c r="U5" s="235">
        <f>'Windows Data'!AH4</f>
        <v>1.3137878070264744</v>
      </c>
      <c r="V5" s="235">
        <f>'Windows Data'!AI4</f>
        <v>1.6725950404784211</v>
      </c>
      <c r="W5" s="235" t="s">
        <v>366</v>
      </c>
      <c r="X5" s="235" t="s">
        <v>366</v>
      </c>
      <c r="Y5" s="36">
        <v>20</v>
      </c>
      <c r="Z5" s="36" t="s">
        <v>5434</v>
      </c>
      <c r="AA5" s="36" t="s">
        <v>3409</v>
      </c>
      <c r="AB5" s="36" t="s">
        <v>5383</v>
      </c>
      <c r="AC5" s="48"/>
    </row>
    <row r="6" spans="1:29" x14ac:dyDescent="0.2">
      <c r="A6" s="18" t="s">
        <v>6</v>
      </c>
      <c r="B6" t="s">
        <v>731</v>
      </c>
      <c r="C6" t="s">
        <v>364</v>
      </c>
      <c r="D6" s="343" t="s">
        <v>366</v>
      </c>
      <c r="E6" s="343" t="s">
        <v>366</v>
      </c>
      <c r="F6" s="343" t="s">
        <v>366</v>
      </c>
      <c r="G6" s="343" t="s">
        <v>366</v>
      </c>
      <c r="H6" s="343" t="s">
        <v>366</v>
      </c>
      <c r="I6" s="343" t="s">
        <v>366</v>
      </c>
      <c r="J6" s="343" t="s">
        <v>366</v>
      </c>
      <c r="K6" s="343" t="s">
        <v>366</v>
      </c>
      <c r="L6" s="343" t="s">
        <v>366</v>
      </c>
      <c r="M6" s="343" t="s">
        <v>366</v>
      </c>
      <c r="N6" s="343" t="s">
        <v>366</v>
      </c>
      <c r="O6" s="343" t="s">
        <v>366</v>
      </c>
      <c r="P6" s="343" t="s">
        <v>366</v>
      </c>
      <c r="Q6" s="343" t="s">
        <v>366</v>
      </c>
      <c r="R6">
        <v>112.075</v>
      </c>
      <c r="S6" s="344">
        <v>206.565</v>
      </c>
      <c r="T6" s="344">
        <v>401.50000000000006</v>
      </c>
      <c r="U6" s="334">
        <f>'Windows Data'!AH4</f>
        <v>1.3137878070264744</v>
      </c>
      <c r="V6" s="334">
        <f>'Windows Data'!AI4</f>
        <v>1.6725950404784211</v>
      </c>
      <c r="W6" s="334" t="s">
        <v>366</v>
      </c>
      <c r="X6" s="334" t="s">
        <v>366</v>
      </c>
      <c r="Y6">
        <v>20</v>
      </c>
      <c r="Z6" t="s">
        <v>5434</v>
      </c>
      <c r="AA6" t="s">
        <v>3409</v>
      </c>
      <c r="AB6" t="s">
        <v>5383</v>
      </c>
      <c r="AC6" s="49"/>
    </row>
    <row r="7" spans="1:29" ht="16" thickBot="1" x14ac:dyDescent="0.25">
      <c r="A7" s="23" t="s">
        <v>6</v>
      </c>
      <c r="B7" s="15" t="s">
        <v>5516</v>
      </c>
      <c r="C7" s="15" t="s">
        <v>364</v>
      </c>
      <c r="D7" s="413" t="s">
        <v>366</v>
      </c>
      <c r="E7" s="413" t="s">
        <v>366</v>
      </c>
      <c r="F7" s="413" t="s">
        <v>366</v>
      </c>
      <c r="G7" s="413" t="s">
        <v>366</v>
      </c>
      <c r="H7" s="413" t="s">
        <v>366</v>
      </c>
      <c r="I7" s="413" t="s">
        <v>366</v>
      </c>
      <c r="J7" s="413" t="s">
        <v>366</v>
      </c>
      <c r="K7" s="413" t="s">
        <v>366</v>
      </c>
      <c r="L7" s="413" t="s">
        <v>366</v>
      </c>
      <c r="M7" s="413" t="s">
        <v>366</v>
      </c>
      <c r="N7" s="413" t="s">
        <v>366</v>
      </c>
      <c r="O7" s="413" t="s">
        <v>366</v>
      </c>
      <c r="P7" s="413" t="s">
        <v>366</v>
      </c>
      <c r="Q7" s="413" t="s">
        <v>366</v>
      </c>
      <c r="R7" s="15">
        <v>8.9700000000000006</v>
      </c>
      <c r="S7" s="414">
        <v>21.041666666666664</v>
      </c>
      <c r="T7" s="414">
        <v>26.540487804878051</v>
      </c>
      <c r="U7" s="236">
        <f>'Windows Data'!AH5</f>
        <v>1.1456873315363882</v>
      </c>
      <c r="V7" s="236">
        <f>'Windows Data'!AI5</f>
        <v>1.2228370223542624</v>
      </c>
      <c r="W7" s="236" t="s">
        <v>366</v>
      </c>
      <c r="X7" s="236" t="s">
        <v>366</v>
      </c>
      <c r="Y7" s="15">
        <v>20</v>
      </c>
      <c r="Z7" s="15" t="s">
        <v>5434</v>
      </c>
      <c r="AA7" s="15" t="s">
        <v>3409</v>
      </c>
      <c r="AB7" s="15" t="s">
        <v>5384</v>
      </c>
      <c r="AC7" s="50"/>
    </row>
    <row r="10" spans="1:29" ht="16" thickBot="1" x14ac:dyDescent="0.25"/>
    <row r="11" spans="1:29" ht="16" thickBot="1" x14ac:dyDescent="0.25">
      <c r="A11" s="376" t="s">
        <v>0</v>
      </c>
      <c r="B11" s="126" t="s">
        <v>348</v>
      </c>
      <c r="C11" s="126" t="s">
        <v>4767</v>
      </c>
      <c r="D11" s="126" t="s">
        <v>5377</v>
      </c>
      <c r="E11" s="126"/>
      <c r="F11" s="126" t="s">
        <v>1148</v>
      </c>
      <c r="G11" s="126" t="s">
        <v>1149</v>
      </c>
      <c r="H11" s="126" t="s">
        <v>5339</v>
      </c>
    </row>
    <row r="12" spans="1:29" x14ac:dyDescent="0.2">
      <c r="A12" t="s">
        <v>6</v>
      </c>
      <c r="B12" t="s">
        <v>917</v>
      </c>
      <c r="C12">
        <v>164</v>
      </c>
      <c r="D12">
        <v>0.28999999999999998</v>
      </c>
      <c r="F12" s="299">
        <v>24.954681440443213</v>
      </c>
      <c r="G12" s="299">
        <v>54.113275397063234</v>
      </c>
      <c r="H12" s="299">
        <v>113.34530109053355</v>
      </c>
    </row>
    <row r="13" spans="1:29" x14ac:dyDescent="0.2">
      <c r="A13" t="s">
        <v>6</v>
      </c>
      <c r="B13" t="s">
        <v>731</v>
      </c>
      <c r="C13">
        <v>62</v>
      </c>
      <c r="D13">
        <v>0.5</v>
      </c>
      <c r="F13" s="299">
        <v>112.075</v>
      </c>
      <c r="G13" s="299">
        <v>206.565</v>
      </c>
      <c r="H13" s="299">
        <v>401.50000000000006</v>
      </c>
    </row>
    <row r="14" spans="1:29" x14ac:dyDescent="0.2">
      <c r="A14" t="s">
        <v>6</v>
      </c>
      <c r="B14" t="s">
        <v>5516</v>
      </c>
      <c r="F14" s="299">
        <v>8.9700000000000006</v>
      </c>
      <c r="G14">
        <v>21.041666666666664</v>
      </c>
      <c r="H14" s="299">
        <v>26.540487804878051</v>
      </c>
    </row>
    <row r="15" spans="1:29" x14ac:dyDescent="0.2">
      <c r="F15" s="299"/>
      <c r="G15" s="299"/>
      <c r="H15" s="299"/>
    </row>
  </sheetData>
  <mergeCells count="7">
    <mergeCell ref="W3:X3"/>
    <mergeCell ref="Y3:AC3"/>
    <mergeCell ref="A3:C3"/>
    <mergeCell ref="D3:J3"/>
    <mergeCell ref="K3:Q3"/>
    <mergeCell ref="R3:T3"/>
    <mergeCell ref="U3:V3"/>
  </mergeCells>
  <hyperlinks>
    <hyperlink ref="A1" location="'Table of Contents'!A1" display="Table of Contents" xr:uid="{6B67A2AD-2BC5-4ED6-A6B3-FBBFDF4A64D4}"/>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395B7-5BC4-4CC1-8F2B-5FC313CCBA95}">
  <dimension ref="A1:AF241"/>
  <sheetViews>
    <sheetView topLeftCell="H210" zoomScaleNormal="100" workbookViewId="0">
      <selection activeCell="L52" sqref="L52"/>
    </sheetView>
  </sheetViews>
  <sheetFormatPr baseColWidth="10" defaultColWidth="8.83203125" defaultRowHeight="15" x14ac:dyDescent="0.2"/>
  <cols>
    <col min="1" max="1" width="14" customWidth="1"/>
    <col min="5" max="5" width="14.5" customWidth="1"/>
    <col min="8" max="8" width="14.33203125" customWidth="1"/>
    <col min="10" max="10" width="18.1640625" bestFit="1" customWidth="1"/>
    <col min="11" max="11" width="16" customWidth="1"/>
    <col min="12" max="12" width="19.33203125" customWidth="1"/>
    <col min="13" max="13" width="13.33203125" customWidth="1"/>
    <col min="16" max="16" width="12" customWidth="1"/>
    <col min="17" max="17" width="15.6640625" customWidth="1"/>
    <col min="18" max="18" width="11.5" bestFit="1" customWidth="1"/>
    <col min="19" max="19" width="22.33203125" customWidth="1"/>
    <col min="20" max="20" width="12.5" bestFit="1" customWidth="1"/>
    <col min="27" max="27" width="13.33203125" customWidth="1"/>
    <col min="29" max="29" width="15.6640625" customWidth="1"/>
  </cols>
  <sheetData>
    <row r="1" spans="1:32" x14ac:dyDescent="0.2">
      <c r="A1" s="4" t="s">
        <v>21</v>
      </c>
    </row>
    <row r="2" spans="1:32" ht="19" x14ac:dyDescent="0.25">
      <c r="A2" s="24" t="s">
        <v>22</v>
      </c>
      <c r="J2" s="40" t="s">
        <v>5314</v>
      </c>
      <c r="L2" s="40" t="s">
        <v>5305</v>
      </c>
      <c r="W2" s="24" t="s">
        <v>3417</v>
      </c>
    </row>
    <row r="3" spans="1:32" ht="32" x14ac:dyDescent="0.2">
      <c r="A3" s="59" t="s">
        <v>0</v>
      </c>
      <c r="B3" s="239" t="s">
        <v>389</v>
      </c>
      <c r="C3" s="239" t="s">
        <v>1319</v>
      </c>
      <c r="D3" s="239" t="s">
        <v>2707</v>
      </c>
      <c r="E3" s="239" t="s">
        <v>3570</v>
      </c>
      <c r="F3" s="239" t="s">
        <v>27</v>
      </c>
      <c r="G3" s="239" t="s">
        <v>4559</v>
      </c>
      <c r="H3" s="239" t="s">
        <v>3425</v>
      </c>
      <c r="I3" s="239" t="s">
        <v>3426</v>
      </c>
      <c r="J3" s="60" t="s">
        <v>31</v>
      </c>
      <c r="K3" s="60" t="s">
        <v>4567</v>
      </c>
      <c r="L3" s="60" t="s">
        <v>3427</v>
      </c>
      <c r="M3" s="60" t="s">
        <v>396</v>
      </c>
      <c r="N3" s="60" t="s">
        <v>3422</v>
      </c>
      <c r="O3" s="60" t="s">
        <v>2812</v>
      </c>
      <c r="P3" s="60" t="s">
        <v>37</v>
      </c>
      <c r="Q3" s="60" t="s">
        <v>5428</v>
      </c>
      <c r="R3" s="62" t="s">
        <v>43</v>
      </c>
      <c r="S3" s="239" t="s">
        <v>44</v>
      </c>
      <c r="T3" s="63" t="s">
        <v>57</v>
      </c>
      <c r="W3" s="240" t="s">
        <v>0</v>
      </c>
      <c r="X3" s="241" t="s">
        <v>25</v>
      </c>
      <c r="Y3" s="241" t="s">
        <v>58</v>
      </c>
      <c r="Z3" s="241" t="s">
        <v>59</v>
      </c>
      <c r="AA3" s="241" t="s">
        <v>60</v>
      </c>
      <c r="AB3" s="241" t="s">
        <v>61</v>
      </c>
      <c r="AC3" s="241" t="s">
        <v>62</v>
      </c>
      <c r="AD3" s="241" t="s">
        <v>63</v>
      </c>
      <c r="AE3" s="241" t="s">
        <v>64</v>
      </c>
      <c r="AF3" s="242" t="s">
        <v>43</v>
      </c>
    </row>
    <row r="4" spans="1:32" x14ac:dyDescent="0.2">
      <c r="A4" t="s">
        <v>4130</v>
      </c>
      <c r="B4" t="s">
        <v>3476</v>
      </c>
      <c r="C4" t="s">
        <v>3600</v>
      </c>
      <c r="D4" t="s">
        <v>2802</v>
      </c>
      <c r="E4" t="s">
        <v>3571</v>
      </c>
      <c r="G4">
        <v>25</v>
      </c>
      <c r="I4" t="s">
        <v>3809</v>
      </c>
      <c r="J4" t="s">
        <v>3838</v>
      </c>
      <c r="K4" s="256" t="s">
        <v>3919</v>
      </c>
      <c r="L4" s="54">
        <f>Table2727[[#This Row],[Listed Material Price]]/Table2727[[#This Row],[Linear Feet]]</f>
        <v>0.22600000000000001</v>
      </c>
      <c r="R4" t="s">
        <v>99</v>
      </c>
      <c r="S4" t="s">
        <v>4346</v>
      </c>
      <c r="T4" t="s">
        <v>71</v>
      </c>
      <c r="W4" s="25" t="s">
        <v>3418</v>
      </c>
      <c r="X4" s="25" t="s">
        <v>366</v>
      </c>
      <c r="Y4" s="197">
        <f>AVERAGE(Table2727[Labor ($)])</f>
        <v>3.5609090909090906</v>
      </c>
      <c r="Z4" s="197" t="s">
        <v>366</v>
      </c>
      <c r="AA4" s="197">
        <f>Y4</f>
        <v>3.5609090909090906</v>
      </c>
      <c r="AB4" s="197"/>
      <c r="AC4" s="198">
        <f>1+Y4/AVERAGE(Table2727[Materials ($/LF)])</f>
        <v>2.2823117915013329</v>
      </c>
      <c r="AD4" s="198">
        <f>AC4</f>
        <v>2.2823117915013329</v>
      </c>
      <c r="AE4" s="25">
        <v>2023</v>
      </c>
      <c r="AF4" s="25" t="s">
        <v>70</v>
      </c>
    </row>
    <row r="5" spans="1:32" x14ac:dyDescent="0.2">
      <c r="A5" t="s">
        <v>4272</v>
      </c>
      <c r="B5" t="s">
        <v>3476</v>
      </c>
      <c r="C5" t="s">
        <v>3748</v>
      </c>
      <c r="D5" t="s">
        <v>2802</v>
      </c>
      <c r="E5" t="s">
        <v>3572</v>
      </c>
      <c r="G5">
        <v>6</v>
      </c>
      <c r="I5" t="s">
        <v>3831</v>
      </c>
      <c r="J5" t="s">
        <v>3823</v>
      </c>
      <c r="K5" s="256" t="s">
        <v>4058</v>
      </c>
      <c r="L5" s="54">
        <f>Table2727[[#This Row],[Listed Material Price]]/Table2727[[#This Row],[Linear Feet]]</f>
        <v>0.32500000000000001</v>
      </c>
      <c r="R5" t="s">
        <v>99</v>
      </c>
      <c r="S5" t="s">
        <v>4488</v>
      </c>
      <c r="T5" t="s">
        <v>71</v>
      </c>
    </row>
    <row r="6" spans="1:32" x14ac:dyDescent="0.2">
      <c r="A6" t="s">
        <v>4280</v>
      </c>
      <c r="B6" t="s">
        <v>3476</v>
      </c>
      <c r="C6" t="s">
        <v>3756</v>
      </c>
      <c r="D6" t="s">
        <v>2802</v>
      </c>
      <c r="E6" t="s">
        <v>3572</v>
      </c>
      <c r="G6">
        <v>6</v>
      </c>
      <c r="I6" t="s">
        <v>3804</v>
      </c>
      <c r="J6" t="s">
        <v>3853</v>
      </c>
      <c r="K6" s="256" t="s">
        <v>4066</v>
      </c>
      <c r="L6" s="54">
        <f>Table2727[[#This Row],[Listed Material Price]]/Table2727[[#This Row],[Linear Feet]]</f>
        <v>0.41333333333333333</v>
      </c>
      <c r="R6" t="s">
        <v>99</v>
      </c>
      <c r="S6" t="s">
        <v>4496</v>
      </c>
      <c r="T6" t="s">
        <v>71</v>
      </c>
    </row>
    <row r="7" spans="1:32" x14ac:dyDescent="0.2">
      <c r="A7" t="s">
        <v>4119</v>
      </c>
      <c r="B7" t="s">
        <v>3476</v>
      </c>
      <c r="C7" t="s">
        <v>3588</v>
      </c>
      <c r="D7" t="s">
        <v>2802</v>
      </c>
      <c r="E7" t="s">
        <v>3571</v>
      </c>
      <c r="G7">
        <v>15</v>
      </c>
      <c r="I7" t="s">
        <v>3809</v>
      </c>
      <c r="J7" t="s">
        <v>3810</v>
      </c>
      <c r="K7" s="256" t="s">
        <v>3908</v>
      </c>
      <c r="L7" s="54">
        <f>Table2727[[#This Row],[Listed Material Price]]/Table2727[[#This Row],[Linear Feet]]</f>
        <v>0.46533333333333338</v>
      </c>
      <c r="R7" t="s">
        <v>99</v>
      </c>
      <c r="S7" t="s">
        <v>4335</v>
      </c>
      <c r="T7" t="s">
        <v>71</v>
      </c>
    </row>
    <row r="8" spans="1:32" x14ac:dyDescent="0.2">
      <c r="A8" t="s">
        <v>4136</v>
      </c>
      <c r="B8" t="s">
        <v>3606</v>
      </c>
      <c r="C8" t="s">
        <v>3607</v>
      </c>
      <c r="D8" t="s">
        <v>2802</v>
      </c>
      <c r="E8" t="s">
        <v>3574</v>
      </c>
      <c r="G8">
        <v>50</v>
      </c>
      <c r="I8" t="s">
        <v>3815</v>
      </c>
      <c r="J8" t="s">
        <v>3815</v>
      </c>
      <c r="K8" s="256" t="s">
        <v>3924</v>
      </c>
      <c r="L8" s="54">
        <f>Table2727[[#This Row],[Listed Material Price]]/Table2727[[#This Row],[Linear Feet]]</f>
        <v>0.48259999999999997</v>
      </c>
      <c r="R8" t="s">
        <v>99</v>
      </c>
      <c r="S8" t="s">
        <v>4351</v>
      </c>
      <c r="T8" t="s">
        <v>72</v>
      </c>
    </row>
    <row r="9" spans="1:32" x14ac:dyDescent="0.2">
      <c r="A9" t="s">
        <v>4113</v>
      </c>
      <c r="B9" t="s">
        <v>2487</v>
      </c>
      <c r="C9" t="s">
        <v>3577</v>
      </c>
      <c r="D9" t="s">
        <v>2802</v>
      </c>
      <c r="E9" t="s">
        <v>3571</v>
      </c>
      <c r="G9">
        <v>6</v>
      </c>
      <c r="I9" t="s">
        <v>3803</v>
      </c>
      <c r="J9" t="s">
        <v>3834</v>
      </c>
      <c r="K9" s="256" t="s">
        <v>3902</v>
      </c>
      <c r="L9" s="54">
        <f>Table2727[[#This Row],[Listed Material Price]]/Table2727[[#This Row],[Linear Feet]]</f>
        <v>0.49666666666666665</v>
      </c>
      <c r="R9" t="s">
        <v>99</v>
      </c>
      <c r="S9" t="s">
        <v>4327</v>
      </c>
      <c r="T9" t="s">
        <v>71</v>
      </c>
    </row>
    <row r="10" spans="1:32" x14ac:dyDescent="0.2">
      <c r="A10" t="s">
        <v>4115</v>
      </c>
      <c r="B10" t="s">
        <v>3579</v>
      </c>
      <c r="C10" t="s">
        <v>3580</v>
      </c>
      <c r="D10" t="s">
        <v>2802</v>
      </c>
      <c r="E10" t="s">
        <v>3571</v>
      </c>
      <c r="G10">
        <v>30</v>
      </c>
      <c r="I10" t="s">
        <v>3805</v>
      </c>
      <c r="J10" t="s">
        <v>3803</v>
      </c>
      <c r="K10" s="256" t="s">
        <v>3904</v>
      </c>
      <c r="L10" s="54">
        <f>Table2727[[#This Row],[Listed Material Price]]/Table2727[[#This Row],[Linear Feet]]</f>
        <v>0.53266666666666673</v>
      </c>
      <c r="R10" t="s">
        <v>99</v>
      </c>
      <c r="S10" t="s">
        <v>4329</v>
      </c>
      <c r="T10" t="s">
        <v>71</v>
      </c>
    </row>
    <row r="11" spans="1:32" x14ac:dyDescent="0.2">
      <c r="A11" t="s">
        <v>4164</v>
      </c>
      <c r="B11" t="s">
        <v>3476</v>
      </c>
      <c r="C11" t="s">
        <v>3638</v>
      </c>
      <c r="D11" t="s">
        <v>2802</v>
      </c>
      <c r="E11" t="s">
        <v>3571</v>
      </c>
      <c r="G11">
        <v>3.25</v>
      </c>
      <c r="I11" t="s">
        <v>3811</v>
      </c>
      <c r="J11" t="s">
        <v>3856</v>
      </c>
      <c r="K11" s="256" t="s">
        <v>3952</v>
      </c>
      <c r="L11" s="54">
        <f>Table2727[[#This Row],[Listed Material Price]]/Table2727[[#This Row],[Linear Feet]]</f>
        <v>0.60615384615384615</v>
      </c>
      <c r="R11" t="s">
        <v>99</v>
      </c>
      <c r="S11" t="s">
        <v>4380</v>
      </c>
      <c r="T11" t="s">
        <v>71</v>
      </c>
    </row>
    <row r="12" spans="1:32" x14ac:dyDescent="0.2">
      <c r="A12" t="s">
        <v>4114</v>
      </c>
      <c r="B12" t="s">
        <v>2487</v>
      </c>
      <c r="C12" t="s">
        <v>3578</v>
      </c>
      <c r="D12" t="s">
        <v>2802</v>
      </c>
      <c r="E12" t="s">
        <v>3571</v>
      </c>
      <c r="G12">
        <v>6</v>
      </c>
      <c r="I12" t="s">
        <v>3804</v>
      </c>
      <c r="J12" t="s">
        <v>3835</v>
      </c>
      <c r="K12" s="256" t="s">
        <v>3903</v>
      </c>
      <c r="L12" s="54">
        <f>Table2727[[#This Row],[Listed Material Price]]/Table2727[[#This Row],[Linear Feet]]</f>
        <v>0.6166666666666667</v>
      </c>
      <c r="R12" t="s">
        <v>99</v>
      </c>
      <c r="S12" t="s">
        <v>4328</v>
      </c>
      <c r="T12" t="s">
        <v>71</v>
      </c>
    </row>
    <row r="13" spans="1:32" x14ac:dyDescent="0.2">
      <c r="A13" t="s">
        <v>4190</v>
      </c>
      <c r="B13" t="s">
        <v>3476</v>
      </c>
      <c r="C13" t="s">
        <v>3665</v>
      </c>
      <c r="D13" t="s">
        <v>2802</v>
      </c>
      <c r="E13" t="s">
        <v>3571</v>
      </c>
      <c r="G13">
        <v>4.75</v>
      </c>
      <c r="I13" t="s">
        <v>3824</v>
      </c>
      <c r="J13" t="s">
        <v>3856</v>
      </c>
      <c r="K13" s="256" t="s">
        <v>3902</v>
      </c>
      <c r="L13" s="54">
        <f>Table2727[[#This Row],[Listed Material Price]]/Table2727[[#This Row],[Linear Feet]]</f>
        <v>0.62736842105263158</v>
      </c>
      <c r="R13" t="s">
        <v>99</v>
      </c>
      <c r="S13" t="s">
        <v>4406</v>
      </c>
      <c r="T13" t="s">
        <v>71</v>
      </c>
    </row>
    <row r="14" spans="1:32" x14ac:dyDescent="0.2">
      <c r="A14" t="s">
        <v>4199</v>
      </c>
      <c r="B14" t="s">
        <v>3476</v>
      </c>
      <c r="C14" t="s">
        <v>3674</v>
      </c>
      <c r="D14" t="s">
        <v>2802</v>
      </c>
      <c r="E14" t="s">
        <v>3571</v>
      </c>
      <c r="G14">
        <v>4.75</v>
      </c>
      <c r="I14" t="s">
        <v>3811</v>
      </c>
      <c r="J14" t="s">
        <v>3856</v>
      </c>
      <c r="K14" s="256" t="s">
        <v>3987</v>
      </c>
      <c r="L14" s="54">
        <f>Table2727[[#This Row],[Listed Material Price]]/Table2727[[#This Row],[Linear Feet]]</f>
        <v>0.64</v>
      </c>
      <c r="R14" t="s">
        <v>99</v>
      </c>
      <c r="S14" t="s">
        <v>4415</v>
      </c>
      <c r="T14" t="s">
        <v>71</v>
      </c>
    </row>
    <row r="15" spans="1:32" x14ac:dyDescent="0.2">
      <c r="A15" t="s">
        <v>4126</v>
      </c>
      <c r="B15" t="s">
        <v>3476</v>
      </c>
      <c r="C15" t="s">
        <v>3596</v>
      </c>
      <c r="D15" t="s">
        <v>2802</v>
      </c>
      <c r="E15" t="s">
        <v>3573</v>
      </c>
      <c r="G15">
        <v>6.75</v>
      </c>
      <c r="I15" t="s">
        <v>3811</v>
      </c>
      <c r="J15" t="s">
        <v>3815</v>
      </c>
      <c r="K15" s="256" t="s">
        <v>3915</v>
      </c>
      <c r="L15" s="54">
        <f>Table2727[[#This Row],[Listed Material Price]]/Table2727[[#This Row],[Linear Feet]]</f>
        <v>0.66962962962962957</v>
      </c>
      <c r="R15" t="s">
        <v>99</v>
      </c>
      <c r="S15" t="s">
        <v>4342</v>
      </c>
      <c r="T15" t="s">
        <v>72</v>
      </c>
    </row>
    <row r="16" spans="1:32" x14ac:dyDescent="0.2">
      <c r="A16" t="s">
        <v>4174</v>
      </c>
      <c r="B16" t="s">
        <v>3476</v>
      </c>
      <c r="C16" t="s">
        <v>3648</v>
      </c>
      <c r="D16" t="s">
        <v>2802</v>
      </c>
      <c r="E16" t="s">
        <v>3571</v>
      </c>
      <c r="G16">
        <v>3.6</v>
      </c>
      <c r="I16" t="s">
        <v>3824</v>
      </c>
      <c r="J16" t="s">
        <v>3856</v>
      </c>
      <c r="K16" s="256" t="s">
        <v>3963</v>
      </c>
      <c r="L16" s="54">
        <f>Table2727[[#This Row],[Listed Material Price]]/Table2727[[#This Row],[Linear Feet]]</f>
        <v>0.93055555555555558</v>
      </c>
      <c r="R16" t="s">
        <v>99</v>
      </c>
      <c r="S16" t="s">
        <v>4390</v>
      </c>
      <c r="T16" t="s">
        <v>71</v>
      </c>
    </row>
    <row r="17" spans="1:20" x14ac:dyDescent="0.2">
      <c r="A17" t="s">
        <v>4206</v>
      </c>
      <c r="B17" t="s">
        <v>3608</v>
      </c>
      <c r="C17" t="s">
        <v>3681</v>
      </c>
      <c r="D17" t="s">
        <v>2802</v>
      </c>
      <c r="E17" t="s">
        <v>3571</v>
      </c>
      <c r="G17">
        <v>73</v>
      </c>
      <c r="I17" t="s">
        <v>3822</v>
      </c>
      <c r="J17" t="s">
        <v>3851</v>
      </c>
      <c r="K17" s="256" t="s">
        <v>3994</v>
      </c>
      <c r="L17" s="54">
        <f>Table2727[[#This Row],[Listed Material Price]]/Table2727[[#This Row],[Linear Feet]]</f>
        <v>1.0310958904109588</v>
      </c>
      <c r="R17" t="s">
        <v>99</v>
      </c>
      <c r="S17" t="s">
        <v>4422</v>
      </c>
      <c r="T17" t="s">
        <v>71</v>
      </c>
    </row>
    <row r="18" spans="1:20" x14ac:dyDescent="0.2">
      <c r="A18" t="s">
        <v>4177</v>
      </c>
      <c r="B18" t="s">
        <v>3651</v>
      </c>
      <c r="C18" t="s">
        <v>3652</v>
      </c>
      <c r="D18" t="s">
        <v>2802</v>
      </c>
      <c r="E18" t="s">
        <v>3576</v>
      </c>
      <c r="G18">
        <v>18</v>
      </c>
      <c r="I18" t="s">
        <v>3826</v>
      </c>
      <c r="J18" t="s">
        <v>3862</v>
      </c>
      <c r="K18" s="256" t="s">
        <v>3966</v>
      </c>
      <c r="L18" s="54">
        <f>Table2727[[#This Row],[Listed Material Price]]/Table2727[[#This Row],[Linear Feet]]</f>
        <v>1.0944444444444443</v>
      </c>
      <c r="R18" t="s">
        <v>99</v>
      </c>
      <c r="S18" t="s">
        <v>4393</v>
      </c>
      <c r="T18" t="s">
        <v>71</v>
      </c>
    </row>
    <row r="19" spans="1:20" x14ac:dyDescent="0.2">
      <c r="A19" t="s">
        <v>4117</v>
      </c>
      <c r="B19" t="s">
        <v>3581</v>
      </c>
      <c r="C19" t="s">
        <v>3584</v>
      </c>
      <c r="D19" t="s">
        <v>2802</v>
      </c>
      <c r="E19" t="s">
        <v>3571</v>
      </c>
      <c r="G19">
        <v>6</v>
      </c>
      <c r="I19" t="s">
        <v>3808</v>
      </c>
      <c r="J19" t="s">
        <v>3837</v>
      </c>
      <c r="K19" s="256" t="s">
        <v>3906</v>
      </c>
      <c r="L19" s="54">
        <f>Table2727[[#This Row],[Listed Material Price]]/Table2727[[#This Row],[Linear Feet]]</f>
        <v>1.1116666666666666</v>
      </c>
      <c r="R19" t="s">
        <v>99</v>
      </c>
      <c r="S19" t="s">
        <v>4332</v>
      </c>
      <c r="T19" t="s">
        <v>71</v>
      </c>
    </row>
    <row r="20" spans="1:20" x14ac:dyDescent="0.2">
      <c r="A20" t="s">
        <v>3423</v>
      </c>
      <c r="C20" t="s">
        <v>2960</v>
      </c>
      <c r="F20" t="s">
        <v>3424</v>
      </c>
      <c r="G20">
        <v>1</v>
      </c>
      <c r="H20">
        <v>0.5</v>
      </c>
      <c r="I20">
        <v>0.25</v>
      </c>
      <c r="K20" s="55">
        <v>1.1399999999999999</v>
      </c>
      <c r="L20" s="245">
        <f>Table2727[[#This Row],[Listed Material Price]]/Table2727[[#This Row],[Linear Feet]]</f>
        <v>1.1399999999999999</v>
      </c>
      <c r="M20" s="64">
        <v>8.8999999999999996E-2</v>
      </c>
      <c r="N20" s="245">
        <v>3.6</v>
      </c>
      <c r="O20" s="245">
        <v>7.25</v>
      </c>
      <c r="R20" t="s">
        <v>70</v>
      </c>
      <c r="T20" t="s">
        <v>72</v>
      </c>
    </row>
    <row r="21" spans="1:20" x14ac:dyDescent="0.2">
      <c r="A21" t="s">
        <v>4262</v>
      </c>
      <c r="B21" t="s">
        <v>3476</v>
      </c>
      <c r="C21" t="s">
        <v>3738</v>
      </c>
      <c r="D21" t="s">
        <v>2802</v>
      </c>
      <c r="E21" t="s">
        <v>401</v>
      </c>
      <c r="G21">
        <v>9</v>
      </c>
      <c r="I21" t="s">
        <v>3820</v>
      </c>
      <c r="J21" t="s">
        <v>3812</v>
      </c>
      <c r="K21" s="256" t="s">
        <v>4049</v>
      </c>
      <c r="L21" s="54">
        <f>Table2727[[#This Row],[Listed Material Price]]/Table2727[[#This Row],[Linear Feet]]</f>
        <v>1.151111111111111</v>
      </c>
      <c r="R21" t="s">
        <v>99</v>
      </c>
      <c r="S21" t="s">
        <v>4478</v>
      </c>
      <c r="T21" t="s">
        <v>71</v>
      </c>
    </row>
    <row r="22" spans="1:20" x14ac:dyDescent="0.2">
      <c r="A22" t="s">
        <v>4157</v>
      </c>
      <c r="B22" t="s">
        <v>3608</v>
      </c>
      <c r="C22" t="s">
        <v>3631</v>
      </c>
      <c r="D22" t="s">
        <v>2802</v>
      </c>
      <c r="E22" t="s">
        <v>3575</v>
      </c>
      <c r="G22">
        <v>73</v>
      </c>
      <c r="I22" t="s">
        <v>3822</v>
      </c>
      <c r="J22" t="s">
        <v>3851</v>
      </c>
      <c r="K22" s="256" t="s">
        <v>3945</v>
      </c>
      <c r="L22" s="54">
        <f>Table2727[[#This Row],[Listed Material Price]]/Table2727[[#This Row],[Linear Feet]]</f>
        <v>1.1575342465753424</v>
      </c>
      <c r="R22" t="s">
        <v>99</v>
      </c>
      <c r="S22" t="s">
        <v>4373</v>
      </c>
      <c r="T22" t="s">
        <v>71</v>
      </c>
    </row>
    <row r="23" spans="1:20" x14ac:dyDescent="0.2">
      <c r="A23" t="s">
        <v>4178</v>
      </c>
      <c r="B23" t="s">
        <v>3651</v>
      </c>
      <c r="C23" t="s">
        <v>3653</v>
      </c>
      <c r="D23" t="s">
        <v>2802</v>
      </c>
      <c r="E23" t="s">
        <v>3576</v>
      </c>
      <c r="G23">
        <v>24</v>
      </c>
      <c r="I23" t="s">
        <v>3826</v>
      </c>
      <c r="J23" t="s">
        <v>3862</v>
      </c>
      <c r="K23" s="256" t="s">
        <v>3967</v>
      </c>
      <c r="L23" s="54">
        <f>Table2727[[#This Row],[Listed Material Price]]/Table2727[[#This Row],[Linear Feet]]</f>
        <v>1.1645833333333333</v>
      </c>
      <c r="R23" t="s">
        <v>99</v>
      </c>
      <c r="S23" t="s">
        <v>4394</v>
      </c>
      <c r="T23" t="s">
        <v>71</v>
      </c>
    </row>
    <row r="24" spans="1:20" x14ac:dyDescent="0.2">
      <c r="A24" t="s">
        <v>4187</v>
      </c>
      <c r="B24" t="s">
        <v>3608</v>
      </c>
      <c r="C24" t="s">
        <v>3662</v>
      </c>
      <c r="D24" t="s">
        <v>2802</v>
      </c>
      <c r="E24" t="s">
        <v>3571</v>
      </c>
      <c r="G24">
        <v>73</v>
      </c>
      <c r="I24" t="s">
        <v>3810</v>
      </c>
      <c r="J24" t="s">
        <v>3842</v>
      </c>
      <c r="K24" s="256" t="s">
        <v>3976</v>
      </c>
      <c r="L24" s="54">
        <f>Table2727[[#This Row],[Listed Material Price]]/Table2727[[#This Row],[Linear Feet]]</f>
        <v>1.1728767123287671</v>
      </c>
      <c r="R24" t="s">
        <v>99</v>
      </c>
      <c r="S24" t="s">
        <v>4403</v>
      </c>
      <c r="T24" t="s">
        <v>71</v>
      </c>
    </row>
    <row r="25" spans="1:20" x14ac:dyDescent="0.2">
      <c r="A25" t="s">
        <v>4146</v>
      </c>
      <c r="B25" t="s">
        <v>3608</v>
      </c>
      <c r="C25" t="s">
        <v>3619</v>
      </c>
      <c r="D25" t="s">
        <v>2802</v>
      </c>
      <c r="E25" t="s">
        <v>3571</v>
      </c>
      <c r="G25">
        <v>73</v>
      </c>
      <c r="I25" t="s">
        <v>3819</v>
      </c>
      <c r="J25" t="s">
        <v>3820</v>
      </c>
      <c r="K25" s="256" t="s">
        <v>3934</v>
      </c>
      <c r="L25" s="54">
        <f>Table2727[[#This Row],[Listed Material Price]]/Table2727[[#This Row],[Linear Feet]]</f>
        <v>1.1828767123287671</v>
      </c>
      <c r="R25" t="s">
        <v>99</v>
      </c>
      <c r="S25" t="s">
        <v>4362</v>
      </c>
      <c r="T25" t="s">
        <v>71</v>
      </c>
    </row>
    <row r="26" spans="1:20" x14ac:dyDescent="0.2">
      <c r="A26" t="s">
        <v>3423</v>
      </c>
      <c r="C26" t="s">
        <v>2952</v>
      </c>
      <c r="F26" t="s">
        <v>3424</v>
      </c>
      <c r="G26">
        <v>1</v>
      </c>
      <c r="H26">
        <v>0.5</v>
      </c>
      <c r="I26">
        <v>0.5</v>
      </c>
      <c r="K26" s="55">
        <v>1.25</v>
      </c>
      <c r="L26" s="244">
        <f>Table2727[[#This Row],[Listed Material Price]]/Table2727[[#This Row],[Linear Feet]]</f>
        <v>1.25</v>
      </c>
      <c r="M26" s="248">
        <v>0.09</v>
      </c>
      <c r="N26" s="244">
        <v>3.64</v>
      </c>
      <c r="O26" s="244">
        <v>7.43</v>
      </c>
      <c r="R26" t="s">
        <v>70</v>
      </c>
      <c r="T26" t="s">
        <v>72</v>
      </c>
    </row>
    <row r="27" spans="1:20" x14ac:dyDescent="0.2">
      <c r="A27" t="s">
        <v>4125</v>
      </c>
      <c r="B27" t="s">
        <v>2487</v>
      </c>
      <c r="C27" t="s">
        <v>3595</v>
      </c>
      <c r="D27" t="s">
        <v>2802</v>
      </c>
      <c r="E27" t="s">
        <v>3572</v>
      </c>
      <c r="G27">
        <v>3</v>
      </c>
      <c r="I27" t="s">
        <v>3811</v>
      </c>
      <c r="J27" t="s">
        <v>3835</v>
      </c>
      <c r="K27" s="256" t="s">
        <v>3914</v>
      </c>
      <c r="L27" s="54">
        <f>Table2727[[#This Row],[Listed Material Price]]/Table2727[[#This Row],[Linear Feet]]</f>
        <v>1.26</v>
      </c>
      <c r="R27" t="s">
        <v>99</v>
      </c>
      <c r="S27" t="s">
        <v>4341</v>
      </c>
      <c r="T27" t="s">
        <v>71</v>
      </c>
    </row>
    <row r="28" spans="1:20" x14ac:dyDescent="0.2">
      <c r="A28" t="s">
        <v>4215</v>
      </c>
      <c r="B28" t="s">
        <v>3608</v>
      </c>
      <c r="C28" t="s">
        <v>3690</v>
      </c>
      <c r="D28" t="s">
        <v>2802</v>
      </c>
      <c r="E28" t="s">
        <v>3571</v>
      </c>
      <c r="G28">
        <v>73</v>
      </c>
      <c r="I28" t="s">
        <v>3814</v>
      </c>
      <c r="J28" t="s">
        <v>3820</v>
      </c>
      <c r="K28" s="256" t="s">
        <v>4002</v>
      </c>
      <c r="L28" s="54">
        <f>Table2727[[#This Row],[Listed Material Price]]/Table2727[[#This Row],[Linear Feet]]</f>
        <v>1.2623287671232877</v>
      </c>
      <c r="R28" t="s">
        <v>99</v>
      </c>
      <c r="S28" t="s">
        <v>4431</v>
      </c>
      <c r="T28" t="s">
        <v>71</v>
      </c>
    </row>
    <row r="29" spans="1:20" x14ac:dyDescent="0.2">
      <c r="A29" t="s">
        <v>4216</v>
      </c>
      <c r="B29" t="s">
        <v>3651</v>
      </c>
      <c r="C29" t="s">
        <v>3691</v>
      </c>
      <c r="D29" t="s">
        <v>2802</v>
      </c>
      <c r="E29" t="s">
        <v>3576</v>
      </c>
      <c r="G29">
        <v>24</v>
      </c>
      <c r="I29" t="s">
        <v>3826</v>
      </c>
      <c r="J29" t="s">
        <v>3862</v>
      </c>
      <c r="K29" s="256" t="s">
        <v>4003</v>
      </c>
      <c r="L29" s="54">
        <f>Table2727[[#This Row],[Listed Material Price]]/Table2727[[#This Row],[Linear Feet]]</f>
        <v>1.2987500000000001</v>
      </c>
      <c r="R29" t="s">
        <v>99</v>
      </c>
      <c r="S29" t="s">
        <v>4432</v>
      </c>
      <c r="T29" t="s">
        <v>71</v>
      </c>
    </row>
    <row r="30" spans="1:20" x14ac:dyDescent="0.2">
      <c r="A30" t="s">
        <v>3423</v>
      </c>
      <c r="C30" t="s">
        <v>2957</v>
      </c>
      <c r="F30" t="s">
        <v>3424</v>
      </c>
      <c r="G30">
        <v>1</v>
      </c>
      <c r="H30">
        <v>0.5</v>
      </c>
      <c r="I30">
        <v>0.75</v>
      </c>
      <c r="K30" s="55">
        <v>1.3</v>
      </c>
      <c r="L30" s="244">
        <f>Table2727[[#This Row],[Listed Material Price]]/Table2727[[#This Row],[Linear Feet]]</f>
        <v>1.3</v>
      </c>
      <c r="M30" s="248">
        <v>0.09</v>
      </c>
      <c r="N30" s="244">
        <v>3.64</v>
      </c>
      <c r="O30" s="244">
        <v>7.48</v>
      </c>
      <c r="R30" t="s">
        <v>70</v>
      </c>
      <c r="T30" t="s">
        <v>72</v>
      </c>
    </row>
    <row r="31" spans="1:20" x14ac:dyDescent="0.2">
      <c r="A31" t="s">
        <v>4267</v>
      </c>
      <c r="B31" t="s">
        <v>3716</v>
      </c>
      <c r="C31" t="s">
        <v>3743</v>
      </c>
      <c r="D31" t="s">
        <v>2802</v>
      </c>
      <c r="E31" t="s">
        <v>3573</v>
      </c>
      <c r="G31">
        <v>9.75</v>
      </c>
      <c r="I31" t="s">
        <v>3820</v>
      </c>
      <c r="J31" t="s">
        <v>3815</v>
      </c>
      <c r="K31" s="256" t="s">
        <v>4054</v>
      </c>
      <c r="L31" s="54">
        <f>Table2727[[#This Row],[Listed Material Price]]/Table2727[[#This Row],[Linear Feet]]</f>
        <v>1.3312820512820513</v>
      </c>
      <c r="R31" t="s">
        <v>99</v>
      </c>
      <c r="S31" t="s">
        <v>4483</v>
      </c>
      <c r="T31" t="s">
        <v>72</v>
      </c>
    </row>
    <row r="32" spans="1:20" x14ac:dyDescent="0.2">
      <c r="A32" t="s">
        <v>4220</v>
      </c>
      <c r="B32" t="s">
        <v>3608</v>
      </c>
      <c r="C32" t="s">
        <v>3695</v>
      </c>
      <c r="D32" t="s">
        <v>2802</v>
      </c>
      <c r="E32" t="s">
        <v>3571</v>
      </c>
      <c r="G32">
        <v>73</v>
      </c>
      <c r="I32" t="s">
        <v>3822</v>
      </c>
      <c r="J32" t="s">
        <v>3864</v>
      </c>
      <c r="K32" s="256" t="s">
        <v>4007</v>
      </c>
      <c r="L32" s="54">
        <f>Table2727[[#This Row],[Listed Material Price]]/Table2727[[#This Row],[Linear Feet]]</f>
        <v>1.3339726027397261</v>
      </c>
      <c r="R32" t="s">
        <v>99</v>
      </c>
      <c r="S32" t="s">
        <v>4436</v>
      </c>
      <c r="T32" t="s">
        <v>71</v>
      </c>
    </row>
    <row r="33" spans="1:20" x14ac:dyDescent="0.2">
      <c r="A33" t="s">
        <v>4181</v>
      </c>
      <c r="B33" t="s">
        <v>3608</v>
      </c>
      <c r="C33" t="s">
        <v>3656</v>
      </c>
      <c r="D33" t="s">
        <v>2802</v>
      </c>
      <c r="E33" t="s">
        <v>3575</v>
      </c>
      <c r="G33">
        <v>73</v>
      </c>
      <c r="I33" t="s">
        <v>3816</v>
      </c>
      <c r="J33" t="s">
        <v>3862</v>
      </c>
      <c r="K33" s="256" t="s">
        <v>3970</v>
      </c>
      <c r="L33" s="54">
        <f>Table2727[[#This Row],[Listed Material Price]]/Table2727[[#This Row],[Linear Feet]]</f>
        <v>1.3645205479452054</v>
      </c>
      <c r="R33" t="s">
        <v>99</v>
      </c>
      <c r="S33" t="s">
        <v>4397</v>
      </c>
      <c r="T33" t="s">
        <v>71</v>
      </c>
    </row>
    <row r="34" spans="1:20" x14ac:dyDescent="0.2">
      <c r="A34" t="s">
        <v>4237</v>
      </c>
      <c r="B34" t="s">
        <v>3585</v>
      </c>
      <c r="C34" t="s">
        <v>3712</v>
      </c>
      <c r="D34" t="s">
        <v>2802</v>
      </c>
      <c r="E34" t="s">
        <v>3571</v>
      </c>
      <c r="G34">
        <v>76.625</v>
      </c>
      <c r="I34" t="s">
        <v>3814</v>
      </c>
      <c r="J34" t="s">
        <v>3835</v>
      </c>
      <c r="K34" s="256" t="s">
        <v>4024</v>
      </c>
      <c r="L34" s="54">
        <f>Table2727[[#This Row],[Listed Material Price]]/Table2727[[#This Row],[Linear Feet]]</f>
        <v>1.3653507340946167</v>
      </c>
      <c r="R34" t="s">
        <v>99</v>
      </c>
      <c r="S34" t="s">
        <v>4453</v>
      </c>
      <c r="T34" t="s">
        <v>71</v>
      </c>
    </row>
    <row r="35" spans="1:20" x14ac:dyDescent="0.2">
      <c r="A35" t="s">
        <v>4257</v>
      </c>
      <c r="B35" t="s">
        <v>1169</v>
      </c>
      <c r="C35" t="s">
        <v>3733</v>
      </c>
      <c r="D35" t="s">
        <v>2802</v>
      </c>
      <c r="E35" t="s">
        <v>3571</v>
      </c>
      <c r="G35">
        <v>73</v>
      </c>
      <c r="I35" t="s">
        <v>3828</v>
      </c>
      <c r="J35" t="s">
        <v>3880</v>
      </c>
      <c r="K35" s="256" t="s">
        <v>4044</v>
      </c>
      <c r="L35" s="54">
        <f>Table2727[[#This Row],[Listed Material Price]]/Table2727[[#This Row],[Linear Feet]]</f>
        <v>1.3950684931506849</v>
      </c>
      <c r="R35" t="s">
        <v>99</v>
      </c>
      <c r="S35" t="s">
        <v>4473</v>
      </c>
      <c r="T35" t="s">
        <v>71</v>
      </c>
    </row>
    <row r="36" spans="1:20" x14ac:dyDescent="0.2">
      <c r="A36" t="s">
        <v>4180</v>
      </c>
      <c r="B36" t="s">
        <v>3585</v>
      </c>
      <c r="C36" t="s">
        <v>3655</v>
      </c>
      <c r="D36" t="s">
        <v>2802</v>
      </c>
      <c r="E36" t="s">
        <v>3571</v>
      </c>
      <c r="G36">
        <v>76.625</v>
      </c>
      <c r="I36" t="s">
        <v>3814</v>
      </c>
      <c r="J36" t="s">
        <v>3864</v>
      </c>
      <c r="K36" s="256" t="s">
        <v>3969</v>
      </c>
      <c r="L36" s="54">
        <f>Table2727[[#This Row],[Listed Material Price]]/Table2727[[#This Row],[Linear Feet]]</f>
        <v>1.4118107667210442</v>
      </c>
      <c r="R36" t="s">
        <v>99</v>
      </c>
      <c r="S36" t="s">
        <v>4396</v>
      </c>
      <c r="T36" t="s">
        <v>71</v>
      </c>
    </row>
    <row r="37" spans="1:20" x14ac:dyDescent="0.2">
      <c r="A37" t="s">
        <v>4183</v>
      </c>
      <c r="B37" t="s">
        <v>3585</v>
      </c>
      <c r="C37" t="s">
        <v>3658</v>
      </c>
      <c r="D37" t="s">
        <v>2802</v>
      </c>
      <c r="E37" t="s">
        <v>3575</v>
      </c>
      <c r="G37">
        <v>76.625</v>
      </c>
      <c r="I37" t="s">
        <v>3827</v>
      </c>
      <c r="J37" t="s">
        <v>3846</v>
      </c>
      <c r="K37" s="256" t="s">
        <v>3972</v>
      </c>
      <c r="L37" s="54">
        <f>Table2727[[#This Row],[Listed Material Price]]/Table2727[[#This Row],[Linear Feet]]</f>
        <v>1.4243393148450245</v>
      </c>
      <c r="R37" t="s">
        <v>99</v>
      </c>
      <c r="S37" t="s">
        <v>4399</v>
      </c>
      <c r="T37" t="s">
        <v>71</v>
      </c>
    </row>
    <row r="38" spans="1:20" x14ac:dyDescent="0.2">
      <c r="A38" t="s">
        <v>4264</v>
      </c>
      <c r="B38" t="s">
        <v>3608</v>
      </c>
      <c r="C38" t="s">
        <v>3740</v>
      </c>
      <c r="D38" t="s">
        <v>2802</v>
      </c>
      <c r="E38" t="s">
        <v>3571</v>
      </c>
      <c r="G38">
        <v>73</v>
      </c>
      <c r="I38" t="s">
        <v>3814</v>
      </c>
      <c r="J38" t="s">
        <v>3820</v>
      </c>
      <c r="K38" s="256" t="s">
        <v>4051</v>
      </c>
      <c r="L38" s="54">
        <f>Table2727[[#This Row],[Listed Material Price]]/Table2727[[#This Row],[Linear Feet]]</f>
        <v>1.4245205479452054</v>
      </c>
      <c r="R38" t="s">
        <v>99</v>
      </c>
      <c r="S38" t="s">
        <v>4480</v>
      </c>
      <c r="T38" t="s">
        <v>71</v>
      </c>
    </row>
    <row r="39" spans="1:20" x14ac:dyDescent="0.2">
      <c r="A39" t="s">
        <v>4159</v>
      </c>
      <c r="B39" t="s">
        <v>3476</v>
      </c>
      <c r="C39" t="s">
        <v>3633</v>
      </c>
      <c r="D39" t="s">
        <v>2802</v>
      </c>
      <c r="E39" t="s">
        <v>401</v>
      </c>
      <c r="G39">
        <v>15</v>
      </c>
      <c r="I39" t="s">
        <v>3820</v>
      </c>
      <c r="J39" t="s">
        <v>3812</v>
      </c>
      <c r="K39" s="256" t="s">
        <v>3947</v>
      </c>
      <c r="L39" s="54">
        <f>Table2727[[#This Row],[Listed Material Price]]/Table2727[[#This Row],[Linear Feet]]</f>
        <v>1.4319999999999999</v>
      </c>
      <c r="R39" t="s">
        <v>99</v>
      </c>
      <c r="S39" t="s">
        <v>4375</v>
      </c>
      <c r="T39" t="s">
        <v>71</v>
      </c>
    </row>
    <row r="40" spans="1:20" x14ac:dyDescent="0.2">
      <c r="A40" t="s">
        <v>4140</v>
      </c>
      <c r="B40" t="s">
        <v>3608</v>
      </c>
      <c r="C40" t="s">
        <v>3612</v>
      </c>
      <c r="D40" t="s">
        <v>2802</v>
      </c>
      <c r="E40" t="s">
        <v>3575</v>
      </c>
      <c r="G40">
        <v>73</v>
      </c>
      <c r="I40" t="s">
        <v>3814</v>
      </c>
      <c r="J40" t="s">
        <v>3842</v>
      </c>
      <c r="K40" s="256" t="s">
        <v>3927</v>
      </c>
      <c r="L40" s="54">
        <f>Table2727[[#This Row],[Listed Material Price]]/Table2727[[#This Row],[Linear Feet]]</f>
        <v>1.4400000000000002</v>
      </c>
      <c r="R40" t="s">
        <v>99</v>
      </c>
      <c r="S40" t="s">
        <v>4355</v>
      </c>
      <c r="T40" t="s">
        <v>71</v>
      </c>
    </row>
    <row r="41" spans="1:20" x14ac:dyDescent="0.2">
      <c r="A41" t="s">
        <v>4137</v>
      </c>
      <c r="B41" t="s">
        <v>3608</v>
      </c>
      <c r="C41" t="s">
        <v>3609</v>
      </c>
      <c r="D41" t="s">
        <v>2802</v>
      </c>
      <c r="E41" t="s">
        <v>3575</v>
      </c>
      <c r="G41">
        <v>73</v>
      </c>
      <c r="I41" t="s">
        <v>3810</v>
      </c>
      <c r="J41" t="s">
        <v>3841</v>
      </c>
      <c r="K41" s="256" t="s">
        <v>3925</v>
      </c>
      <c r="L41" s="54">
        <f>Table2727[[#This Row],[Listed Material Price]]/Table2727[[#This Row],[Linear Feet]]</f>
        <v>1.451095890410959</v>
      </c>
      <c r="R41" t="s">
        <v>99</v>
      </c>
      <c r="S41" t="s">
        <v>4352</v>
      </c>
      <c r="T41" t="s">
        <v>71</v>
      </c>
    </row>
    <row r="42" spans="1:20" x14ac:dyDescent="0.2">
      <c r="A42" t="s">
        <v>4201</v>
      </c>
      <c r="B42" t="s">
        <v>3608</v>
      </c>
      <c r="C42" t="s">
        <v>3676</v>
      </c>
      <c r="D42" t="s">
        <v>2802</v>
      </c>
      <c r="E42" t="s">
        <v>3571</v>
      </c>
      <c r="G42">
        <v>73</v>
      </c>
      <c r="I42" t="s">
        <v>3810</v>
      </c>
      <c r="J42" t="s">
        <v>3841</v>
      </c>
      <c r="K42" s="256" t="s">
        <v>3989</v>
      </c>
      <c r="L42" s="54">
        <f>Table2727[[#This Row],[Listed Material Price]]/Table2727[[#This Row],[Linear Feet]]</f>
        <v>1.4546575342465753</v>
      </c>
      <c r="R42" t="s">
        <v>99</v>
      </c>
      <c r="S42" t="s">
        <v>4417</v>
      </c>
      <c r="T42" t="s">
        <v>71</v>
      </c>
    </row>
    <row r="43" spans="1:20" x14ac:dyDescent="0.2">
      <c r="A43" t="s">
        <v>4116</v>
      </c>
      <c r="B43" t="s">
        <v>3581</v>
      </c>
      <c r="C43" t="s">
        <v>3582</v>
      </c>
      <c r="D43" t="s">
        <v>2802</v>
      </c>
      <c r="E43" t="s">
        <v>3571</v>
      </c>
      <c r="G43">
        <v>6</v>
      </c>
      <c r="I43" t="s">
        <v>3806</v>
      </c>
      <c r="J43" t="s">
        <v>3836</v>
      </c>
      <c r="K43" s="256" t="s">
        <v>3905</v>
      </c>
      <c r="L43" s="54">
        <f>Table2727[[#This Row],[Listed Material Price]]/Table2727[[#This Row],[Linear Feet]]</f>
        <v>1.4633333333333332</v>
      </c>
      <c r="R43" t="s">
        <v>99</v>
      </c>
      <c r="S43" t="s">
        <v>4330</v>
      </c>
      <c r="T43" t="s">
        <v>71</v>
      </c>
    </row>
    <row r="44" spans="1:20" x14ac:dyDescent="0.2">
      <c r="A44" t="s">
        <v>4116</v>
      </c>
      <c r="B44" t="s">
        <v>3579</v>
      </c>
      <c r="C44" t="s">
        <v>3583</v>
      </c>
      <c r="D44" t="s">
        <v>2802</v>
      </c>
      <c r="E44" t="s">
        <v>3571</v>
      </c>
      <c r="G44">
        <v>6</v>
      </c>
      <c r="I44" t="s">
        <v>3804</v>
      </c>
      <c r="J44" t="s">
        <v>3837</v>
      </c>
      <c r="K44" s="256" t="s">
        <v>3905</v>
      </c>
      <c r="L44" s="54">
        <f>Table2727[[#This Row],[Listed Material Price]]/Table2727[[#This Row],[Linear Feet]]</f>
        <v>1.4633333333333332</v>
      </c>
      <c r="R44" t="s">
        <v>99</v>
      </c>
      <c r="S44" t="s">
        <v>4331</v>
      </c>
      <c r="T44" t="s">
        <v>71</v>
      </c>
    </row>
    <row r="45" spans="1:20" x14ac:dyDescent="0.2">
      <c r="A45" t="s">
        <v>4148</v>
      </c>
      <c r="B45" t="s">
        <v>3608</v>
      </c>
      <c r="C45" t="s">
        <v>3621</v>
      </c>
      <c r="D45" t="s">
        <v>2802</v>
      </c>
      <c r="E45" t="s">
        <v>3571</v>
      </c>
      <c r="G45">
        <v>73</v>
      </c>
      <c r="I45" t="s">
        <v>3821</v>
      </c>
      <c r="J45" t="s">
        <v>3846</v>
      </c>
      <c r="K45" s="256" t="s">
        <v>3936</v>
      </c>
      <c r="L45" s="54">
        <f>Table2727[[#This Row],[Listed Material Price]]/Table2727[[#This Row],[Linear Feet]]</f>
        <v>1.4652054794520548</v>
      </c>
      <c r="R45" t="s">
        <v>99</v>
      </c>
      <c r="S45" t="s">
        <v>4364</v>
      </c>
      <c r="T45" t="s">
        <v>71</v>
      </c>
    </row>
    <row r="46" spans="1:20" x14ac:dyDescent="0.2">
      <c r="A46" t="s">
        <v>4121</v>
      </c>
      <c r="B46" t="s">
        <v>2487</v>
      </c>
      <c r="C46" t="s">
        <v>3590</v>
      </c>
      <c r="D46" t="s">
        <v>2802</v>
      </c>
      <c r="E46" t="s">
        <v>3571</v>
      </c>
      <c r="G46">
        <v>5</v>
      </c>
      <c r="I46" t="s">
        <v>3804</v>
      </c>
      <c r="J46" t="s">
        <v>3837</v>
      </c>
      <c r="K46" s="256" t="s">
        <v>3910</v>
      </c>
      <c r="L46" s="54">
        <f>Table2727[[#This Row],[Listed Material Price]]/Table2727[[#This Row],[Linear Feet]]</f>
        <v>1.48</v>
      </c>
      <c r="R46" t="s">
        <v>99</v>
      </c>
      <c r="S46" t="s">
        <v>4337</v>
      </c>
      <c r="T46" t="s">
        <v>71</v>
      </c>
    </row>
    <row r="47" spans="1:20" x14ac:dyDescent="0.2">
      <c r="A47" t="s">
        <v>4186</v>
      </c>
      <c r="B47" t="s">
        <v>3608</v>
      </c>
      <c r="C47" t="s">
        <v>3661</v>
      </c>
      <c r="D47" t="s">
        <v>2802</v>
      </c>
      <c r="E47" t="s">
        <v>3571</v>
      </c>
      <c r="G47">
        <v>73</v>
      </c>
      <c r="I47" t="s">
        <v>3814</v>
      </c>
      <c r="J47" t="s">
        <v>3853</v>
      </c>
      <c r="K47" s="256" t="s">
        <v>3975</v>
      </c>
      <c r="L47" s="54">
        <f>Table2727[[#This Row],[Listed Material Price]]/Table2727[[#This Row],[Linear Feet]]</f>
        <v>1.4836986301369863</v>
      </c>
      <c r="R47" t="s">
        <v>99</v>
      </c>
      <c r="S47" t="s">
        <v>4402</v>
      </c>
      <c r="T47" t="s">
        <v>71</v>
      </c>
    </row>
    <row r="48" spans="1:20" x14ac:dyDescent="0.2">
      <c r="A48" t="s">
        <v>4182</v>
      </c>
      <c r="B48" t="s">
        <v>3608</v>
      </c>
      <c r="C48" t="s">
        <v>3657</v>
      </c>
      <c r="D48" t="s">
        <v>2802</v>
      </c>
      <c r="E48" t="s">
        <v>3571</v>
      </c>
      <c r="G48">
        <v>73</v>
      </c>
      <c r="I48" t="s">
        <v>3819</v>
      </c>
      <c r="J48" t="s">
        <v>3858</v>
      </c>
      <c r="K48" s="256" t="s">
        <v>3971</v>
      </c>
      <c r="L48" s="54">
        <f>Table2727[[#This Row],[Listed Material Price]]/Table2727[[#This Row],[Linear Feet]]</f>
        <v>1.4871232876712328</v>
      </c>
      <c r="R48" t="s">
        <v>99</v>
      </c>
      <c r="S48" t="s">
        <v>4398</v>
      </c>
      <c r="T48" t="s">
        <v>71</v>
      </c>
    </row>
    <row r="49" spans="1:20" x14ac:dyDescent="0.2">
      <c r="A49" t="s">
        <v>4321</v>
      </c>
      <c r="B49" t="s">
        <v>1169</v>
      </c>
      <c r="C49" t="s">
        <v>3797</v>
      </c>
      <c r="D49" t="s">
        <v>2802</v>
      </c>
      <c r="E49" t="s">
        <v>3575</v>
      </c>
      <c r="G49">
        <v>76.625</v>
      </c>
      <c r="I49" t="s">
        <v>3833</v>
      </c>
      <c r="J49" t="s">
        <v>3812</v>
      </c>
      <c r="K49" s="256" t="s">
        <v>4107</v>
      </c>
      <c r="L49" s="54">
        <f>Table2727[[#This Row],[Listed Material Price]]/Table2727[[#This Row],[Linear Feet]]</f>
        <v>1.4965089722675367</v>
      </c>
      <c r="R49" t="s">
        <v>99</v>
      </c>
      <c r="S49" t="s">
        <v>4537</v>
      </c>
      <c r="T49" t="s">
        <v>71</v>
      </c>
    </row>
    <row r="50" spans="1:20" x14ac:dyDescent="0.2">
      <c r="A50" t="s">
        <v>4120</v>
      </c>
      <c r="B50" t="s">
        <v>2487</v>
      </c>
      <c r="C50" t="s">
        <v>3589</v>
      </c>
      <c r="D50" t="s">
        <v>2802</v>
      </c>
      <c r="E50" t="s">
        <v>3572</v>
      </c>
      <c r="G50">
        <v>3</v>
      </c>
      <c r="I50" t="s">
        <v>3804</v>
      </c>
      <c r="J50" t="s">
        <v>3821</v>
      </c>
      <c r="K50" s="256" t="s">
        <v>3909</v>
      </c>
      <c r="L50" s="54">
        <f>Table2727[[#This Row],[Listed Material Price]]/Table2727[[#This Row],[Linear Feet]]</f>
        <v>1.51</v>
      </c>
      <c r="R50" t="s">
        <v>99</v>
      </c>
      <c r="S50" t="s">
        <v>4336</v>
      </c>
      <c r="T50" t="s">
        <v>71</v>
      </c>
    </row>
    <row r="51" spans="1:20" x14ac:dyDescent="0.2">
      <c r="A51" t="s">
        <v>4294</v>
      </c>
      <c r="B51" t="s">
        <v>3608</v>
      </c>
      <c r="C51" t="s">
        <v>3770</v>
      </c>
      <c r="D51" t="s">
        <v>2802</v>
      </c>
      <c r="E51" t="s">
        <v>3571</v>
      </c>
      <c r="G51">
        <v>73</v>
      </c>
      <c r="I51" t="s">
        <v>3828</v>
      </c>
      <c r="J51" t="s">
        <v>3862</v>
      </c>
      <c r="K51" s="256" t="s">
        <v>4080</v>
      </c>
      <c r="L51" s="54">
        <f>Table2727[[#This Row],[Listed Material Price]]/Table2727[[#This Row],[Linear Feet]]</f>
        <v>1.5206849315068494</v>
      </c>
      <c r="R51" t="s">
        <v>99</v>
      </c>
      <c r="S51" t="s">
        <v>4510</v>
      </c>
      <c r="T51" t="s">
        <v>71</v>
      </c>
    </row>
    <row r="52" spans="1:20" x14ac:dyDescent="0.2">
      <c r="A52" t="s">
        <v>4293</v>
      </c>
      <c r="B52" t="s">
        <v>1169</v>
      </c>
      <c r="C52" t="s">
        <v>3769</v>
      </c>
      <c r="D52" t="s">
        <v>2802</v>
      </c>
      <c r="E52" t="s">
        <v>3571</v>
      </c>
      <c r="G52">
        <v>76.625</v>
      </c>
      <c r="I52" t="s">
        <v>3821</v>
      </c>
      <c r="J52" t="s">
        <v>3834</v>
      </c>
      <c r="K52" s="256" t="s">
        <v>4079</v>
      </c>
      <c r="L52" s="54">
        <f>Table2727[[#This Row],[Listed Material Price]]/Table2727[[#This Row],[Linear Feet]]</f>
        <v>1.5530179445350734</v>
      </c>
      <c r="R52" t="s">
        <v>99</v>
      </c>
      <c r="S52" t="s">
        <v>4509</v>
      </c>
      <c r="T52" t="s">
        <v>71</v>
      </c>
    </row>
    <row r="53" spans="1:20" x14ac:dyDescent="0.2">
      <c r="A53" t="s">
        <v>4207</v>
      </c>
      <c r="B53" t="s">
        <v>3593</v>
      </c>
      <c r="C53" t="s">
        <v>3682</v>
      </c>
      <c r="D53" t="s">
        <v>2802</v>
      </c>
      <c r="E53" t="s">
        <v>3571</v>
      </c>
      <c r="G53">
        <v>7.25</v>
      </c>
      <c r="I53" t="s">
        <v>3803</v>
      </c>
      <c r="J53" t="s">
        <v>3815</v>
      </c>
      <c r="K53" s="256" t="s">
        <v>3958</v>
      </c>
      <c r="L53" s="54">
        <f>Table2727[[#This Row],[Listed Material Price]]/Table2727[[#This Row],[Linear Feet]]</f>
        <v>1.5544827586206895</v>
      </c>
      <c r="R53" t="s">
        <v>99</v>
      </c>
      <c r="S53" t="s">
        <v>4423</v>
      </c>
      <c r="T53" t="s">
        <v>72</v>
      </c>
    </row>
    <row r="54" spans="1:20" x14ac:dyDescent="0.2">
      <c r="A54" t="s">
        <v>4212</v>
      </c>
      <c r="B54" t="s">
        <v>1169</v>
      </c>
      <c r="C54" t="s">
        <v>3687</v>
      </c>
      <c r="D54" t="s">
        <v>2802</v>
      </c>
      <c r="E54" t="s">
        <v>3575</v>
      </c>
      <c r="G54">
        <v>73</v>
      </c>
      <c r="I54" t="s">
        <v>3816</v>
      </c>
      <c r="J54" t="s">
        <v>3846</v>
      </c>
      <c r="K54" s="256" t="s">
        <v>3999</v>
      </c>
      <c r="L54" s="54">
        <f>Table2727[[#This Row],[Listed Material Price]]/Table2727[[#This Row],[Linear Feet]]</f>
        <v>1.5971232876712329</v>
      </c>
      <c r="R54" t="s">
        <v>99</v>
      </c>
      <c r="S54" t="s">
        <v>4428</v>
      </c>
      <c r="T54" t="s">
        <v>71</v>
      </c>
    </row>
    <row r="55" spans="1:20" x14ac:dyDescent="0.2">
      <c r="A55" t="s">
        <v>3423</v>
      </c>
      <c r="C55" t="s">
        <v>2978</v>
      </c>
      <c r="F55" t="s">
        <v>3424</v>
      </c>
      <c r="G55">
        <v>1</v>
      </c>
      <c r="H55">
        <v>0.75</v>
      </c>
      <c r="I55">
        <v>0.75</v>
      </c>
      <c r="K55" s="55">
        <v>1.6</v>
      </c>
      <c r="L55" s="244">
        <f>Table2727[[#This Row],[Listed Material Price]]/Table2727[[#This Row],[Linear Feet]]</f>
        <v>1.6</v>
      </c>
      <c r="M55" s="248">
        <v>8.8999999999999996E-2</v>
      </c>
      <c r="N55" s="244">
        <v>3.6</v>
      </c>
      <c r="O55" s="244">
        <v>7.76</v>
      </c>
      <c r="R55" t="s">
        <v>70</v>
      </c>
      <c r="T55" t="s">
        <v>72</v>
      </c>
    </row>
    <row r="56" spans="1:20" x14ac:dyDescent="0.2">
      <c r="A56" t="s">
        <v>4172</v>
      </c>
      <c r="B56" t="s">
        <v>3608</v>
      </c>
      <c r="C56" t="s">
        <v>3646</v>
      </c>
      <c r="D56" t="s">
        <v>2802</v>
      </c>
      <c r="E56" t="s">
        <v>3571</v>
      </c>
      <c r="G56">
        <v>73</v>
      </c>
      <c r="I56" t="s">
        <v>3818</v>
      </c>
      <c r="J56" t="s">
        <v>3859</v>
      </c>
      <c r="K56" s="256" t="s">
        <v>3961</v>
      </c>
      <c r="L56" s="54">
        <f>Table2727[[#This Row],[Listed Material Price]]/Table2727[[#This Row],[Linear Feet]]</f>
        <v>1.6010958904109589</v>
      </c>
      <c r="R56" t="s">
        <v>99</v>
      </c>
      <c r="S56" t="s">
        <v>4388</v>
      </c>
      <c r="T56" t="s">
        <v>71</v>
      </c>
    </row>
    <row r="57" spans="1:20" x14ac:dyDescent="0.2">
      <c r="A57" t="s">
        <v>4233</v>
      </c>
      <c r="B57" t="s">
        <v>3608</v>
      </c>
      <c r="C57" t="s">
        <v>3708</v>
      </c>
      <c r="D57" t="s">
        <v>2802</v>
      </c>
      <c r="E57" t="s">
        <v>3571</v>
      </c>
      <c r="G57">
        <v>73</v>
      </c>
      <c r="I57" t="s">
        <v>3816</v>
      </c>
      <c r="J57" t="s">
        <v>3816</v>
      </c>
      <c r="K57" s="256" t="s">
        <v>4020</v>
      </c>
      <c r="L57" s="54">
        <f>Table2727[[#This Row],[Listed Material Price]]/Table2727[[#This Row],[Linear Feet]]</f>
        <v>1.6027397260273972</v>
      </c>
      <c r="R57" t="s">
        <v>99</v>
      </c>
      <c r="S57" t="s">
        <v>4449</v>
      </c>
      <c r="T57" t="s">
        <v>71</v>
      </c>
    </row>
    <row r="58" spans="1:20" x14ac:dyDescent="0.2">
      <c r="A58" t="s">
        <v>4226</v>
      </c>
      <c r="B58" t="s">
        <v>1169</v>
      </c>
      <c r="C58" t="s">
        <v>3701</v>
      </c>
      <c r="D58" t="s">
        <v>2802</v>
      </c>
      <c r="E58" t="s">
        <v>3571</v>
      </c>
      <c r="G58">
        <v>73</v>
      </c>
      <c r="I58" t="s">
        <v>3810</v>
      </c>
      <c r="J58" t="s">
        <v>3848</v>
      </c>
      <c r="K58" s="256" t="s">
        <v>4013</v>
      </c>
      <c r="L58" s="54">
        <f>Table2727[[#This Row],[Listed Material Price]]/Table2727[[#This Row],[Linear Feet]]</f>
        <v>1.6050684931506849</v>
      </c>
      <c r="R58" t="s">
        <v>99</v>
      </c>
      <c r="S58" t="s">
        <v>4442</v>
      </c>
      <c r="T58" t="s">
        <v>71</v>
      </c>
    </row>
    <row r="59" spans="1:20" x14ac:dyDescent="0.2">
      <c r="A59" t="s">
        <v>4173</v>
      </c>
      <c r="B59" t="s">
        <v>3608</v>
      </c>
      <c r="C59" t="s">
        <v>3647</v>
      </c>
      <c r="D59" t="s">
        <v>2802</v>
      </c>
      <c r="E59" t="s">
        <v>3571</v>
      </c>
      <c r="G59">
        <v>73</v>
      </c>
      <c r="I59" t="s">
        <v>3822</v>
      </c>
      <c r="J59" t="s">
        <v>3851</v>
      </c>
      <c r="K59" s="256" t="s">
        <v>3962</v>
      </c>
      <c r="L59" s="54">
        <f>Table2727[[#This Row],[Listed Material Price]]/Table2727[[#This Row],[Linear Feet]]</f>
        <v>1.6075342465753424</v>
      </c>
      <c r="R59" t="s">
        <v>99</v>
      </c>
      <c r="S59" t="s">
        <v>4389</v>
      </c>
      <c r="T59" t="s">
        <v>71</v>
      </c>
    </row>
    <row r="60" spans="1:20" x14ac:dyDescent="0.2">
      <c r="A60" t="s">
        <v>4171</v>
      </c>
      <c r="B60" t="s">
        <v>3627</v>
      </c>
      <c r="C60" t="s">
        <v>3645</v>
      </c>
      <c r="D60" t="s">
        <v>2802</v>
      </c>
      <c r="E60" t="s">
        <v>3573</v>
      </c>
      <c r="G60">
        <v>24</v>
      </c>
      <c r="I60" t="s">
        <v>3824</v>
      </c>
      <c r="J60" t="s">
        <v>3849</v>
      </c>
      <c r="K60" s="256" t="s">
        <v>3960</v>
      </c>
      <c r="L60" s="54">
        <f>Table2727[[#This Row],[Listed Material Price]]/Table2727[[#This Row],[Linear Feet]]</f>
        <v>1.6866666666666665</v>
      </c>
      <c r="R60" t="s">
        <v>99</v>
      </c>
      <c r="S60" t="s">
        <v>4387</v>
      </c>
      <c r="T60" t="s">
        <v>71</v>
      </c>
    </row>
    <row r="61" spans="1:20" x14ac:dyDescent="0.2">
      <c r="A61" t="s">
        <v>4132</v>
      </c>
      <c r="B61" t="s">
        <v>2487</v>
      </c>
      <c r="C61" t="s">
        <v>3602</v>
      </c>
      <c r="D61" t="s">
        <v>2802</v>
      </c>
      <c r="E61" t="s">
        <v>3571</v>
      </c>
      <c r="G61">
        <v>5</v>
      </c>
      <c r="I61" t="s">
        <v>3804</v>
      </c>
      <c r="J61" t="s">
        <v>3837</v>
      </c>
      <c r="K61" s="256" t="s">
        <v>3921</v>
      </c>
      <c r="L61" s="54">
        <f>Table2727[[#This Row],[Listed Material Price]]/Table2727[[#This Row],[Linear Feet]]</f>
        <v>1.6940000000000002</v>
      </c>
      <c r="R61" t="s">
        <v>99</v>
      </c>
      <c r="S61" t="s">
        <v>4348</v>
      </c>
      <c r="T61" t="s">
        <v>71</v>
      </c>
    </row>
    <row r="62" spans="1:20" x14ac:dyDescent="0.2">
      <c r="A62" t="s">
        <v>4118</v>
      </c>
      <c r="B62" t="s">
        <v>3585</v>
      </c>
      <c r="C62" t="s">
        <v>3586</v>
      </c>
      <c r="D62" t="s">
        <v>2802</v>
      </c>
      <c r="E62" t="s">
        <v>3571</v>
      </c>
      <c r="G62">
        <v>6</v>
      </c>
      <c r="I62" t="s">
        <v>3803</v>
      </c>
      <c r="J62" t="s">
        <v>3836</v>
      </c>
      <c r="K62" s="256" t="s">
        <v>3907</v>
      </c>
      <c r="L62" s="54">
        <f>Table2727[[#This Row],[Listed Material Price]]/Table2727[[#This Row],[Linear Feet]]</f>
        <v>1.7300000000000002</v>
      </c>
      <c r="R62" t="s">
        <v>99</v>
      </c>
      <c r="S62" t="s">
        <v>4333</v>
      </c>
      <c r="T62" t="s">
        <v>71</v>
      </c>
    </row>
    <row r="63" spans="1:20" x14ac:dyDescent="0.2">
      <c r="A63" t="s">
        <v>4118</v>
      </c>
      <c r="B63" t="s">
        <v>3581</v>
      </c>
      <c r="C63" t="s">
        <v>3587</v>
      </c>
      <c r="D63" t="s">
        <v>2802</v>
      </c>
      <c r="E63" t="s">
        <v>3571</v>
      </c>
      <c r="G63">
        <v>6</v>
      </c>
      <c r="I63" t="s">
        <v>3803</v>
      </c>
      <c r="J63" t="s">
        <v>3835</v>
      </c>
      <c r="K63" s="256" t="s">
        <v>3907</v>
      </c>
      <c r="L63" s="54">
        <f>Table2727[[#This Row],[Listed Material Price]]/Table2727[[#This Row],[Linear Feet]]</f>
        <v>1.7300000000000002</v>
      </c>
      <c r="R63" t="s">
        <v>99</v>
      </c>
      <c r="S63" t="s">
        <v>4334</v>
      </c>
      <c r="T63" t="s">
        <v>71</v>
      </c>
    </row>
    <row r="64" spans="1:20" x14ac:dyDescent="0.2">
      <c r="A64" t="s">
        <v>4250</v>
      </c>
      <c r="B64" t="s">
        <v>3608</v>
      </c>
      <c r="C64" t="s">
        <v>3726</v>
      </c>
      <c r="D64" t="s">
        <v>2802</v>
      </c>
      <c r="E64" t="s">
        <v>3575</v>
      </c>
      <c r="G64">
        <v>73</v>
      </c>
      <c r="I64" t="s">
        <v>3814</v>
      </c>
      <c r="J64" t="s">
        <v>3841</v>
      </c>
      <c r="K64" s="256" t="s">
        <v>4037</v>
      </c>
      <c r="L64" s="54">
        <f>Table2727[[#This Row],[Listed Material Price]]/Table2727[[#This Row],[Linear Feet]]</f>
        <v>1.7384931506849315</v>
      </c>
      <c r="R64" t="s">
        <v>99</v>
      </c>
      <c r="S64" t="s">
        <v>4466</v>
      </c>
      <c r="T64" t="s">
        <v>71</v>
      </c>
    </row>
    <row r="65" spans="1:20" x14ac:dyDescent="0.2">
      <c r="A65" t="s">
        <v>4184</v>
      </c>
      <c r="B65" t="s">
        <v>3608</v>
      </c>
      <c r="C65" t="s">
        <v>3659</v>
      </c>
      <c r="D65" t="s">
        <v>2802</v>
      </c>
      <c r="E65" t="s">
        <v>3571</v>
      </c>
      <c r="G65">
        <v>73</v>
      </c>
      <c r="I65" t="s">
        <v>3818</v>
      </c>
      <c r="J65" t="s">
        <v>3836</v>
      </c>
      <c r="K65" s="256" t="s">
        <v>3973</v>
      </c>
      <c r="L65" s="54">
        <f>Table2727[[#This Row],[Listed Material Price]]/Table2727[[#This Row],[Linear Feet]]</f>
        <v>1.7506849315068493</v>
      </c>
      <c r="R65" t="s">
        <v>99</v>
      </c>
      <c r="S65" t="s">
        <v>4400</v>
      </c>
      <c r="T65" t="s">
        <v>71</v>
      </c>
    </row>
    <row r="66" spans="1:20" x14ac:dyDescent="0.2">
      <c r="A66" t="s">
        <v>4139</v>
      </c>
      <c r="B66" t="s">
        <v>2487</v>
      </c>
      <c r="C66" t="s">
        <v>3611</v>
      </c>
      <c r="D66" t="s">
        <v>2802</v>
      </c>
      <c r="E66" t="s">
        <v>3571</v>
      </c>
      <c r="G66">
        <v>5</v>
      </c>
      <c r="I66" t="s">
        <v>3803</v>
      </c>
      <c r="J66" t="s">
        <v>3836</v>
      </c>
      <c r="K66" s="256" t="s">
        <v>3905</v>
      </c>
      <c r="L66" s="54">
        <f>Table2727[[#This Row],[Listed Material Price]]/Table2727[[#This Row],[Linear Feet]]</f>
        <v>1.7559999999999998</v>
      </c>
      <c r="R66" t="s">
        <v>99</v>
      </c>
      <c r="S66" t="s">
        <v>4354</v>
      </c>
      <c r="T66" t="s">
        <v>71</v>
      </c>
    </row>
    <row r="67" spans="1:20" x14ac:dyDescent="0.2">
      <c r="A67" t="s">
        <v>4276</v>
      </c>
      <c r="B67" t="s">
        <v>1169</v>
      </c>
      <c r="C67" t="s">
        <v>3752</v>
      </c>
      <c r="D67" t="s">
        <v>2802</v>
      </c>
      <c r="E67" t="s">
        <v>3571</v>
      </c>
      <c r="G67">
        <v>76.625</v>
      </c>
      <c r="I67" t="s">
        <v>3816</v>
      </c>
      <c r="J67" t="s">
        <v>3855</v>
      </c>
      <c r="K67" s="256" t="s">
        <v>4062</v>
      </c>
      <c r="L67" s="54">
        <f>Table2727[[#This Row],[Listed Material Price]]/Table2727[[#This Row],[Linear Feet]]</f>
        <v>1.7583034257748775</v>
      </c>
      <c r="R67" t="s">
        <v>99</v>
      </c>
      <c r="S67" t="s">
        <v>4492</v>
      </c>
      <c r="T67" t="s">
        <v>71</v>
      </c>
    </row>
    <row r="68" spans="1:20" x14ac:dyDescent="0.2">
      <c r="A68" t="s">
        <v>4154</v>
      </c>
      <c r="B68" t="s">
        <v>3627</v>
      </c>
      <c r="C68" t="s">
        <v>3628</v>
      </c>
      <c r="D68" t="s">
        <v>2802</v>
      </c>
      <c r="E68" t="s">
        <v>3573</v>
      </c>
      <c r="G68">
        <v>48</v>
      </c>
      <c r="I68" t="s">
        <v>3810</v>
      </c>
      <c r="J68" t="s">
        <v>3849</v>
      </c>
      <c r="K68" s="256" t="s">
        <v>3942</v>
      </c>
      <c r="L68" s="54">
        <f>Table2727[[#This Row],[Listed Material Price]]/Table2727[[#This Row],[Linear Feet]]</f>
        <v>1.7597916666666666</v>
      </c>
      <c r="R68" t="s">
        <v>99</v>
      </c>
      <c r="S68" t="s">
        <v>4370</v>
      </c>
      <c r="T68" t="s">
        <v>71</v>
      </c>
    </row>
    <row r="69" spans="1:20" x14ac:dyDescent="0.2">
      <c r="A69" t="s">
        <v>4163</v>
      </c>
      <c r="B69" t="s">
        <v>3585</v>
      </c>
      <c r="C69" t="s">
        <v>3637</v>
      </c>
      <c r="D69" t="s">
        <v>2802</v>
      </c>
      <c r="E69" t="s">
        <v>3571</v>
      </c>
      <c r="G69">
        <v>76.625</v>
      </c>
      <c r="I69" t="s">
        <v>3824</v>
      </c>
      <c r="J69" t="s">
        <v>3855</v>
      </c>
      <c r="K69" s="256" t="s">
        <v>3951</v>
      </c>
      <c r="L69" s="54">
        <f>Table2727[[#This Row],[Listed Material Price]]/Table2727[[#This Row],[Linear Feet]]</f>
        <v>1.7609135399673737</v>
      </c>
      <c r="R69" t="s">
        <v>99</v>
      </c>
      <c r="S69" t="s">
        <v>4379</v>
      </c>
      <c r="T69" t="s">
        <v>71</v>
      </c>
    </row>
    <row r="70" spans="1:20" x14ac:dyDescent="0.2">
      <c r="A70" t="s">
        <v>4258</v>
      </c>
      <c r="B70" t="s">
        <v>3608</v>
      </c>
      <c r="C70" t="s">
        <v>3734</v>
      </c>
      <c r="D70" t="s">
        <v>2802</v>
      </c>
      <c r="E70" t="s">
        <v>3571</v>
      </c>
      <c r="G70">
        <v>73</v>
      </c>
      <c r="I70" t="s">
        <v>3821</v>
      </c>
      <c r="J70" t="s">
        <v>3864</v>
      </c>
      <c r="K70" s="256" t="s">
        <v>4045</v>
      </c>
      <c r="L70" s="54">
        <f>Table2727[[#This Row],[Listed Material Price]]/Table2727[[#This Row],[Linear Feet]]</f>
        <v>1.780958904109589</v>
      </c>
      <c r="R70" t="s">
        <v>99</v>
      </c>
      <c r="S70" t="s">
        <v>4474</v>
      </c>
      <c r="T70" t="s">
        <v>71</v>
      </c>
    </row>
    <row r="71" spans="1:20" x14ac:dyDescent="0.2">
      <c r="A71" t="s">
        <v>4305</v>
      </c>
      <c r="B71" t="s">
        <v>1169</v>
      </c>
      <c r="C71" t="s">
        <v>3781</v>
      </c>
      <c r="D71" t="s">
        <v>2802</v>
      </c>
      <c r="E71" t="s">
        <v>3571</v>
      </c>
      <c r="G71">
        <v>73</v>
      </c>
      <c r="I71" t="s">
        <v>3816</v>
      </c>
      <c r="J71" t="s">
        <v>3896</v>
      </c>
      <c r="K71" s="256" t="s">
        <v>4091</v>
      </c>
      <c r="L71" s="54">
        <f>Table2727[[#This Row],[Listed Material Price]]/Table2727[[#This Row],[Linear Feet]]</f>
        <v>1.7815068493150688</v>
      </c>
      <c r="R71" t="s">
        <v>99</v>
      </c>
      <c r="S71" t="s">
        <v>4521</v>
      </c>
      <c r="T71" t="s">
        <v>71</v>
      </c>
    </row>
    <row r="72" spans="1:20" x14ac:dyDescent="0.2">
      <c r="A72" t="s">
        <v>4219</v>
      </c>
      <c r="B72" t="s">
        <v>1169</v>
      </c>
      <c r="C72" t="s">
        <v>3694</v>
      </c>
      <c r="D72" t="s">
        <v>2802</v>
      </c>
      <c r="E72" t="s">
        <v>3571</v>
      </c>
      <c r="G72">
        <v>76.625</v>
      </c>
      <c r="I72" t="s">
        <v>3828</v>
      </c>
      <c r="J72" t="s">
        <v>3834</v>
      </c>
      <c r="K72" s="256" t="s">
        <v>4006</v>
      </c>
      <c r="L72" s="54">
        <f>Table2727[[#This Row],[Listed Material Price]]/Table2727[[#This Row],[Linear Feet]]</f>
        <v>1.7877977161500818</v>
      </c>
      <c r="R72" t="s">
        <v>99</v>
      </c>
      <c r="S72" t="s">
        <v>4435</v>
      </c>
      <c r="T72" t="s">
        <v>71</v>
      </c>
    </row>
    <row r="73" spans="1:20" x14ac:dyDescent="0.2">
      <c r="A73" t="s">
        <v>4162</v>
      </c>
      <c r="B73" t="s">
        <v>3608</v>
      </c>
      <c r="C73" t="s">
        <v>3636</v>
      </c>
      <c r="D73" t="s">
        <v>2802</v>
      </c>
      <c r="E73" t="s">
        <v>3575</v>
      </c>
      <c r="G73">
        <v>73</v>
      </c>
      <c r="I73" t="s">
        <v>3810</v>
      </c>
      <c r="J73" t="s">
        <v>3816</v>
      </c>
      <c r="K73" s="256" t="s">
        <v>3950</v>
      </c>
      <c r="L73" s="54">
        <f>Table2727[[#This Row],[Listed Material Price]]/Table2727[[#This Row],[Linear Feet]]</f>
        <v>1.7946575342465751</v>
      </c>
      <c r="R73" t="s">
        <v>99</v>
      </c>
      <c r="S73" t="s">
        <v>4378</v>
      </c>
      <c r="T73" t="s">
        <v>71</v>
      </c>
    </row>
    <row r="74" spans="1:20" x14ac:dyDescent="0.2">
      <c r="A74" t="s">
        <v>4191</v>
      </c>
      <c r="B74" t="s">
        <v>3608</v>
      </c>
      <c r="C74" t="s">
        <v>3666</v>
      </c>
      <c r="D74" t="s">
        <v>2802</v>
      </c>
      <c r="E74" t="s">
        <v>3571</v>
      </c>
      <c r="G74">
        <v>73</v>
      </c>
      <c r="I74" t="s">
        <v>3817</v>
      </c>
      <c r="J74" t="s">
        <v>3853</v>
      </c>
      <c r="K74" s="256" t="s">
        <v>3979</v>
      </c>
      <c r="L74" s="54">
        <f>Table2727[[#This Row],[Listed Material Price]]/Table2727[[#This Row],[Linear Feet]]</f>
        <v>1.8057534246575342</v>
      </c>
      <c r="R74" t="s">
        <v>99</v>
      </c>
      <c r="S74" t="s">
        <v>4407</v>
      </c>
      <c r="T74" t="s">
        <v>71</v>
      </c>
    </row>
    <row r="75" spans="1:20" x14ac:dyDescent="0.2">
      <c r="A75" t="s">
        <v>4223</v>
      </c>
      <c r="B75" t="s">
        <v>3608</v>
      </c>
      <c r="C75" t="s">
        <v>3698</v>
      </c>
      <c r="D75" t="s">
        <v>2802</v>
      </c>
      <c r="E75" t="s">
        <v>3571</v>
      </c>
      <c r="G75">
        <v>73</v>
      </c>
      <c r="I75" t="s">
        <v>3824</v>
      </c>
      <c r="J75" t="s">
        <v>3869</v>
      </c>
      <c r="K75" s="256" t="s">
        <v>4010</v>
      </c>
      <c r="L75" s="54">
        <f>Table2727[[#This Row],[Listed Material Price]]/Table2727[[#This Row],[Linear Feet]]</f>
        <v>1.8119178082191782</v>
      </c>
      <c r="R75" t="s">
        <v>99</v>
      </c>
      <c r="S75" t="s">
        <v>4439</v>
      </c>
      <c r="T75" t="s">
        <v>71</v>
      </c>
    </row>
    <row r="76" spans="1:20" x14ac:dyDescent="0.2">
      <c r="A76" t="s">
        <v>4151</v>
      </c>
      <c r="B76" t="s">
        <v>3608</v>
      </c>
      <c r="C76" t="s">
        <v>3624</v>
      </c>
      <c r="D76" t="s">
        <v>2802</v>
      </c>
      <c r="E76" t="s">
        <v>3571</v>
      </c>
      <c r="G76">
        <v>73</v>
      </c>
      <c r="I76" t="s">
        <v>3818</v>
      </c>
      <c r="J76" t="s">
        <v>3843</v>
      </c>
      <c r="K76" s="256" t="s">
        <v>3939</v>
      </c>
      <c r="L76" s="54">
        <f>Table2727[[#This Row],[Listed Material Price]]/Table2727[[#This Row],[Linear Feet]]</f>
        <v>1.8286301369863014</v>
      </c>
      <c r="R76" t="s">
        <v>99</v>
      </c>
      <c r="S76" t="s">
        <v>4367</v>
      </c>
      <c r="T76" t="s">
        <v>71</v>
      </c>
    </row>
    <row r="77" spans="1:20" x14ac:dyDescent="0.2">
      <c r="A77" t="s">
        <v>4228</v>
      </c>
      <c r="B77" t="s">
        <v>3585</v>
      </c>
      <c r="C77" t="s">
        <v>3703</v>
      </c>
      <c r="D77" t="s">
        <v>2802</v>
      </c>
      <c r="E77" t="s">
        <v>3571</v>
      </c>
      <c r="G77">
        <v>76.625</v>
      </c>
      <c r="I77" t="s">
        <v>3819</v>
      </c>
      <c r="J77" t="s">
        <v>3835</v>
      </c>
      <c r="K77" s="256" t="s">
        <v>4015</v>
      </c>
      <c r="L77" s="54">
        <f>Table2727[[#This Row],[Listed Material Price]]/Table2727[[#This Row],[Linear Feet]]</f>
        <v>1.839347471451876</v>
      </c>
      <c r="R77" t="s">
        <v>99</v>
      </c>
      <c r="S77" t="s">
        <v>4444</v>
      </c>
      <c r="T77" t="s">
        <v>71</v>
      </c>
    </row>
    <row r="78" spans="1:20" x14ac:dyDescent="0.2">
      <c r="A78" t="s">
        <v>4217</v>
      </c>
      <c r="B78" t="s">
        <v>3608</v>
      </c>
      <c r="C78" t="s">
        <v>3692</v>
      </c>
      <c r="D78" t="s">
        <v>2802</v>
      </c>
      <c r="E78" t="s">
        <v>3571</v>
      </c>
      <c r="G78">
        <v>73</v>
      </c>
      <c r="I78" t="s">
        <v>3824</v>
      </c>
      <c r="J78" t="s">
        <v>3834</v>
      </c>
      <c r="K78" s="256" t="s">
        <v>4004</v>
      </c>
      <c r="L78" s="54">
        <f>Table2727[[#This Row],[Listed Material Price]]/Table2727[[#This Row],[Linear Feet]]</f>
        <v>1.8467123287671232</v>
      </c>
      <c r="R78" t="s">
        <v>99</v>
      </c>
      <c r="S78" t="s">
        <v>4433</v>
      </c>
      <c r="T78" t="s">
        <v>71</v>
      </c>
    </row>
    <row r="79" spans="1:20" x14ac:dyDescent="0.2">
      <c r="A79" t="s">
        <v>3423</v>
      </c>
      <c r="C79" t="s">
        <v>2961</v>
      </c>
      <c r="F79" t="s">
        <v>67</v>
      </c>
      <c r="G79">
        <v>1</v>
      </c>
      <c r="H79">
        <v>1</v>
      </c>
      <c r="I79">
        <v>0.5</v>
      </c>
      <c r="K79" s="55">
        <v>1.86</v>
      </c>
      <c r="L79" s="244">
        <f>Table2727[[#This Row],[Listed Material Price]]/Table2727[[#This Row],[Linear Feet]]</f>
        <v>1.86</v>
      </c>
      <c r="M79" s="248">
        <v>6.7000000000000004E-2</v>
      </c>
      <c r="N79" s="244">
        <v>2.4300000000000002</v>
      </c>
      <c r="O79" s="244">
        <v>6.1</v>
      </c>
      <c r="R79" t="s">
        <v>70</v>
      </c>
      <c r="T79" t="s">
        <v>72</v>
      </c>
    </row>
    <row r="80" spans="1:20" x14ac:dyDescent="0.2">
      <c r="A80" t="s">
        <v>4179</v>
      </c>
      <c r="B80" t="s">
        <v>3608</v>
      </c>
      <c r="C80" t="s">
        <v>3654</v>
      </c>
      <c r="D80" t="s">
        <v>2802</v>
      </c>
      <c r="E80" t="s">
        <v>3571</v>
      </c>
      <c r="G80">
        <v>73</v>
      </c>
      <c r="I80" t="s">
        <v>3806</v>
      </c>
      <c r="J80" t="s">
        <v>3863</v>
      </c>
      <c r="K80" s="256" t="s">
        <v>3968</v>
      </c>
      <c r="L80" s="54">
        <f>Table2727[[#This Row],[Listed Material Price]]/Table2727[[#This Row],[Linear Feet]]</f>
        <v>1.868767123287671</v>
      </c>
      <c r="R80" t="s">
        <v>99</v>
      </c>
      <c r="S80" t="s">
        <v>4395</v>
      </c>
      <c r="T80" t="s">
        <v>71</v>
      </c>
    </row>
    <row r="81" spans="1:20" x14ac:dyDescent="0.2">
      <c r="A81" t="s">
        <v>4303</v>
      </c>
      <c r="B81" t="s">
        <v>3608</v>
      </c>
      <c r="C81" t="s">
        <v>3779</v>
      </c>
      <c r="D81" t="s">
        <v>2802</v>
      </c>
      <c r="E81" t="s">
        <v>3571</v>
      </c>
      <c r="G81">
        <v>73</v>
      </c>
      <c r="I81" t="s">
        <v>3817</v>
      </c>
      <c r="J81" t="s">
        <v>3886</v>
      </c>
      <c r="K81" s="256" t="s">
        <v>4089</v>
      </c>
      <c r="L81" s="54">
        <f>Table2727[[#This Row],[Listed Material Price]]/Table2727[[#This Row],[Linear Feet]]</f>
        <v>1.8913698630136986</v>
      </c>
      <c r="R81" t="s">
        <v>99</v>
      </c>
      <c r="S81" t="s">
        <v>4519</v>
      </c>
      <c r="T81" t="s">
        <v>71</v>
      </c>
    </row>
    <row r="82" spans="1:20" x14ac:dyDescent="0.2">
      <c r="A82" t="s">
        <v>3423</v>
      </c>
      <c r="C82" t="s">
        <v>2974</v>
      </c>
      <c r="F82" t="s">
        <v>3424</v>
      </c>
      <c r="G82">
        <v>1</v>
      </c>
      <c r="H82">
        <v>0.75</v>
      </c>
      <c r="I82">
        <v>0.5</v>
      </c>
      <c r="K82" s="55">
        <v>1.9</v>
      </c>
      <c r="L82" s="245">
        <f>Table2727[[#This Row],[Listed Material Price]]/Table2727[[#This Row],[Linear Feet]]</f>
        <v>1.9</v>
      </c>
      <c r="M82" s="64">
        <v>0.09</v>
      </c>
      <c r="N82" s="245">
        <v>3.64</v>
      </c>
      <c r="O82" s="245">
        <v>8.14</v>
      </c>
      <c r="R82" t="s">
        <v>70</v>
      </c>
      <c r="T82" t="s">
        <v>72</v>
      </c>
    </row>
    <row r="83" spans="1:20" x14ac:dyDescent="0.2">
      <c r="A83" t="s">
        <v>4291</v>
      </c>
      <c r="B83" t="s">
        <v>1169</v>
      </c>
      <c r="C83" t="s">
        <v>3767</v>
      </c>
      <c r="D83" t="s">
        <v>2802</v>
      </c>
      <c r="E83" t="s">
        <v>3571</v>
      </c>
      <c r="G83">
        <v>76.625</v>
      </c>
      <c r="I83" t="s">
        <v>3816</v>
      </c>
      <c r="J83" t="s">
        <v>3823</v>
      </c>
      <c r="K83" s="256" t="s">
        <v>4077</v>
      </c>
      <c r="L83" s="54">
        <f>Table2727[[#This Row],[Listed Material Price]]/Table2727[[#This Row],[Linear Feet]]</f>
        <v>1.9043393148450243</v>
      </c>
      <c r="R83" t="s">
        <v>99</v>
      </c>
      <c r="S83" t="s">
        <v>4507</v>
      </c>
      <c r="T83" t="s">
        <v>71</v>
      </c>
    </row>
    <row r="84" spans="1:20" x14ac:dyDescent="0.2">
      <c r="A84" t="s">
        <v>4320</v>
      </c>
      <c r="B84" t="s">
        <v>1169</v>
      </c>
      <c r="C84" t="s">
        <v>3796</v>
      </c>
      <c r="D84" t="s">
        <v>2802</v>
      </c>
      <c r="E84" t="s">
        <v>3575</v>
      </c>
      <c r="G84">
        <v>76.625</v>
      </c>
      <c r="I84" t="s">
        <v>3807</v>
      </c>
      <c r="J84" t="s">
        <v>3886</v>
      </c>
      <c r="K84" s="256" t="s">
        <v>4106</v>
      </c>
      <c r="L84" s="54">
        <f>Table2727[[#This Row],[Listed Material Price]]/Table2727[[#This Row],[Linear Feet]]</f>
        <v>1.9099510603588907</v>
      </c>
      <c r="R84" t="s">
        <v>99</v>
      </c>
      <c r="S84" t="s">
        <v>4536</v>
      </c>
      <c r="T84" t="s">
        <v>71</v>
      </c>
    </row>
    <row r="85" spans="1:20" x14ac:dyDescent="0.2">
      <c r="A85" t="s">
        <v>4253</v>
      </c>
      <c r="B85" t="s">
        <v>3608</v>
      </c>
      <c r="C85" t="s">
        <v>3729</v>
      </c>
      <c r="D85" t="s">
        <v>2802</v>
      </c>
      <c r="E85" t="s">
        <v>3571</v>
      </c>
      <c r="G85">
        <v>73</v>
      </c>
      <c r="I85" t="s">
        <v>3825</v>
      </c>
      <c r="J85" t="s">
        <v>3851</v>
      </c>
      <c r="K85" s="256" t="s">
        <v>4040</v>
      </c>
      <c r="L85" s="54">
        <f>Table2727[[#This Row],[Listed Material Price]]/Table2727[[#This Row],[Linear Feet]]</f>
        <v>1.9157534246575341</v>
      </c>
      <c r="R85" t="s">
        <v>99</v>
      </c>
      <c r="S85" t="s">
        <v>4469</v>
      </c>
      <c r="T85" t="s">
        <v>71</v>
      </c>
    </row>
    <row r="86" spans="1:20" x14ac:dyDescent="0.2">
      <c r="A86" t="s">
        <v>4236</v>
      </c>
      <c r="B86" t="s">
        <v>3608</v>
      </c>
      <c r="C86" t="s">
        <v>3711</v>
      </c>
      <c r="D86" t="s">
        <v>2802</v>
      </c>
      <c r="E86" t="s">
        <v>3575</v>
      </c>
      <c r="G86">
        <v>73</v>
      </c>
      <c r="I86" t="s">
        <v>3814</v>
      </c>
      <c r="J86" t="s">
        <v>3876</v>
      </c>
      <c r="K86" s="256" t="s">
        <v>4023</v>
      </c>
      <c r="L86" s="54">
        <f>Table2727[[#This Row],[Listed Material Price]]/Table2727[[#This Row],[Linear Feet]]</f>
        <v>1.956027397260274</v>
      </c>
      <c r="R86" t="s">
        <v>99</v>
      </c>
      <c r="S86" t="s">
        <v>4452</v>
      </c>
      <c r="T86" t="s">
        <v>71</v>
      </c>
    </row>
    <row r="87" spans="1:20" x14ac:dyDescent="0.2">
      <c r="A87" t="s">
        <v>4169</v>
      </c>
      <c r="B87" t="s">
        <v>3608</v>
      </c>
      <c r="C87" t="s">
        <v>3643</v>
      </c>
      <c r="D87" t="s">
        <v>2802</v>
      </c>
      <c r="E87" t="s">
        <v>3571</v>
      </c>
      <c r="G87">
        <v>73</v>
      </c>
      <c r="I87" t="s">
        <v>3819</v>
      </c>
      <c r="J87" t="s">
        <v>3858</v>
      </c>
      <c r="K87" s="256" t="s">
        <v>3957</v>
      </c>
      <c r="L87" s="54">
        <f>Table2727[[#This Row],[Listed Material Price]]/Table2727[[#This Row],[Linear Feet]]</f>
        <v>1.9668493150684934</v>
      </c>
      <c r="R87" t="s">
        <v>99</v>
      </c>
      <c r="S87" t="s">
        <v>4385</v>
      </c>
      <c r="T87" t="s">
        <v>71</v>
      </c>
    </row>
    <row r="88" spans="1:20" x14ac:dyDescent="0.2">
      <c r="A88" t="s">
        <v>3423</v>
      </c>
      <c r="C88" t="s">
        <v>2971</v>
      </c>
      <c r="F88" t="s">
        <v>3424</v>
      </c>
      <c r="G88">
        <v>1</v>
      </c>
      <c r="H88">
        <v>0.5</v>
      </c>
      <c r="I88">
        <v>1.5</v>
      </c>
      <c r="K88" s="55">
        <v>1.97</v>
      </c>
      <c r="L88" s="245">
        <f>Table2727[[#This Row],[Listed Material Price]]/Table2727[[#This Row],[Linear Feet]]</f>
        <v>1.97</v>
      </c>
      <c r="M88" s="64">
        <v>9.1999999999999998E-2</v>
      </c>
      <c r="N88" s="245">
        <v>3.72</v>
      </c>
      <c r="O88" s="245">
        <v>8.3699999999999992</v>
      </c>
      <c r="R88" t="s">
        <v>70</v>
      </c>
      <c r="T88" t="s">
        <v>72</v>
      </c>
    </row>
    <row r="89" spans="1:20" x14ac:dyDescent="0.2">
      <c r="A89" t="s">
        <v>4307</v>
      </c>
      <c r="B89" t="s">
        <v>3585</v>
      </c>
      <c r="C89" t="s">
        <v>3783</v>
      </c>
      <c r="D89" t="s">
        <v>2802</v>
      </c>
      <c r="E89" t="s">
        <v>3575</v>
      </c>
      <c r="G89">
        <v>76.625</v>
      </c>
      <c r="I89" t="s">
        <v>3810</v>
      </c>
      <c r="J89" t="s">
        <v>3855</v>
      </c>
      <c r="K89" s="256" t="s">
        <v>4093</v>
      </c>
      <c r="L89" s="54">
        <f>Table2727[[#This Row],[Listed Material Price]]/Table2727[[#This Row],[Linear Feet]]</f>
        <v>1.9733768352365417</v>
      </c>
      <c r="R89" t="s">
        <v>99</v>
      </c>
      <c r="S89" t="s">
        <v>4523</v>
      </c>
      <c r="T89" t="s">
        <v>71</v>
      </c>
    </row>
    <row r="90" spans="1:20" x14ac:dyDescent="0.2">
      <c r="A90" t="s">
        <v>4315</v>
      </c>
      <c r="B90" t="s">
        <v>1169</v>
      </c>
      <c r="C90" t="s">
        <v>3791</v>
      </c>
      <c r="D90" t="s">
        <v>2802</v>
      </c>
      <c r="E90" t="s">
        <v>3571</v>
      </c>
      <c r="G90">
        <v>76.625</v>
      </c>
      <c r="I90" t="s">
        <v>3828</v>
      </c>
      <c r="J90" t="s">
        <v>3899</v>
      </c>
      <c r="K90" s="256" t="s">
        <v>4101</v>
      </c>
      <c r="L90" s="54">
        <f>Table2727[[#This Row],[Listed Material Price]]/Table2727[[#This Row],[Linear Feet]]</f>
        <v>1.9916476345840133</v>
      </c>
      <c r="R90" t="s">
        <v>99</v>
      </c>
      <c r="S90" t="s">
        <v>4531</v>
      </c>
      <c r="T90" t="s">
        <v>71</v>
      </c>
    </row>
    <row r="91" spans="1:20" x14ac:dyDescent="0.2">
      <c r="A91" t="s">
        <v>3423</v>
      </c>
      <c r="C91" t="s">
        <v>2959</v>
      </c>
      <c r="F91" t="s">
        <v>67</v>
      </c>
      <c r="G91">
        <v>1</v>
      </c>
      <c r="H91">
        <v>1</v>
      </c>
      <c r="I91">
        <v>0.75</v>
      </c>
      <c r="K91" s="55">
        <v>2.04</v>
      </c>
      <c r="L91" s="244">
        <f>Table2727[[#This Row],[Listed Material Price]]/Table2727[[#This Row],[Linear Feet]]</f>
        <v>2.04</v>
      </c>
      <c r="M91" s="248">
        <v>7.0000000000000007E-2</v>
      </c>
      <c r="N91" s="244">
        <v>2.5299999999999998</v>
      </c>
      <c r="O91" s="244">
        <v>6.47</v>
      </c>
      <c r="R91" t="s">
        <v>70</v>
      </c>
      <c r="T91" t="s">
        <v>72</v>
      </c>
    </row>
    <row r="92" spans="1:20" x14ac:dyDescent="0.2">
      <c r="A92" t="s">
        <v>4204</v>
      </c>
      <c r="B92" t="s">
        <v>3608</v>
      </c>
      <c r="C92" t="s">
        <v>3679</v>
      </c>
      <c r="D92" t="s">
        <v>2802</v>
      </c>
      <c r="E92" t="s">
        <v>3571</v>
      </c>
      <c r="G92">
        <v>73</v>
      </c>
      <c r="I92" t="s">
        <v>3810</v>
      </c>
      <c r="J92" t="s">
        <v>3848</v>
      </c>
      <c r="K92" s="256" t="s">
        <v>3992</v>
      </c>
      <c r="L92" s="54">
        <f>Table2727[[#This Row],[Listed Material Price]]/Table2727[[#This Row],[Linear Feet]]</f>
        <v>2.0582191780821919</v>
      </c>
      <c r="R92" t="s">
        <v>99</v>
      </c>
      <c r="S92" t="s">
        <v>4420</v>
      </c>
      <c r="T92" t="s">
        <v>71</v>
      </c>
    </row>
    <row r="93" spans="1:20" x14ac:dyDescent="0.2">
      <c r="A93" t="s">
        <v>4153</v>
      </c>
      <c r="B93" t="s">
        <v>3608</v>
      </c>
      <c r="C93" t="s">
        <v>3626</v>
      </c>
      <c r="D93" t="s">
        <v>2802</v>
      </c>
      <c r="E93" t="s">
        <v>3575</v>
      </c>
      <c r="G93">
        <v>73</v>
      </c>
      <c r="I93" t="s">
        <v>3814</v>
      </c>
      <c r="J93" t="s">
        <v>3848</v>
      </c>
      <c r="K93" s="256" t="s">
        <v>3941</v>
      </c>
      <c r="L93" s="54">
        <f>Table2727[[#This Row],[Listed Material Price]]/Table2727[[#This Row],[Linear Feet]]</f>
        <v>2.0720547945205476</v>
      </c>
      <c r="R93" t="s">
        <v>99</v>
      </c>
      <c r="S93" t="s">
        <v>4369</v>
      </c>
      <c r="T93" t="s">
        <v>71</v>
      </c>
    </row>
    <row r="94" spans="1:20" x14ac:dyDescent="0.2">
      <c r="A94" t="s">
        <v>4283</v>
      </c>
      <c r="B94" t="s">
        <v>3585</v>
      </c>
      <c r="C94" t="s">
        <v>3759</v>
      </c>
      <c r="D94" t="s">
        <v>2802</v>
      </c>
      <c r="E94" t="s">
        <v>3575</v>
      </c>
      <c r="G94">
        <v>76.625</v>
      </c>
      <c r="I94" t="s">
        <v>3810</v>
      </c>
      <c r="J94" t="s">
        <v>3887</v>
      </c>
      <c r="K94" s="256" t="s">
        <v>4069</v>
      </c>
      <c r="L94" s="54">
        <f>Table2727[[#This Row],[Listed Material Price]]/Table2727[[#This Row],[Linear Feet]]</f>
        <v>2.0732137030995106</v>
      </c>
      <c r="R94" t="s">
        <v>99</v>
      </c>
      <c r="S94" t="s">
        <v>4499</v>
      </c>
      <c r="T94" t="s">
        <v>71</v>
      </c>
    </row>
    <row r="95" spans="1:20" x14ac:dyDescent="0.2">
      <c r="A95" t="s">
        <v>4225</v>
      </c>
      <c r="B95" t="s">
        <v>3608</v>
      </c>
      <c r="C95" t="s">
        <v>3700</v>
      </c>
      <c r="D95" t="s">
        <v>2802</v>
      </c>
      <c r="E95" t="s">
        <v>3571</v>
      </c>
      <c r="G95">
        <v>73</v>
      </c>
      <c r="I95" t="s">
        <v>3806</v>
      </c>
      <c r="J95" t="s">
        <v>3866</v>
      </c>
      <c r="K95" s="256" t="s">
        <v>4012</v>
      </c>
      <c r="L95" s="54">
        <f>Table2727[[#This Row],[Listed Material Price]]/Table2727[[#This Row],[Linear Feet]]</f>
        <v>2.0783561643835617</v>
      </c>
      <c r="R95" t="s">
        <v>99</v>
      </c>
      <c r="S95" t="s">
        <v>4441</v>
      </c>
      <c r="T95" t="s">
        <v>71</v>
      </c>
    </row>
    <row r="96" spans="1:20" x14ac:dyDescent="0.2">
      <c r="A96" t="s">
        <v>4231</v>
      </c>
      <c r="B96" t="s">
        <v>3608</v>
      </c>
      <c r="C96" t="s">
        <v>3706</v>
      </c>
      <c r="D96" t="s">
        <v>2802</v>
      </c>
      <c r="E96" t="s">
        <v>3571</v>
      </c>
      <c r="G96">
        <v>73</v>
      </c>
      <c r="I96" t="s">
        <v>3825</v>
      </c>
      <c r="J96" t="s">
        <v>3816</v>
      </c>
      <c r="K96" s="256" t="s">
        <v>4018</v>
      </c>
      <c r="L96" s="54">
        <f>Table2727[[#This Row],[Listed Material Price]]/Table2727[[#This Row],[Linear Feet]]</f>
        <v>2.083835616438356</v>
      </c>
      <c r="R96" t="s">
        <v>99</v>
      </c>
      <c r="S96" t="s">
        <v>4447</v>
      </c>
      <c r="T96" t="s">
        <v>71</v>
      </c>
    </row>
    <row r="97" spans="1:20" x14ac:dyDescent="0.2">
      <c r="A97" t="s">
        <v>4230</v>
      </c>
      <c r="B97" t="s">
        <v>3608</v>
      </c>
      <c r="C97" t="s">
        <v>3705</v>
      </c>
      <c r="D97" t="s">
        <v>2802</v>
      </c>
      <c r="E97" t="s">
        <v>3571</v>
      </c>
      <c r="G97">
        <v>73</v>
      </c>
      <c r="I97" t="s">
        <v>3814</v>
      </c>
      <c r="J97" t="s">
        <v>3809</v>
      </c>
      <c r="K97" s="256" t="s">
        <v>4017</v>
      </c>
      <c r="L97" s="54">
        <f>Table2727[[#This Row],[Listed Material Price]]/Table2727[[#This Row],[Linear Feet]]</f>
        <v>2.1001369863013699</v>
      </c>
      <c r="R97" t="s">
        <v>99</v>
      </c>
      <c r="S97" t="s">
        <v>4446</v>
      </c>
      <c r="T97" t="s">
        <v>71</v>
      </c>
    </row>
    <row r="98" spans="1:20" x14ac:dyDescent="0.2">
      <c r="A98" t="s">
        <v>4123</v>
      </c>
      <c r="B98" t="s">
        <v>2487</v>
      </c>
      <c r="C98" t="s">
        <v>3592</v>
      </c>
      <c r="D98" t="s">
        <v>2802</v>
      </c>
      <c r="E98" t="s">
        <v>3571</v>
      </c>
      <c r="G98">
        <v>3.25</v>
      </c>
      <c r="I98" t="s">
        <v>3811</v>
      </c>
      <c r="J98" t="s">
        <v>3837</v>
      </c>
      <c r="K98" s="256" t="s">
        <v>3912</v>
      </c>
      <c r="L98" s="54">
        <f>Table2727[[#This Row],[Listed Material Price]]/Table2727[[#This Row],[Linear Feet]]</f>
        <v>2.1230769230769231</v>
      </c>
      <c r="R98" t="s">
        <v>99</v>
      </c>
      <c r="S98" t="s">
        <v>4339</v>
      </c>
      <c r="T98" t="s">
        <v>71</v>
      </c>
    </row>
    <row r="99" spans="1:20" x14ac:dyDescent="0.2">
      <c r="A99" t="s">
        <v>4203</v>
      </c>
      <c r="B99" t="s">
        <v>1169</v>
      </c>
      <c r="C99" t="s">
        <v>3678</v>
      </c>
      <c r="D99" t="s">
        <v>2802</v>
      </c>
      <c r="E99" t="s">
        <v>3571</v>
      </c>
      <c r="G99">
        <v>73</v>
      </c>
      <c r="I99" t="s">
        <v>3825</v>
      </c>
      <c r="J99" t="s">
        <v>3816</v>
      </c>
      <c r="K99" s="256" t="s">
        <v>3991</v>
      </c>
      <c r="L99" s="54">
        <f>Table2727[[#This Row],[Listed Material Price]]/Table2727[[#This Row],[Linear Feet]]</f>
        <v>2.1419178082191781</v>
      </c>
      <c r="R99" t="s">
        <v>99</v>
      </c>
      <c r="S99" t="s">
        <v>4419</v>
      </c>
      <c r="T99" t="s">
        <v>71</v>
      </c>
    </row>
    <row r="100" spans="1:20" x14ac:dyDescent="0.2">
      <c r="A100" t="s">
        <v>4298</v>
      </c>
      <c r="B100" t="s">
        <v>3716</v>
      </c>
      <c r="C100" t="s">
        <v>3774</v>
      </c>
      <c r="D100" t="s">
        <v>2802</v>
      </c>
      <c r="E100" t="s">
        <v>3573</v>
      </c>
      <c r="G100">
        <v>8</v>
      </c>
      <c r="I100" t="s">
        <v>3820</v>
      </c>
      <c r="J100" t="s">
        <v>3815</v>
      </c>
      <c r="K100" s="256" t="s">
        <v>4084</v>
      </c>
      <c r="L100" s="54">
        <f>Table2727[[#This Row],[Listed Material Price]]/Table2727[[#This Row],[Linear Feet]]</f>
        <v>2.1487500000000002</v>
      </c>
      <c r="R100" t="s">
        <v>99</v>
      </c>
      <c r="S100" t="s">
        <v>4514</v>
      </c>
      <c r="T100" t="s">
        <v>72</v>
      </c>
    </row>
    <row r="101" spans="1:20" x14ac:dyDescent="0.2">
      <c r="A101" t="s">
        <v>4275</v>
      </c>
      <c r="B101" t="s">
        <v>1169</v>
      </c>
      <c r="C101" t="s">
        <v>3751</v>
      </c>
      <c r="D101" t="s">
        <v>2802</v>
      </c>
      <c r="E101" t="s">
        <v>3571</v>
      </c>
      <c r="G101">
        <v>73</v>
      </c>
      <c r="I101" t="s">
        <v>3817</v>
      </c>
      <c r="J101" t="s">
        <v>3886</v>
      </c>
      <c r="K101" s="256" t="s">
        <v>4061</v>
      </c>
      <c r="L101" s="54">
        <f>Table2727[[#This Row],[Listed Material Price]]/Table2727[[#This Row],[Linear Feet]]</f>
        <v>2.1489041095890413</v>
      </c>
      <c r="R101" t="s">
        <v>99</v>
      </c>
      <c r="S101" t="s">
        <v>4491</v>
      </c>
      <c r="T101" t="s">
        <v>71</v>
      </c>
    </row>
    <row r="102" spans="1:20" x14ac:dyDescent="0.2">
      <c r="A102" t="s">
        <v>4152</v>
      </c>
      <c r="B102" t="s">
        <v>3608</v>
      </c>
      <c r="C102" t="s">
        <v>3625</v>
      </c>
      <c r="D102" t="s">
        <v>2802</v>
      </c>
      <c r="E102" t="s">
        <v>3571</v>
      </c>
      <c r="G102">
        <v>73</v>
      </c>
      <c r="I102" t="s">
        <v>3821</v>
      </c>
      <c r="J102" t="s">
        <v>3846</v>
      </c>
      <c r="K102" s="256" t="s">
        <v>3940</v>
      </c>
      <c r="L102" s="54">
        <f>Table2727[[#This Row],[Listed Material Price]]/Table2727[[#This Row],[Linear Feet]]</f>
        <v>2.1495890410958904</v>
      </c>
      <c r="R102" t="s">
        <v>99</v>
      </c>
      <c r="S102" t="s">
        <v>4368</v>
      </c>
      <c r="T102" t="s">
        <v>71</v>
      </c>
    </row>
    <row r="103" spans="1:20" x14ac:dyDescent="0.2">
      <c r="A103" t="s">
        <v>4144</v>
      </c>
      <c r="B103" t="s">
        <v>3608</v>
      </c>
      <c r="C103" t="s">
        <v>3617</v>
      </c>
      <c r="D103" t="s">
        <v>2802</v>
      </c>
      <c r="E103" t="s">
        <v>3575</v>
      </c>
      <c r="G103">
        <v>73</v>
      </c>
      <c r="I103" t="s">
        <v>3810</v>
      </c>
      <c r="J103" t="s">
        <v>3812</v>
      </c>
      <c r="K103" s="256" t="s">
        <v>3932</v>
      </c>
      <c r="L103" s="54">
        <f>Table2727[[#This Row],[Listed Material Price]]/Table2727[[#This Row],[Linear Feet]]</f>
        <v>2.152602739726027</v>
      </c>
      <c r="R103" t="s">
        <v>99</v>
      </c>
      <c r="S103" t="s">
        <v>4360</v>
      </c>
      <c r="T103" t="s">
        <v>71</v>
      </c>
    </row>
    <row r="104" spans="1:20" x14ac:dyDescent="0.2">
      <c r="A104" t="s">
        <v>4322</v>
      </c>
      <c r="B104" t="s">
        <v>1169</v>
      </c>
      <c r="C104" t="s">
        <v>3798</v>
      </c>
      <c r="D104" t="s">
        <v>2802</v>
      </c>
      <c r="E104" t="s">
        <v>3571</v>
      </c>
      <c r="G104">
        <v>76.625</v>
      </c>
      <c r="I104" t="s">
        <v>3822</v>
      </c>
      <c r="J104" t="s">
        <v>3868</v>
      </c>
      <c r="K104" s="256" t="s">
        <v>4108</v>
      </c>
      <c r="L104" s="54">
        <f>Table2727[[#This Row],[Listed Material Price]]/Table2727[[#This Row],[Linear Feet]]</f>
        <v>2.1722675367047306</v>
      </c>
      <c r="R104" t="s">
        <v>99</v>
      </c>
      <c r="S104" t="s">
        <v>4538</v>
      </c>
      <c r="T104" t="s">
        <v>71</v>
      </c>
    </row>
    <row r="105" spans="1:20" x14ac:dyDescent="0.2">
      <c r="A105" t="s">
        <v>3423</v>
      </c>
      <c r="C105" t="s">
        <v>2958</v>
      </c>
      <c r="F105" t="s">
        <v>67</v>
      </c>
      <c r="G105">
        <v>1</v>
      </c>
      <c r="H105">
        <v>1</v>
      </c>
      <c r="I105">
        <v>1</v>
      </c>
      <c r="K105" s="55">
        <v>2.1800000000000002</v>
      </c>
      <c r="L105" s="245">
        <f>Table2727[[#This Row],[Listed Material Price]]/Table2727[[#This Row],[Linear Feet]]</f>
        <v>2.1800000000000002</v>
      </c>
      <c r="M105" s="64">
        <v>7.2999999999999995E-2</v>
      </c>
      <c r="N105" s="245">
        <v>2.65</v>
      </c>
      <c r="O105" s="245">
        <v>6.82</v>
      </c>
      <c r="R105" t="s">
        <v>70</v>
      </c>
      <c r="T105" t="s">
        <v>72</v>
      </c>
    </row>
    <row r="106" spans="1:20" x14ac:dyDescent="0.2">
      <c r="A106" t="s">
        <v>4211</v>
      </c>
      <c r="B106" t="s">
        <v>1169</v>
      </c>
      <c r="C106" t="s">
        <v>3686</v>
      </c>
      <c r="D106" t="s">
        <v>2802</v>
      </c>
      <c r="E106" t="s">
        <v>3575</v>
      </c>
      <c r="G106">
        <v>73</v>
      </c>
      <c r="I106" t="s">
        <v>3810</v>
      </c>
      <c r="J106" t="s">
        <v>3850</v>
      </c>
      <c r="K106" s="256" t="s">
        <v>3998</v>
      </c>
      <c r="L106" s="54">
        <f>Table2727[[#This Row],[Listed Material Price]]/Table2727[[#This Row],[Linear Feet]]</f>
        <v>2.1973972602739726</v>
      </c>
      <c r="R106" t="s">
        <v>99</v>
      </c>
      <c r="S106" t="s">
        <v>4427</v>
      </c>
      <c r="T106" t="s">
        <v>71</v>
      </c>
    </row>
    <row r="107" spans="1:20" x14ac:dyDescent="0.2">
      <c r="A107" t="s">
        <v>4309</v>
      </c>
      <c r="B107" t="s">
        <v>3608</v>
      </c>
      <c r="C107" t="s">
        <v>3785</v>
      </c>
      <c r="D107" t="s">
        <v>2802</v>
      </c>
      <c r="E107" t="s">
        <v>3571</v>
      </c>
      <c r="G107">
        <v>73</v>
      </c>
      <c r="I107" t="s">
        <v>3816</v>
      </c>
      <c r="J107" t="s">
        <v>3896</v>
      </c>
      <c r="K107" s="256" t="s">
        <v>4095</v>
      </c>
      <c r="L107" s="54">
        <f>Table2727[[#This Row],[Listed Material Price]]/Table2727[[#This Row],[Linear Feet]]</f>
        <v>2.2176712328767123</v>
      </c>
      <c r="R107" t="s">
        <v>99</v>
      </c>
      <c r="S107" t="s">
        <v>4525</v>
      </c>
      <c r="T107" t="s">
        <v>71</v>
      </c>
    </row>
    <row r="108" spans="1:20" x14ac:dyDescent="0.2">
      <c r="A108" t="s">
        <v>4247</v>
      </c>
      <c r="B108" t="s">
        <v>3585</v>
      </c>
      <c r="C108" t="s">
        <v>3723</v>
      </c>
      <c r="D108" t="s">
        <v>2802</v>
      </c>
      <c r="E108" t="s">
        <v>3571</v>
      </c>
      <c r="G108">
        <v>76.625</v>
      </c>
      <c r="I108" t="s">
        <v>3810</v>
      </c>
      <c r="J108" t="s">
        <v>3869</v>
      </c>
      <c r="K108" s="256" t="s">
        <v>4034</v>
      </c>
      <c r="L108" s="54">
        <f>Table2727[[#This Row],[Listed Material Price]]/Table2727[[#This Row],[Linear Feet]]</f>
        <v>2.2239477977161499</v>
      </c>
      <c r="R108" t="s">
        <v>99</v>
      </c>
      <c r="S108" t="s">
        <v>4463</v>
      </c>
      <c r="T108" t="s">
        <v>71</v>
      </c>
    </row>
    <row r="109" spans="1:20" x14ac:dyDescent="0.2">
      <c r="A109" t="s">
        <v>4156</v>
      </c>
      <c r="B109" t="s">
        <v>3585</v>
      </c>
      <c r="C109" t="s">
        <v>3630</v>
      </c>
      <c r="D109" t="s">
        <v>2802</v>
      </c>
      <c r="E109" t="s">
        <v>3575</v>
      </c>
      <c r="G109">
        <v>72</v>
      </c>
      <c r="I109" t="s">
        <v>3809</v>
      </c>
      <c r="J109" t="s">
        <v>3850</v>
      </c>
      <c r="K109" s="256" t="s">
        <v>3944</v>
      </c>
      <c r="L109" s="54">
        <f>Table2727[[#This Row],[Listed Material Price]]/Table2727[[#This Row],[Linear Feet]]</f>
        <v>2.2256944444444446</v>
      </c>
      <c r="R109" t="s">
        <v>99</v>
      </c>
      <c r="S109" t="s">
        <v>4372</v>
      </c>
      <c r="T109" t="s">
        <v>71</v>
      </c>
    </row>
    <row r="110" spans="1:20" x14ac:dyDescent="0.2">
      <c r="A110" t="s">
        <v>4306</v>
      </c>
      <c r="B110" t="s">
        <v>3585</v>
      </c>
      <c r="C110" t="s">
        <v>3782</v>
      </c>
      <c r="D110" t="s">
        <v>2802</v>
      </c>
      <c r="E110" t="s">
        <v>3575</v>
      </c>
      <c r="G110">
        <v>76.625</v>
      </c>
      <c r="I110" t="s">
        <v>3814</v>
      </c>
      <c r="J110" t="s">
        <v>3859</v>
      </c>
      <c r="K110" s="256" t="s">
        <v>4092</v>
      </c>
      <c r="L110" s="54">
        <f>Table2727[[#This Row],[Listed Material Price]]/Table2727[[#This Row],[Linear Feet]]</f>
        <v>2.2304730831973898</v>
      </c>
      <c r="R110" t="s">
        <v>99</v>
      </c>
      <c r="S110" t="s">
        <v>4522</v>
      </c>
      <c r="T110" t="s">
        <v>71</v>
      </c>
    </row>
    <row r="111" spans="1:20" x14ac:dyDescent="0.2">
      <c r="A111" t="s">
        <v>4319</v>
      </c>
      <c r="B111" t="s">
        <v>1169</v>
      </c>
      <c r="C111" t="s">
        <v>3795</v>
      </c>
      <c r="D111" t="s">
        <v>2802</v>
      </c>
      <c r="E111" t="s">
        <v>3571</v>
      </c>
      <c r="G111">
        <v>73</v>
      </c>
      <c r="I111" t="s">
        <v>3810</v>
      </c>
      <c r="J111" t="s">
        <v>3861</v>
      </c>
      <c r="K111" s="256" t="s">
        <v>4105</v>
      </c>
      <c r="L111" s="54">
        <f>Table2727[[#This Row],[Listed Material Price]]/Table2727[[#This Row],[Linear Feet]]</f>
        <v>2.2635616438356165</v>
      </c>
      <c r="R111" t="s">
        <v>99</v>
      </c>
      <c r="S111" t="s">
        <v>4535</v>
      </c>
      <c r="T111" t="s">
        <v>71</v>
      </c>
    </row>
    <row r="112" spans="1:20" x14ac:dyDescent="0.2">
      <c r="A112" t="s">
        <v>4185</v>
      </c>
      <c r="B112" t="s">
        <v>3585</v>
      </c>
      <c r="C112" t="s">
        <v>3660</v>
      </c>
      <c r="D112" t="s">
        <v>2802</v>
      </c>
      <c r="E112" t="s">
        <v>3571</v>
      </c>
      <c r="G112">
        <v>76.625</v>
      </c>
      <c r="I112" t="s">
        <v>3814</v>
      </c>
      <c r="J112" t="s">
        <v>3865</v>
      </c>
      <c r="K112" s="256" t="s">
        <v>3974</v>
      </c>
      <c r="L112" s="54">
        <f>Table2727[[#This Row],[Listed Material Price]]/Table2727[[#This Row],[Linear Feet]]</f>
        <v>2.2718433931484503</v>
      </c>
      <c r="R112" t="s">
        <v>99</v>
      </c>
      <c r="S112" t="s">
        <v>4401</v>
      </c>
      <c r="T112" t="s">
        <v>71</v>
      </c>
    </row>
    <row r="113" spans="1:20" x14ac:dyDescent="0.2">
      <c r="A113" t="s">
        <v>3423</v>
      </c>
      <c r="C113" t="s">
        <v>2975</v>
      </c>
      <c r="F113" t="s">
        <v>3424</v>
      </c>
      <c r="G113">
        <v>1</v>
      </c>
      <c r="H113">
        <v>0.75</v>
      </c>
      <c r="I113">
        <v>0.75</v>
      </c>
      <c r="K113" s="55">
        <v>2.2799999999999998</v>
      </c>
      <c r="L113" s="244">
        <f>Table2727[[#This Row],[Listed Material Price]]/Table2727[[#This Row],[Linear Feet]]</f>
        <v>2.2799999999999998</v>
      </c>
      <c r="M113" s="248">
        <v>0.09</v>
      </c>
      <c r="N113" s="244">
        <v>3.64</v>
      </c>
      <c r="O113" s="244">
        <v>8.56</v>
      </c>
      <c r="R113" t="s">
        <v>70</v>
      </c>
      <c r="T113" t="s">
        <v>72</v>
      </c>
    </row>
    <row r="114" spans="1:20" x14ac:dyDescent="0.2">
      <c r="A114" t="s">
        <v>4311</v>
      </c>
      <c r="B114" t="s">
        <v>3608</v>
      </c>
      <c r="C114" t="s">
        <v>3787</v>
      </c>
      <c r="D114" t="s">
        <v>2802</v>
      </c>
      <c r="E114" t="s">
        <v>3571</v>
      </c>
      <c r="G114">
        <v>73</v>
      </c>
      <c r="I114" t="s">
        <v>3818</v>
      </c>
      <c r="J114" t="s">
        <v>3836</v>
      </c>
      <c r="K114" s="256" t="s">
        <v>4097</v>
      </c>
      <c r="L114" s="54">
        <f>Table2727[[#This Row],[Listed Material Price]]/Table2727[[#This Row],[Linear Feet]]</f>
        <v>2.2997260273972602</v>
      </c>
      <c r="R114" t="s">
        <v>99</v>
      </c>
      <c r="S114" t="s">
        <v>4527</v>
      </c>
      <c r="T114" t="s">
        <v>71</v>
      </c>
    </row>
    <row r="115" spans="1:20" x14ac:dyDescent="0.2">
      <c r="A115" t="s">
        <v>4141</v>
      </c>
      <c r="B115" t="s">
        <v>3608</v>
      </c>
      <c r="C115" t="s">
        <v>3614</v>
      </c>
      <c r="D115" t="s">
        <v>2802</v>
      </c>
      <c r="E115" t="s">
        <v>3571</v>
      </c>
      <c r="G115">
        <v>73</v>
      </c>
      <c r="I115" t="s">
        <v>3818</v>
      </c>
      <c r="J115" t="s">
        <v>3843</v>
      </c>
      <c r="K115" s="256" t="s">
        <v>3929</v>
      </c>
      <c r="L115" s="54">
        <f>Table2727[[#This Row],[Listed Material Price]]/Table2727[[#This Row],[Linear Feet]]</f>
        <v>2.3215068493150683</v>
      </c>
      <c r="R115" t="s">
        <v>99</v>
      </c>
      <c r="S115" t="s">
        <v>4357</v>
      </c>
      <c r="T115" t="s">
        <v>71</v>
      </c>
    </row>
    <row r="116" spans="1:20" x14ac:dyDescent="0.2">
      <c r="A116" t="s">
        <v>4297</v>
      </c>
      <c r="B116" t="s">
        <v>3608</v>
      </c>
      <c r="C116" t="s">
        <v>3773</v>
      </c>
      <c r="D116" t="s">
        <v>2802</v>
      </c>
      <c r="E116" t="s">
        <v>3571</v>
      </c>
      <c r="G116">
        <v>73</v>
      </c>
      <c r="I116" t="s">
        <v>3814</v>
      </c>
      <c r="J116" t="s">
        <v>3882</v>
      </c>
      <c r="K116" s="256" t="s">
        <v>4083</v>
      </c>
      <c r="L116" s="54">
        <f>Table2727[[#This Row],[Listed Material Price]]/Table2727[[#This Row],[Linear Feet]]</f>
        <v>2.3219178082191783</v>
      </c>
      <c r="R116" t="s">
        <v>99</v>
      </c>
      <c r="S116" t="s">
        <v>4513</v>
      </c>
      <c r="T116" t="s">
        <v>71</v>
      </c>
    </row>
    <row r="117" spans="1:20" x14ac:dyDescent="0.2">
      <c r="A117" t="s">
        <v>4214</v>
      </c>
      <c r="B117" t="s">
        <v>3585</v>
      </c>
      <c r="C117" t="s">
        <v>3689</v>
      </c>
      <c r="D117" t="s">
        <v>2802</v>
      </c>
      <c r="E117" t="s">
        <v>3575</v>
      </c>
      <c r="G117">
        <v>76.625</v>
      </c>
      <c r="I117" t="s">
        <v>3814</v>
      </c>
      <c r="J117" t="s">
        <v>3835</v>
      </c>
      <c r="K117" s="256" t="s">
        <v>4001</v>
      </c>
      <c r="L117" s="54">
        <f>Table2727[[#This Row],[Listed Material Price]]/Table2727[[#This Row],[Linear Feet]]</f>
        <v>2.3267862969004893</v>
      </c>
      <c r="R117" t="s">
        <v>99</v>
      </c>
      <c r="S117" t="s">
        <v>4430</v>
      </c>
      <c r="T117" t="s">
        <v>71</v>
      </c>
    </row>
    <row r="118" spans="1:20" x14ac:dyDescent="0.2">
      <c r="A118" t="s">
        <v>4168</v>
      </c>
      <c r="B118" t="s">
        <v>3608</v>
      </c>
      <c r="C118" t="s">
        <v>3642</v>
      </c>
      <c r="D118" t="s">
        <v>2802</v>
      </c>
      <c r="E118" t="s">
        <v>3571</v>
      </c>
      <c r="G118">
        <v>73</v>
      </c>
      <c r="I118" t="s">
        <v>3806</v>
      </c>
      <c r="J118" t="s">
        <v>3835</v>
      </c>
      <c r="K118" s="256" t="s">
        <v>3956</v>
      </c>
      <c r="L118" s="54">
        <f>Table2727[[#This Row],[Listed Material Price]]/Table2727[[#This Row],[Linear Feet]]</f>
        <v>2.3310958904109587</v>
      </c>
      <c r="R118" t="s">
        <v>99</v>
      </c>
      <c r="S118" t="s">
        <v>4384</v>
      </c>
      <c r="T118" t="s">
        <v>71</v>
      </c>
    </row>
    <row r="119" spans="1:20" x14ac:dyDescent="0.2">
      <c r="A119" t="s">
        <v>4202</v>
      </c>
      <c r="B119" t="s">
        <v>3585</v>
      </c>
      <c r="C119" t="s">
        <v>3677</v>
      </c>
      <c r="D119" t="s">
        <v>2802</v>
      </c>
      <c r="E119" t="s">
        <v>3571</v>
      </c>
      <c r="G119">
        <v>76.625</v>
      </c>
      <c r="I119" t="s">
        <v>3808</v>
      </c>
      <c r="J119" t="s">
        <v>3850</v>
      </c>
      <c r="K119" s="256" t="s">
        <v>3990</v>
      </c>
      <c r="L119" s="54">
        <f>Table2727[[#This Row],[Listed Material Price]]/Table2727[[#This Row],[Linear Feet]]</f>
        <v>2.3360522022838501</v>
      </c>
      <c r="R119" t="s">
        <v>99</v>
      </c>
      <c r="S119" t="s">
        <v>4418</v>
      </c>
      <c r="T119" t="s">
        <v>71</v>
      </c>
    </row>
    <row r="120" spans="1:20" x14ac:dyDescent="0.2">
      <c r="A120" t="s">
        <v>4299</v>
      </c>
      <c r="B120" t="s">
        <v>3585</v>
      </c>
      <c r="C120" t="s">
        <v>3775</v>
      </c>
      <c r="D120" t="s">
        <v>2802</v>
      </c>
      <c r="E120" t="s">
        <v>3571</v>
      </c>
      <c r="G120">
        <v>76.625</v>
      </c>
      <c r="I120" t="s">
        <v>3810</v>
      </c>
      <c r="J120" t="s">
        <v>3859</v>
      </c>
      <c r="K120" s="256" t="s">
        <v>4085</v>
      </c>
      <c r="L120" s="54">
        <f>Table2727[[#This Row],[Listed Material Price]]/Table2727[[#This Row],[Linear Feet]]</f>
        <v>2.3382707993474714</v>
      </c>
      <c r="R120" t="s">
        <v>99</v>
      </c>
      <c r="S120" t="s">
        <v>4515</v>
      </c>
      <c r="T120" t="s">
        <v>71</v>
      </c>
    </row>
    <row r="121" spans="1:20" x14ac:dyDescent="0.2">
      <c r="A121" t="s">
        <v>4260</v>
      </c>
      <c r="B121" t="s">
        <v>1169</v>
      </c>
      <c r="C121" t="s">
        <v>3736</v>
      </c>
      <c r="D121" t="s">
        <v>2802</v>
      </c>
      <c r="E121" t="s">
        <v>3575</v>
      </c>
      <c r="G121">
        <v>76.625</v>
      </c>
      <c r="I121" t="s">
        <v>3822</v>
      </c>
      <c r="J121" t="s">
        <v>3812</v>
      </c>
      <c r="K121" s="256" t="s">
        <v>4047</v>
      </c>
      <c r="L121" s="54">
        <f>Table2727[[#This Row],[Listed Material Price]]/Table2727[[#This Row],[Linear Feet]]</f>
        <v>2.3419249592169655</v>
      </c>
      <c r="R121" t="s">
        <v>99</v>
      </c>
      <c r="S121" t="s">
        <v>4476</v>
      </c>
      <c r="T121" t="s">
        <v>71</v>
      </c>
    </row>
    <row r="122" spans="1:20" x14ac:dyDescent="0.2">
      <c r="A122" t="s">
        <v>4282</v>
      </c>
      <c r="B122" t="s">
        <v>3608</v>
      </c>
      <c r="C122" t="s">
        <v>3758</v>
      </c>
      <c r="D122" t="s">
        <v>2802</v>
      </c>
      <c r="E122" t="s">
        <v>3571</v>
      </c>
      <c r="G122">
        <v>73</v>
      </c>
      <c r="I122" t="s">
        <v>3819</v>
      </c>
      <c r="J122" t="s">
        <v>3874</v>
      </c>
      <c r="K122" s="256" t="s">
        <v>4068</v>
      </c>
      <c r="L122" s="54">
        <f>Table2727[[#This Row],[Listed Material Price]]/Table2727[[#This Row],[Linear Feet]]</f>
        <v>2.3620547945205481</v>
      </c>
      <c r="R122" t="s">
        <v>99</v>
      </c>
      <c r="S122" t="s">
        <v>4498</v>
      </c>
      <c r="T122" t="s">
        <v>71</v>
      </c>
    </row>
    <row r="123" spans="1:20" x14ac:dyDescent="0.2">
      <c r="A123" t="s">
        <v>4224</v>
      </c>
      <c r="B123" t="s">
        <v>1169</v>
      </c>
      <c r="C123" t="s">
        <v>3699</v>
      </c>
      <c r="D123" t="s">
        <v>2802</v>
      </c>
      <c r="E123" t="s">
        <v>3571</v>
      </c>
      <c r="G123">
        <v>73</v>
      </c>
      <c r="I123" t="s">
        <v>3816</v>
      </c>
      <c r="J123" t="s">
        <v>3844</v>
      </c>
      <c r="K123" s="256" t="s">
        <v>4011</v>
      </c>
      <c r="L123" s="54">
        <f>Table2727[[#This Row],[Listed Material Price]]/Table2727[[#This Row],[Linear Feet]]</f>
        <v>2.3701369863013699</v>
      </c>
      <c r="R123" t="s">
        <v>99</v>
      </c>
      <c r="S123" t="s">
        <v>4440</v>
      </c>
      <c r="T123" t="s">
        <v>71</v>
      </c>
    </row>
    <row r="124" spans="1:20" x14ac:dyDescent="0.2">
      <c r="A124" t="s">
        <v>4324</v>
      </c>
      <c r="B124" t="s">
        <v>1169</v>
      </c>
      <c r="C124" t="s">
        <v>3800</v>
      </c>
      <c r="D124" t="s">
        <v>2802</v>
      </c>
      <c r="E124" t="s">
        <v>3575</v>
      </c>
      <c r="G124">
        <v>76.625</v>
      </c>
      <c r="I124" t="s">
        <v>3821</v>
      </c>
      <c r="J124" t="s">
        <v>3839</v>
      </c>
      <c r="K124" s="256" t="s">
        <v>4110</v>
      </c>
      <c r="L124" s="54">
        <f>Table2727[[#This Row],[Listed Material Price]]/Table2727[[#This Row],[Linear Feet]]</f>
        <v>2.3844698205546493</v>
      </c>
      <c r="R124" t="s">
        <v>99</v>
      </c>
      <c r="S124" t="s">
        <v>4540</v>
      </c>
      <c r="T124" t="s">
        <v>71</v>
      </c>
    </row>
    <row r="125" spans="1:20" x14ac:dyDescent="0.2">
      <c r="A125" t="s">
        <v>4296</v>
      </c>
      <c r="B125" t="s">
        <v>3585</v>
      </c>
      <c r="C125" t="s">
        <v>3772</v>
      </c>
      <c r="D125" t="s">
        <v>2802</v>
      </c>
      <c r="E125" t="s">
        <v>3575</v>
      </c>
      <c r="G125">
        <v>76.625</v>
      </c>
      <c r="I125" t="s">
        <v>3814</v>
      </c>
      <c r="J125" t="s">
        <v>3892</v>
      </c>
      <c r="K125" s="256" t="s">
        <v>4082</v>
      </c>
      <c r="L125" s="54">
        <f>Table2727[[#This Row],[Listed Material Price]]/Table2727[[#This Row],[Linear Feet]]</f>
        <v>2.3949102773246329</v>
      </c>
      <c r="R125" t="s">
        <v>99</v>
      </c>
      <c r="S125" t="s">
        <v>4512</v>
      </c>
      <c r="T125" t="s">
        <v>71</v>
      </c>
    </row>
    <row r="126" spans="1:20" x14ac:dyDescent="0.2">
      <c r="A126" t="s">
        <v>4301</v>
      </c>
      <c r="B126" t="s">
        <v>3585</v>
      </c>
      <c r="C126" t="s">
        <v>3777</v>
      </c>
      <c r="D126" t="s">
        <v>2802</v>
      </c>
      <c r="E126" t="s">
        <v>3575</v>
      </c>
      <c r="G126">
        <v>72</v>
      </c>
      <c r="I126" t="s">
        <v>3812</v>
      </c>
      <c r="J126" t="s">
        <v>3893</v>
      </c>
      <c r="K126" s="256" t="s">
        <v>4087</v>
      </c>
      <c r="L126" s="54">
        <f>Table2727[[#This Row],[Listed Material Price]]/Table2727[[#This Row],[Linear Feet]]</f>
        <v>2.3993055555555554</v>
      </c>
      <c r="R126" t="s">
        <v>99</v>
      </c>
      <c r="S126" t="s">
        <v>4517</v>
      </c>
      <c r="T126" t="s">
        <v>71</v>
      </c>
    </row>
    <row r="127" spans="1:20" x14ac:dyDescent="0.2">
      <c r="A127" t="s">
        <v>4160</v>
      </c>
      <c r="B127" t="s">
        <v>3608</v>
      </c>
      <c r="C127" t="s">
        <v>3634</v>
      </c>
      <c r="D127" t="s">
        <v>2802</v>
      </c>
      <c r="E127" t="s">
        <v>3571</v>
      </c>
      <c r="G127">
        <v>73</v>
      </c>
      <c r="I127" t="s">
        <v>3817</v>
      </c>
      <c r="J127" t="s">
        <v>3853</v>
      </c>
      <c r="K127" s="256" t="s">
        <v>3948</v>
      </c>
      <c r="L127" s="54">
        <f>Table2727[[#This Row],[Listed Material Price]]/Table2727[[#This Row],[Linear Feet]]</f>
        <v>2.4306849315068493</v>
      </c>
      <c r="R127" t="s">
        <v>99</v>
      </c>
      <c r="S127" t="s">
        <v>4376</v>
      </c>
      <c r="T127" t="s">
        <v>71</v>
      </c>
    </row>
    <row r="128" spans="1:20" x14ac:dyDescent="0.2">
      <c r="A128" t="s">
        <v>4295</v>
      </c>
      <c r="B128" t="s">
        <v>1169</v>
      </c>
      <c r="C128" t="s">
        <v>3771</v>
      </c>
      <c r="D128" t="s">
        <v>2802</v>
      </c>
      <c r="E128" t="s">
        <v>3571</v>
      </c>
      <c r="G128">
        <v>73</v>
      </c>
      <c r="I128" t="s">
        <v>3814</v>
      </c>
      <c r="J128" t="s">
        <v>3882</v>
      </c>
      <c r="K128" s="256" t="s">
        <v>4081</v>
      </c>
      <c r="L128" s="54">
        <f>Table2727[[#This Row],[Listed Material Price]]/Table2727[[#This Row],[Linear Feet]]</f>
        <v>2.4387671232876711</v>
      </c>
      <c r="R128" t="s">
        <v>99</v>
      </c>
      <c r="S128" t="s">
        <v>4511</v>
      </c>
      <c r="T128" t="s">
        <v>71</v>
      </c>
    </row>
    <row r="129" spans="1:20" x14ac:dyDescent="0.2">
      <c r="A129" t="s">
        <v>4124</v>
      </c>
      <c r="B129" t="s">
        <v>2487</v>
      </c>
      <c r="C129" t="s">
        <v>3594</v>
      </c>
      <c r="D129" t="s">
        <v>2802</v>
      </c>
      <c r="E129" t="s">
        <v>3571</v>
      </c>
      <c r="G129">
        <v>3.25</v>
      </c>
      <c r="I129" t="s">
        <v>3803</v>
      </c>
      <c r="J129" t="s">
        <v>3836</v>
      </c>
      <c r="K129" s="256" t="s">
        <v>3913</v>
      </c>
      <c r="L129" s="54">
        <f>Table2727[[#This Row],[Listed Material Price]]/Table2727[[#This Row],[Linear Feet]]</f>
        <v>2.4553846153846157</v>
      </c>
      <c r="R129" t="s">
        <v>99</v>
      </c>
      <c r="S129" t="s">
        <v>4340</v>
      </c>
      <c r="T129" t="s">
        <v>71</v>
      </c>
    </row>
    <row r="130" spans="1:20" x14ac:dyDescent="0.2">
      <c r="A130" t="s">
        <v>4240</v>
      </c>
      <c r="B130" t="s">
        <v>3627</v>
      </c>
      <c r="C130" t="s">
        <v>3715</v>
      </c>
      <c r="D130" t="s">
        <v>2802</v>
      </c>
      <c r="E130" t="s">
        <v>3573</v>
      </c>
      <c r="G130">
        <v>24</v>
      </c>
      <c r="I130" t="s">
        <v>3824</v>
      </c>
      <c r="J130" t="s">
        <v>3849</v>
      </c>
      <c r="K130" s="256" t="s">
        <v>4027</v>
      </c>
      <c r="L130" s="54">
        <f>Table2727[[#This Row],[Listed Material Price]]/Table2727[[#This Row],[Linear Feet]]</f>
        <v>2.4720833333333334</v>
      </c>
      <c r="R130" t="s">
        <v>99</v>
      </c>
      <c r="S130" t="s">
        <v>4456</v>
      </c>
      <c r="T130" t="s">
        <v>71</v>
      </c>
    </row>
    <row r="131" spans="1:20" x14ac:dyDescent="0.2">
      <c r="A131" t="s">
        <v>3423</v>
      </c>
      <c r="C131" t="s">
        <v>2954</v>
      </c>
      <c r="F131" t="s">
        <v>3424</v>
      </c>
      <c r="G131">
        <v>1</v>
      </c>
      <c r="H131">
        <v>0.5</v>
      </c>
      <c r="I131">
        <v>1</v>
      </c>
      <c r="K131" s="55">
        <v>2.48</v>
      </c>
      <c r="L131" s="245">
        <f>Table2727[[#This Row],[Listed Material Price]]/Table2727[[#This Row],[Linear Feet]]</f>
        <v>2.48</v>
      </c>
      <c r="M131" s="64">
        <v>9.0999999999999998E-2</v>
      </c>
      <c r="N131" s="245">
        <v>3.68</v>
      </c>
      <c r="O131" s="245">
        <v>8.8800000000000008</v>
      </c>
      <c r="R131" t="s">
        <v>70</v>
      </c>
      <c r="T131" t="s">
        <v>72</v>
      </c>
    </row>
    <row r="132" spans="1:20" x14ac:dyDescent="0.2">
      <c r="A132" t="s">
        <v>4292</v>
      </c>
      <c r="B132" t="s">
        <v>1169</v>
      </c>
      <c r="C132" t="s">
        <v>3768</v>
      </c>
      <c r="D132" t="s">
        <v>2802</v>
      </c>
      <c r="E132" t="s">
        <v>3571</v>
      </c>
      <c r="G132">
        <v>76.625</v>
      </c>
      <c r="I132" t="s">
        <v>3816</v>
      </c>
      <c r="J132" t="s">
        <v>3891</v>
      </c>
      <c r="K132" s="256" t="s">
        <v>4078</v>
      </c>
      <c r="L132" s="54">
        <f>Table2727[[#This Row],[Listed Material Price]]/Table2727[[#This Row],[Linear Feet]]</f>
        <v>2.5077977161500815</v>
      </c>
      <c r="R132" t="s">
        <v>99</v>
      </c>
      <c r="S132" t="s">
        <v>4508</v>
      </c>
      <c r="T132" t="s">
        <v>71</v>
      </c>
    </row>
    <row r="133" spans="1:20" x14ac:dyDescent="0.2">
      <c r="A133" t="s">
        <v>4192</v>
      </c>
      <c r="B133" t="s">
        <v>3608</v>
      </c>
      <c r="C133" t="s">
        <v>3667</v>
      </c>
      <c r="D133" t="s">
        <v>2802</v>
      </c>
      <c r="E133" t="s">
        <v>3571</v>
      </c>
      <c r="G133">
        <v>73</v>
      </c>
      <c r="I133" t="s">
        <v>3808</v>
      </c>
      <c r="J133" t="s">
        <v>3837</v>
      </c>
      <c r="K133" s="256" t="s">
        <v>3980</v>
      </c>
      <c r="L133" s="54">
        <f>Table2727[[#This Row],[Listed Material Price]]/Table2727[[#This Row],[Linear Feet]]</f>
        <v>2.5165753424657535</v>
      </c>
      <c r="R133" t="s">
        <v>99</v>
      </c>
      <c r="S133" t="s">
        <v>4408</v>
      </c>
      <c r="T133" t="s">
        <v>71</v>
      </c>
    </row>
    <row r="134" spans="1:20" x14ac:dyDescent="0.2">
      <c r="A134" t="s">
        <v>3423</v>
      </c>
      <c r="C134" t="s">
        <v>2972</v>
      </c>
      <c r="F134" t="s">
        <v>3424</v>
      </c>
      <c r="G134">
        <v>1</v>
      </c>
      <c r="H134">
        <v>0.5</v>
      </c>
      <c r="I134">
        <v>2</v>
      </c>
      <c r="K134" s="55">
        <v>2.52</v>
      </c>
      <c r="L134" s="244">
        <f>Table2727[[#This Row],[Listed Material Price]]/Table2727[[#This Row],[Linear Feet]]</f>
        <v>2.52</v>
      </c>
      <c r="M134" s="248">
        <v>9.2999999999999999E-2</v>
      </c>
      <c r="N134" s="244">
        <v>3.76</v>
      </c>
      <c r="O134" s="244">
        <v>9.07</v>
      </c>
      <c r="R134" t="s">
        <v>70</v>
      </c>
      <c r="T134" t="s">
        <v>72</v>
      </c>
    </row>
    <row r="135" spans="1:20" x14ac:dyDescent="0.2">
      <c r="A135" t="s">
        <v>4197</v>
      </c>
      <c r="B135" t="s">
        <v>3585</v>
      </c>
      <c r="C135" t="s">
        <v>3672</v>
      </c>
      <c r="D135" t="s">
        <v>2802</v>
      </c>
      <c r="E135" t="s">
        <v>3571</v>
      </c>
      <c r="G135">
        <v>72</v>
      </c>
      <c r="I135" t="s">
        <v>3820</v>
      </c>
      <c r="J135" t="s">
        <v>3835</v>
      </c>
      <c r="K135" s="256" t="s">
        <v>3985</v>
      </c>
      <c r="L135" s="54">
        <f>Table2727[[#This Row],[Listed Material Price]]/Table2727[[#This Row],[Linear Feet]]</f>
        <v>2.5252777777777777</v>
      </c>
      <c r="R135" t="s">
        <v>99</v>
      </c>
      <c r="S135" t="s">
        <v>4413</v>
      </c>
      <c r="T135" t="s">
        <v>71</v>
      </c>
    </row>
    <row r="136" spans="1:20" x14ac:dyDescent="0.2">
      <c r="A136" t="s">
        <v>4170</v>
      </c>
      <c r="B136" t="s">
        <v>3608</v>
      </c>
      <c r="C136" t="s">
        <v>3644</v>
      </c>
      <c r="D136" t="s">
        <v>2802</v>
      </c>
      <c r="E136" t="s">
        <v>3575</v>
      </c>
      <c r="G136">
        <v>73</v>
      </c>
      <c r="I136" t="s">
        <v>3810</v>
      </c>
      <c r="J136" t="s">
        <v>3850</v>
      </c>
      <c r="K136" s="256" t="s">
        <v>3959</v>
      </c>
      <c r="L136" s="54">
        <f>Table2727[[#This Row],[Listed Material Price]]/Table2727[[#This Row],[Linear Feet]]</f>
        <v>2.5350684931506851</v>
      </c>
      <c r="R136" t="s">
        <v>99</v>
      </c>
      <c r="S136" t="s">
        <v>4386</v>
      </c>
      <c r="T136" t="s">
        <v>71</v>
      </c>
    </row>
    <row r="137" spans="1:20" x14ac:dyDescent="0.2">
      <c r="A137" t="s">
        <v>4222</v>
      </c>
      <c r="B137" t="s">
        <v>3585</v>
      </c>
      <c r="C137" t="s">
        <v>3697</v>
      </c>
      <c r="D137" t="s">
        <v>2802</v>
      </c>
      <c r="E137" t="s">
        <v>3571</v>
      </c>
      <c r="G137">
        <v>76.625</v>
      </c>
      <c r="I137" t="s">
        <v>3810</v>
      </c>
      <c r="J137" t="s">
        <v>3873</v>
      </c>
      <c r="K137" s="256" t="s">
        <v>4009</v>
      </c>
      <c r="L137" s="54">
        <f>Table2727[[#This Row],[Listed Material Price]]/Table2727[[#This Row],[Linear Feet]]</f>
        <v>2.5840130505709626</v>
      </c>
      <c r="R137" t="s">
        <v>99</v>
      </c>
      <c r="S137" t="s">
        <v>4438</v>
      </c>
      <c r="T137" t="s">
        <v>71</v>
      </c>
    </row>
    <row r="138" spans="1:20" x14ac:dyDescent="0.2">
      <c r="A138" t="s">
        <v>4167</v>
      </c>
      <c r="B138" t="s">
        <v>3627</v>
      </c>
      <c r="C138" t="s">
        <v>3641</v>
      </c>
      <c r="D138" t="s">
        <v>2802</v>
      </c>
      <c r="E138" t="s">
        <v>3573</v>
      </c>
      <c r="G138">
        <v>34</v>
      </c>
      <c r="I138" t="s">
        <v>3810</v>
      </c>
      <c r="J138" t="s">
        <v>3849</v>
      </c>
      <c r="K138" s="256" t="s">
        <v>3955</v>
      </c>
      <c r="L138" s="54">
        <f>Table2727[[#This Row],[Listed Material Price]]/Table2727[[#This Row],[Linear Feet]]</f>
        <v>2.5988235294117645</v>
      </c>
      <c r="R138" t="s">
        <v>99</v>
      </c>
      <c r="S138" t="s">
        <v>4383</v>
      </c>
      <c r="T138" t="s">
        <v>71</v>
      </c>
    </row>
    <row r="139" spans="1:20" x14ac:dyDescent="0.2">
      <c r="A139" t="s">
        <v>4273</v>
      </c>
      <c r="B139" t="s">
        <v>3608</v>
      </c>
      <c r="C139" t="s">
        <v>3749</v>
      </c>
      <c r="D139" t="s">
        <v>2802</v>
      </c>
      <c r="E139" t="s">
        <v>3575</v>
      </c>
      <c r="G139">
        <v>73</v>
      </c>
      <c r="I139" t="s">
        <v>3816</v>
      </c>
      <c r="J139" t="s">
        <v>3872</v>
      </c>
      <c r="K139" s="256" t="s">
        <v>4059</v>
      </c>
      <c r="L139" s="54">
        <f>Table2727[[#This Row],[Listed Material Price]]/Table2727[[#This Row],[Linear Feet]]</f>
        <v>2.6031506849315069</v>
      </c>
      <c r="R139" t="s">
        <v>99</v>
      </c>
      <c r="S139" t="s">
        <v>4489</v>
      </c>
      <c r="T139" t="s">
        <v>71</v>
      </c>
    </row>
    <row r="140" spans="1:20" x14ac:dyDescent="0.2">
      <c r="A140" t="s">
        <v>4325</v>
      </c>
      <c r="B140" t="s">
        <v>1169</v>
      </c>
      <c r="C140" t="s">
        <v>3801</v>
      </c>
      <c r="D140" t="s">
        <v>2802</v>
      </c>
      <c r="E140" t="s">
        <v>3571</v>
      </c>
      <c r="G140">
        <v>76.625</v>
      </c>
      <c r="I140" t="s">
        <v>3816</v>
      </c>
      <c r="J140" t="s">
        <v>3858</v>
      </c>
      <c r="K140" s="256" t="s">
        <v>4111</v>
      </c>
      <c r="L140" s="54">
        <f>Table2727[[#This Row],[Listed Material Price]]/Table2727[[#This Row],[Linear Feet]]</f>
        <v>2.6119412724306685</v>
      </c>
      <c r="R140" t="s">
        <v>99</v>
      </c>
      <c r="S140" t="s">
        <v>4541</v>
      </c>
      <c r="T140" t="s">
        <v>71</v>
      </c>
    </row>
    <row r="141" spans="1:20" x14ac:dyDescent="0.2">
      <c r="A141" t="s">
        <v>4314</v>
      </c>
      <c r="B141" t="s">
        <v>1169</v>
      </c>
      <c r="C141" t="s">
        <v>3790</v>
      </c>
      <c r="D141" t="s">
        <v>2802</v>
      </c>
      <c r="E141" t="s">
        <v>3575</v>
      </c>
      <c r="G141">
        <v>76.625</v>
      </c>
      <c r="I141" t="s">
        <v>3807</v>
      </c>
      <c r="J141" t="s">
        <v>3850</v>
      </c>
      <c r="K141" s="256" t="s">
        <v>4100</v>
      </c>
      <c r="L141" s="54">
        <f>Table2727[[#This Row],[Listed Material Price]]/Table2727[[#This Row],[Linear Feet]]</f>
        <v>2.6268189233278956</v>
      </c>
      <c r="R141" t="s">
        <v>99</v>
      </c>
      <c r="S141" t="s">
        <v>4530</v>
      </c>
      <c r="T141" t="s">
        <v>71</v>
      </c>
    </row>
    <row r="142" spans="1:20" x14ac:dyDescent="0.2">
      <c r="A142" t="s">
        <v>4143</v>
      </c>
      <c r="B142" t="s">
        <v>3608</v>
      </c>
      <c r="C142" t="s">
        <v>3616</v>
      </c>
      <c r="D142" t="s">
        <v>2802</v>
      </c>
      <c r="E142" t="s">
        <v>3575</v>
      </c>
      <c r="G142">
        <v>73</v>
      </c>
      <c r="I142" t="s">
        <v>3814</v>
      </c>
      <c r="J142" t="s">
        <v>3842</v>
      </c>
      <c r="K142" s="256" t="s">
        <v>3931</v>
      </c>
      <c r="L142" s="54">
        <f>Table2727[[#This Row],[Listed Material Price]]/Table2727[[#This Row],[Linear Feet]]</f>
        <v>2.6272602739726025</v>
      </c>
      <c r="R142" t="s">
        <v>99</v>
      </c>
      <c r="S142" t="s">
        <v>4359</v>
      </c>
      <c r="T142" t="s">
        <v>71</v>
      </c>
    </row>
    <row r="143" spans="1:20" x14ac:dyDescent="0.2">
      <c r="A143" t="s">
        <v>4269</v>
      </c>
      <c r="B143" t="s">
        <v>3608</v>
      </c>
      <c r="C143" t="s">
        <v>3745</v>
      </c>
      <c r="D143" t="s">
        <v>2802</v>
      </c>
      <c r="E143" t="s">
        <v>3571</v>
      </c>
      <c r="G143">
        <v>73</v>
      </c>
      <c r="I143" t="s">
        <v>3808</v>
      </c>
      <c r="J143" t="s">
        <v>3884</v>
      </c>
      <c r="K143" s="256" t="s">
        <v>4055</v>
      </c>
      <c r="L143" s="54">
        <f>Table2727[[#This Row],[Listed Material Price]]/Table2727[[#This Row],[Linear Feet]]</f>
        <v>2.6294520547945206</v>
      </c>
      <c r="R143" t="s">
        <v>99</v>
      </c>
      <c r="S143" t="s">
        <v>4485</v>
      </c>
      <c r="T143" t="s">
        <v>71</v>
      </c>
    </row>
    <row r="144" spans="1:20" x14ac:dyDescent="0.2">
      <c r="A144" t="s">
        <v>4193</v>
      </c>
      <c r="B144" t="s">
        <v>3627</v>
      </c>
      <c r="C144" t="s">
        <v>3668</v>
      </c>
      <c r="D144" t="s">
        <v>2802</v>
      </c>
      <c r="E144" t="s">
        <v>3573</v>
      </c>
      <c r="G144">
        <v>48</v>
      </c>
      <c r="I144" t="s">
        <v>3810</v>
      </c>
      <c r="J144" t="s">
        <v>3849</v>
      </c>
      <c r="K144" s="256" t="s">
        <v>3981</v>
      </c>
      <c r="L144" s="54">
        <f>Table2727[[#This Row],[Listed Material Price]]/Table2727[[#This Row],[Linear Feet]]</f>
        <v>2.6458333333333335</v>
      </c>
      <c r="R144" t="s">
        <v>99</v>
      </c>
      <c r="S144" t="s">
        <v>4409</v>
      </c>
      <c r="T144" t="s">
        <v>71</v>
      </c>
    </row>
    <row r="145" spans="1:20" x14ac:dyDescent="0.2">
      <c r="A145" t="s">
        <v>4268</v>
      </c>
      <c r="B145" t="s">
        <v>3627</v>
      </c>
      <c r="C145" t="s">
        <v>3744</v>
      </c>
      <c r="D145" t="s">
        <v>2802</v>
      </c>
      <c r="E145" t="s">
        <v>3573</v>
      </c>
      <c r="G145">
        <v>48</v>
      </c>
      <c r="I145" t="s">
        <v>3810</v>
      </c>
      <c r="J145" t="s">
        <v>3849</v>
      </c>
      <c r="K145" s="256" t="s">
        <v>3981</v>
      </c>
      <c r="L145" s="54">
        <f>Table2727[[#This Row],[Listed Material Price]]/Table2727[[#This Row],[Linear Feet]]</f>
        <v>2.6458333333333335</v>
      </c>
      <c r="R145" t="s">
        <v>99</v>
      </c>
      <c r="S145" t="s">
        <v>4484</v>
      </c>
      <c r="T145" t="s">
        <v>71</v>
      </c>
    </row>
    <row r="146" spans="1:20" x14ac:dyDescent="0.2">
      <c r="A146" t="s">
        <v>4246</v>
      </c>
      <c r="B146" t="s">
        <v>3585</v>
      </c>
      <c r="C146" t="s">
        <v>3722</v>
      </c>
      <c r="D146" t="s">
        <v>2802</v>
      </c>
      <c r="E146" t="s">
        <v>3575</v>
      </c>
      <c r="G146">
        <v>72</v>
      </c>
      <c r="I146" t="s">
        <v>3814</v>
      </c>
      <c r="J146" t="s">
        <v>3835</v>
      </c>
      <c r="K146" s="256" t="s">
        <v>4033</v>
      </c>
      <c r="L146" s="54">
        <f>Table2727[[#This Row],[Listed Material Price]]/Table2727[[#This Row],[Linear Feet]]</f>
        <v>2.701111111111111</v>
      </c>
      <c r="R146" t="s">
        <v>99</v>
      </c>
      <c r="S146" t="s">
        <v>4462</v>
      </c>
      <c r="T146" t="s">
        <v>71</v>
      </c>
    </row>
    <row r="147" spans="1:20" x14ac:dyDescent="0.2">
      <c r="A147" t="s">
        <v>4198</v>
      </c>
      <c r="B147" t="s">
        <v>3627</v>
      </c>
      <c r="C147" t="s">
        <v>3673</v>
      </c>
      <c r="D147" t="s">
        <v>2802</v>
      </c>
      <c r="E147" t="s">
        <v>3573</v>
      </c>
      <c r="G147">
        <v>34</v>
      </c>
      <c r="I147" t="s">
        <v>3810</v>
      </c>
      <c r="J147" t="s">
        <v>3849</v>
      </c>
      <c r="K147" s="256" t="s">
        <v>3986</v>
      </c>
      <c r="L147" s="54">
        <f>Table2727[[#This Row],[Listed Material Price]]/Table2727[[#This Row],[Linear Feet]]</f>
        <v>2.7058823529411766</v>
      </c>
      <c r="R147" t="s">
        <v>99</v>
      </c>
      <c r="S147" t="s">
        <v>4414</v>
      </c>
      <c r="T147" t="s">
        <v>71</v>
      </c>
    </row>
    <row r="148" spans="1:20" x14ac:dyDescent="0.2">
      <c r="A148" t="s">
        <v>4158</v>
      </c>
      <c r="B148" t="s">
        <v>1169</v>
      </c>
      <c r="C148" t="s">
        <v>3632</v>
      </c>
      <c r="D148" t="s">
        <v>2802</v>
      </c>
      <c r="E148" t="s">
        <v>3575</v>
      </c>
      <c r="G148">
        <v>76.625</v>
      </c>
      <c r="I148" t="s">
        <v>3822</v>
      </c>
      <c r="J148" t="s">
        <v>3852</v>
      </c>
      <c r="K148" s="256" t="s">
        <v>3946</v>
      </c>
      <c r="L148" s="54">
        <f>Table2727[[#This Row],[Listed Material Price]]/Table2727[[#This Row],[Linear Feet]]</f>
        <v>2.7199999999999998</v>
      </c>
      <c r="R148" t="s">
        <v>99</v>
      </c>
      <c r="S148" t="s">
        <v>4374</v>
      </c>
      <c r="T148" t="s">
        <v>71</v>
      </c>
    </row>
    <row r="149" spans="1:20" x14ac:dyDescent="0.2">
      <c r="A149" t="s">
        <v>4312</v>
      </c>
      <c r="B149" t="s">
        <v>3585</v>
      </c>
      <c r="C149" t="s">
        <v>3788</v>
      </c>
      <c r="D149" t="s">
        <v>2802</v>
      </c>
      <c r="E149" t="s">
        <v>3571</v>
      </c>
      <c r="G149">
        <v>76.625</v>
      </c>
      <c r="I149" t="s">
        <v>3810</v>
      </c>
      <c r="J149" t="s">
        <v>3898</v>
      </c>
      <c r="K149" s="256" t="s">
        <v>4098</v>
      </c>
      <c r="L149" s="54">
        <f>Table2727[[#This Row],[Listed Material Price]]/Table2727[[#This Row],[Linear Feet]]</f>
        <v>2.7275693311582381</v>
      </c>
      <c r="R149" t="s">
        <v>99</v>
      </c>
      <c r="S149" t="s">
        <v>4528</v>
      </c>
      <c r="T149" t="s">
        <v>71</v>
      </c>
    </row>
    <row r="150" spans="1:20" x14ac:dyDescent="0.2">
      <c r="A150" t="s">
        <v>4323</v>
      </c>
      <c r="B150" t="s">
        <v>1169</v>
      </c>
      <c r="C150" t="s">
        <v>3799</v>
      </c>
      <c r="D150" t="s">
        <v>2802</v>
      </c>
      <c r="E150" t="s">
        <v>3571</v>
      </c>
      <c r="G150">
        <v>76.625</v>
      </c>
      <c r="I150" t="s">
        <v>3822</v>
      </c>
      <c r="J150" t="s">
        <v>3900</v>
      </c>
      <c r="K150" s="256" t="s">
        <v>4109</v>
      </c>
      <c r="L150" s="54">
        <f>Table2727[[#This Row],[Listed Material Price]]/Table2727[[#This Row],[Linear Feet]]</f>
        <v>2.7300489396411094</v>
      </c>
      <c r="R150" t="s">
        <v>99</v>
      </c>
      <c r="S150" t="s">
        <v>4539</v>
      </c>
      <c r="T150" t="s">
        <v>71</v>
      </c>
    </row>
    <row r="151" spans="1:20" x14ac:dyDescent="0.2">
      <c r="A151" t="s">
        <v>3423</v>
      </c>
      <c r="C151" t="s">
        <v>2977</v>
      </c>
      <c r="F151" t="s">
        <v>67</v>
      </c>
      <c r="G151">
        <v>1</v>
      </c>
      <c r="H151">
        <v>1</v>
      </c>
      <c r="I151">
        <v>2</v>
      </c>
      <c r="K151" s="55">
        <v>2.75</v>
      </c>
      <c r="L151" s="245">
        <f>Table2727[[#This Row],[Listed Material Price]]/Table2727[[#This Row],[Linear Feet]]</f>
        <v>2.75</v>
      </c>
      <c r="M151" s="64">
        <v>0.08</v>
      </c>
      <c r="N151" s="245">
        <v>2.91</v>
      </c>
      <c r="O151" s="245">
        <v>7.89</v>
      </c>
      <c r="R151" t="s">
        <v>70</v>
      </c>
      <c r="T151" t="s">
        <v>72</v>
      </c>
    </row>
    <row r="152" spans="1:20" x14ac:dyDescent="0.2">
      <c r="A152" t="s">
        <v>4287</v>
      </c>
      <c r="B152" t="s">
        <v>3627</v>
      </c>
      <c r="C152" t="s">
        <v>3763</v>
      </c>
      <c r="D152" t="s">
        <v>2802</v>
      </c>
      <c r="E152" t="s">
        <v>3573</v>
      </c>
      <c r="G152">
        <v>24</v>
      </c>
      <c r="I152" t="s">
        <v>3824</v>
      </c>
      <c r="J152" t="s">
        <v>3849</v>
      </c>
      <c r="K152" s="256" t="s">
        <v>4073</v>
      </c>
      <c r="L152" s="54">
        <f>Table2727[[#This Row],[Listed Material Price]]/Table2727[[#This Row],[Linear Feet]]</f>
        <v>2.75</v>
      </c>
      <c r="R152" t="s">
        <v>99</v>
      </c>
      <c r="S152" t="s">
        <v>4503</v>
      </c>
      <c r="T152" t="s">
        <v>71</v>
      </c>
    </row>
    <row r="153" spans="1:20" x14ac:dyDescent="0.2">
      <c r="A153" t="s">
        <v>3423</v>
      </c>
      <c r="C153" t="s">
        <v>2963</v>
      </c>
      <c r="F153" t="s">
        <v>3424</v>
      </c>
      <c r="G153">
        <v>1</v>
      </c>
      <c r="H153">
        <v>0.75</v>
      </c>
      <c r="I153">
        <v>1</v>
      </c>
      <c r="K153" s="55">
        <v>2.77</v>
      </c>
      <c r="L153" s="244">
        <f>Table2727[[#This Row],[Listed Material Price]]/Table2727[[#This Row],[Linear Feet]]</f>
        <v>2.77</v>
      </c>
      <c r="M153" s="248">
        <v>9.0999999999999998E-2</v>
      </c>
      <c r="N153" s="244">
        <v>3.68</v>
      </c>
      <c r="O153" s="244">
        <v>9.1999999999999993</v>
      </c>
      <c r="R153" t="s">
        <v>70</v>
      </c>
      <c r="T153" t="s">
        <v>72</v>
      </c>
    </row>
    <row r="154" spans="1:20" x14ac:dyDescent="0.2">
      <c r="A154" t="s">
        <v>4195</v>
      </c>
      <c r="B154" t="s">
        <v>3585</v>
      </c>
      <c r="C154" t="s">
        <v>3670</v>
      </c>
      <c r="D154" t="s">
        <v>2802</v>
      </c>
      <c r="E154" t="s">
        <v>3571</v>
      </c>
      <c r="G154">
        <v>72</v>
      </c>
      <c r="I154" t="s">
        <v>3812</v>
      </c>
      <c r="J154" t="s">
        <v>3868</v>
      </c>
      <c r="K154" s="256" t="s">
        <v>3983</v>
      </c>
      <c r="L154" s="54">
        <f>Table2727[[#This Row],[Listed Material Price]]/Table2727[[#This Row],[Linear Feet]]</f>
        <v>2.7765277777777779</v>
      </c>
      <c r="R154" t="s">
        <v>99</v>
      </c>
      <c r="S154" t="s">
        <v>4411</v>
      </c>
      <c r="T154" t="s">
        <v>71</v>
      </c>
    </row>
    <row r="155" spans="1:20" x14ac:dyDescent="0.2">
      <c r="A155" t="s">
        <v>4279</v>
      </c>
      <c r="B155" t="s">
        <v>3608</v>
      </c>
      <c r="C155" t="s">
        <v>3755</v>
      </c>
      <c r="D155" t="s">
        <v>2802</v>
      </c>
      <c r="E155" t="s">
        <v>3575</v>
      </c>
      <c r="G155">
        <v>73</v>
      </c>
      <c r="I155" t="s">
        <v>3814</v>
      </c>
      <c r="J155" t="s">
        <v>3876</v>
      </c>
      <c r="K155" s="256" t="s">
        <v>4065</v>
      </c>
      <c r="L155" s="54">
        <f>Table2727[[#This Row],[Listed Material Price]]/Table2727[[#This Row],[Linear Feet]]</f>
        <v>2.7775342465753425</v>
      </c>
      <c r="R155" t="s">
        <v>99</v>
      </c>
      <c r="S155" t="s">
        <v>4495</v>
      </c>
      <c r="T155" t="s">
        <v>71</v>
      </c>
    </row>
    <row r="156" spans="1:20" x14ac:dyDescent="0.2">
      <c r="A156" t="s">
        <v>4277</v>
      </c>
      <c r="B156" t="s">
        <v>3585</v>
      </c>
      <c r="C156" t="s">
        <v>3753</v>
      </c>
      <c r="D156" t="s">
        <v>2802</v>
      </c>
      <c r="E156" t="s">
        <v>3571</v>
      </c>
      <c r="G156">
        <v>72</v>
      </c>
      <c r="I156" t="s">
        <v>3814</v>
      </c>
      <c r="J156" t="s">
        <v>3864</v>
      </c>
      <c r="K156" s="256" t="s">
        <v>4063</v>
      </c>
      <c r="L156" s="54">
        <f>Table2727[[#This Row],[Listed Material Price]]/Table2727[[#This Row],[Linear Feet]]</f>
        <v>2.8551388888888889</v>
      </c>
      <c r="R156" t="s">
        <v>99</v>
      </c>
      <c r="S156" t="s">
        <v>4493</v>
      </c>
      <c r="T156" t="s">
        <v>71</v>
      </c>
    </row>
    <row r="157" spans="1:20" x14ac:dyDescent="0.2">
      <c r="A157" t="s">
        <v>4241</v>
      </c>
      <c r="B157" t="s">
        <v>3585</v>
      </c>
      <c r="C157" t="s">
        <v>3717</v>
      </c>
      <c r="D157" t="s">
        <v>2802</v>
      </c>
      <c r="E157" t="s">
        <v>3575</v>
      </c>
      <c r="G157">
        <v>76.625</v>
      </c>
      <c r="I157" t="s">
        <v>3816</v>
      </c>
      <c r="J157" t="s">
        <v>3878</v>
      </c>
      <c r="K157" s="256" t="s">
        <v>4028</v>
      </c>
      <c r="L157" s="54">
        <f>Table2727[[#This Row],[Listed Material Price]]/Table2727[[#This Row],[Linear Feet]]</f>
        <v>2.8741272430668841</v>
      </c>
      <c r="R157" t="s">
        <v>99</v>
      </c>
      <c r="S157" t="s">
        <v>4457</v>
      </c>
      <c r="T157" t="s">
        <v>71</v>
      </c>
    </row>
    <row r="158" spans="1:20" x14ac:dyDescent="0.2">
      <c r="A158" t="s">
        <v>4254</v>
      </c>
      <c r="B158" t="s">
        <v>3585</v>
      </c>
      <c r="C158" t="s">
        <v>3730</v>
      </c>
      <c r="D158" t="s">
        <v>2802</v>
      </c>
      <c r="E158" t="s">
        <v>3571</v>
      </c>
      <c r="G158">
        <v>72</v>
      </c>
      <c r="I158" t="s">
        <v>3828</v>
      </c>
      <c r="J158" t="s">
        <v>3834</v>
      </c>
      <c r="K158" s="256" t="s">
        <v>4041</v>
      </c>
      <c r="L158" s="54">
        <f>Table2727[[#This Row],[Listed Material Price]]/Table2727[[#This Row],[Linear Feet]]</f>
        <v>2.90625</v>
      </c>
      <c r="R158" t="s">
        <v>99</v>
      </c>
      <c r="S158" t="s">
        <v>4470</v>
      </c>
      <c r="T158" t="s">
        <v>71</v>
      </c>
    </row>
    <row r="159" spans="1:20" x14ac:dyDescent="0.2">
      <c r="A159" t="s">
        <v>4265</v>
      </c>
      <c r="B159" t="s">
        <v>3585</v>
      </c>
      <c r="C159" t="s">
        <v>3741</v>
      </c>
      <c r="D159" t="s">
        <v>2802</v>
      </c>
      <c r="E159" t="s">
        <v>3575</v>
      </c>
      <c r="G159">
        <v>72</v>
      </c>
      <c r="I159" t="s">
        <v>3823</v>
      </c>
      <c r="J159" t="s">
        <v>3882</v>
      </c>
      <c r="K159" s="256" t="s">
        <v>4052</v>
      </c>
      <c r="L159" s="54">
        <f>Table2727[[#This Row],[Listed Material Price]]/Table2727[[#This Row],[Linear Feet]]</f>
        <v>2.9234722222222222</v>
      </c>
      <c r="R159" t="s">
        <v>99</v>
      </c>
      <c r="S159" t="s">
        <v>4481</v>
      </c>
      <c r="T159" t="s">
        <v>71</v>
      </c>
    </row>
    <row r="160" spans="1:20" x14ac:dyDescent="0.2">
      <c r="A160" t="s">
        <v>4248</v>
      </c>
      <c r="B160" t="s">
        <v>3585</v>
      </c>
      <c r="C160" t="s">
        <v>3724</v>
      </c>
      <c r="D160" t="s">
        <v>2802</v>
      </c>
      <c r="E160" t="s">
        <v>3571</v>
      </c>
      <c r="G160">
        <v>72</v>
      </c>
      <c r="I160" t="s">
        <v>3814</v>
      </c>
      <c r="J160" t="s">
        <v>3865</v>
      </c>
      <c r="K160" s="256" t="s">
        <v>4035</v>
      </c>
      <c r="L160" s="54">
        <f>Table2727[[#This Row],[Listed Material Price]]/Table2727[[#This Row],[Linear Feet]]</f>
        <v>2.9480555555555554</v>
      </c>
      <c r="R160" t="s">
        <v>99</v>
      </c>
      <c r="S160" t="s">
        <v>4464</v>
      </c>
      <c r="T160" t="s">
        <v>71</v>
      </c>
    </row>
    <row r="161" spans="1:20" x14ac:dyDescent="0.2">
      <c r="A161" t="s">
        <v>4176</v>
      </c>
      <c r="B161" t="s">
        <v>3585</v>
      </c>
      <c r="C161" t="s">
        <v>3650</v>
      </c>
      <c r="D161" t="s">
        <v>2802</v>
      </c>
      <c r="E161" t="s">
        <v>3571</v>
      </c>
      <c r="G161">
        <v>76.625</v>
      </c>
      <c r="I161" t="s">
        <v>3817</v>
      </c>
      <c r="J161" t="s">
        <v>3861</v>
      </c>
      <c r="K161" s="256" t="s">
        <v>3965</v>
      </c>
      <c r="L161" s="54">
        <f>Table2727[[#This Row],[Listed Material Price]]/Table2727[[#This Row],[Linear Feet]]</f>
        <v>2.9592169657422511</v>
      </c>
      <c r="R161" t="s">
        <v>99</v>
      </c>
      <c r="S161" t="s">
        <v>4392</v>
      </c>
      <c r="T161" t="s">
        <v>71</v>
      </c>
    </row>
    <row r="162" spans="1:20" x14ac:dyDescent="0.2">
      <c r="A162" t="s">
        <v>4270</v>
      </c>
      <c r="B162" t="s">
        <v>3608</v>
      </c>
      <c r="C162" t="s">
        <v>3746</v>
      </c>
      <c r="D162" t="s">
        <v>2802</v>
      </c>
      <c r="E162" t="s">
        <v>3571</v>
      </c>
      <c r="G162">
        <v>73</v>
      </c>
      <c r="I162" t="s">
        <v>3816</v>
      </c>
      <c r="J162" t="s">
        <v>3844</v>
      </c>
      <c r="K162" s="256" t="s">
        <v>4056</v>
      </c>
      <c r="L162" s="54">
        <f>Table2727[[#This Row],[Listed Material Price]]/Table2727[[#This Row],[Linear Feet]]</f>
        <v>2.9615068493150685</v>
      </c>
      <c r="R162" t="s">
        <v>99</v>
      </c>
      <c r="S162" t="s">
        <v>4486</v>
      </c>
      <c r="T162" t="s">
        <v>71</v>
      </c>
    </row>
    <row r="163" spans="1:20" x14ac:dyDescent="0.2">
      <c r="A163" t="s">
        <v>4227</v>
      </c>
      <c r="B163" t="s">
        <v>3585</v>
      </c>
      <c r="C163" t="s">
        <v>3702</v>
      </c>
      <c r="D163" t="s">
        <v>2802</v>
      </c>
      <c r="E163" t="s">
        <v>3571</v>
      </c>
      <c r="G163">
        <v>76.625</v>
      </c>
      <c r="I163" t="s">
        <v>3818</v>
      </c>
      <c r="J163" t="s">
        <v>3845</v>
      </c>
      <c r="K163" s="256" t="s">
        <v>4014</v>
      </c>
      <c r="L163" s="54">
        <f>Table2727[[#This Row],[Listed Material Price]]/Table2727[[#This Row],[Linear Feet]]</f>
        <v>2.9885807504078303</v>
      </c>
      <c r="R163" t="s">
        <v>99</v>
      </c>
      <c r="S163" t="s">
        <v>4443</v>
      </c>
      <c r="T163" t="s">
        <v>71</v>
      </c>
    </row>
    <row r="164" spans="1:20" x14ac:dyDescent="0.2">
      <c r="A164" t="s">
        <v>4175</v>
      </c>
      <c r="B164" t="s">
        <v>3585</v>
      </c>
      <c r="C164" t="s">
        <v>3649</v>
      </c>
      <c r="D164" t="s">
        <v>2802</v>
      </c>
      <c r="E164" t="s">
        <v>3575</v>
      </c>
      <c r="G164">
        <v>72</v>
      </c>
      <c r="I164" t="s">
        <v>3814</v>
      </c>
      <c r="J164" t="s">
        <v>3860</v>
      </c>
      <c r="K164" s="256" t="s">
        <v>3964</v>
      </c>
      <c r="L164" s="54">
        <f>Table2727[[#This Row],[Listed Material Price]]/Table2727[[#This Row],[Linear Feet]]</f>
        <v>2.9927777777777775</v>
      </c>
      <c r="R164" t="s">
        <v>99</v>
      </c>
      <c r="S164" t="s">
        <v>4391</v>
      </c>
      <c r="T164" t="s">
        <v>71</v>
      </c>
    </row>
    <row r="165" spans="1:20" x14ac:dyDescent="0.2">
      <c r="A165" t="s">
        <v>4271</v>
      </c>
      <c r="B165" t="s">
        <v>1169</v>
      </c>
      <c r="C165" t="s">
        <v>3747</v>
      </c>
      <c r="D165" t="s">
        <v>2802</v>
      </c>
      <c r="E165" t="s">
        <v>3571</v>
      </c>
      <c r="G165">
        <v>73</v>
      </c>
      <c r="I165" t="s">
        <v>3825</v>
      </c>
      <c r="J165" t="s">
        <v>3885</v>
      </c>
      <c r="K165" s="256" t="s">
        <v>4057</v>
      </c>
      <c r="L165" s="54">
        <f>Table2727[[#This Row],[Listed Material Price]]/Table2727[[#This Row],[Linear Feet]]</f>
        <v>3.0138356164383562</v>
      </c>
      <c r="R165" t="s">
        <v>99</v>
      </c>
      <c r="S165" t="s">
        <v>4487</v>
      </c>
      <c r="T165" t="s">
        <v>71</v>
      </c>
    </row>
    <row r="166" spans="1:20" x14ac:dyDescent="0.2">
      <c r="A166" t="s">
        <v>4209</v>
      </c>
      <c r="B166" t="s">
        <v>3608</v>
      </c>
      <c r="C166" t="s">
        <v>3684</v>
      </c>
      <c r="D166" t="s">
        <v>2802</v>
      </c>
      <c r="E166" t="s">
        <v>3571</v>
      </c>
      <c r="G166">
        <v>73</v>
      </c>
      <c r="I166" t="s">
        <v>3810</v>
      </c>
      <c r="J166" t="s">
        <v>3861</v>
      </c>
      <c r="K166" s="256" t="s">
        <v>3996</v>
      </c>
      <c r="L166" s="54">
        <f>Table2727[[#This Row],[Listed Material Price]]/Table2727[[#This Row],[Linear Feet]]</f>
        <v>3.0220547945205483</v>
      </c>
      <c r="R166" t="s">
        <v>99</v>
      </c>
      <c r="S166" t="s">
        <v>4425</v>
      </c>
      <c r="T166" t="s">
        <v>71</v>
      </c>
    </row>
    <row r="167" spans="1:20" x14ac:dyDescent="0.2">
      <c r="A167" t="s">
        <v>4221</v>
      </c>
      <c r="B167" t="s">
        <v>3585</v>
      </c>
      <c r="C167" t="s">
        <v>3696</v>
      </c>
      <c r="D167" t="s">
        <v>2802</v>
      </c>
      <c r="E167" t="s">
        <v>3571</v>
      </c>
      <c r="G167">
        <v>72</v>
      </c>
      <c r="I167" t="s">
        <v>3803</v>
      </c>
      <c r="J167" t="s">
        <v>3872</v>
      </c>
      <c r="K167" s="256" t="s">
        <v>4008</v>
      </c>
      <c r="L167" s="54">
        <f>Table2727[[#This Row],[Listed Material Price]]/Table2727[[#This Row],[Linear Feet]]</f>
        <v>3.0856944444444441</v>
      </c>
      <c r="R167" t="s">
        <v>99</v>
      </c>
      <c r="S167" t="s">
        <v>4437</v>
      </c>
      <c r="T167" t="s">
        <v>71</v>
      </c>
    </row>
    <row r="168" spans="1:20" x14ac:dyDescent="0.2">
      <c r="A168" t="s">
        <v>4318</v>
      </c>
      <c r="B168" t="s">
        <v>3585</v>
      </c>
      <c r="C168" t="s">
        <v>3794</v>
      </c>
      <c r="D168" t="s">
        <v>2802</v>
      </c>
      <c r="E168" t="s">
        <v>3571</v>
      </c>
      <c r="G168">
        <v>72</v>
      </c>
      <c r="I168" t="s">
        <v>3823</v>
      </c>
      <c r="J168" t="s">
        <v>3882</v>
      </c>
      <c r="K168" s="256" t="s">
        <v>4104</v>
      </c>
      <c r="L168" s="54">
        <f>Table2727[[#This Row],[Listed Material Price]]/Table2727[[#This Row],[Linear Feet]]</f>
        <v>3.1529166666666666</v>
      </c>
      <c r="R168" t="s">
        <v>99</v>
      </c>
      <c r="S168" t="s">
        <v>4534</v>
      </c>
      <c r="T168" t="s">
        <v>71</v>
      </c>
    </row>
    <row r="169" spans="1:20" x14ac:dyDescent="0.2">
      <c r="A169" t="s">
        <v>4317</v>
      </c>
      <c r="B169" t="s">
        <v>3585</v>
      </c>
      <c r="C169" t="s">
        <v>3793</v>
      </c>
      <c r="D169" t="s">
        <v>2802</v>
      </c>
      <c r="E169" t="s">
        <v>3571</v>
      </c>
      <c r="G169">
        <v>72</v>
      </c>
      <c r="I169" t="s">
        <v>3820</v>
      </c>
      <c r="J169" t="s">
        <v>3859</v>
      </c>
      <c r="K169" s="256" t="s">
        <v>4103</v>
      </c>
      <c r="L169" s="54">
        <f>Table2727[[#This Row],[Listed Material Price]]/Table2727[[#This Row],[Linear Feet]]</f>
        <v>3.1961111111111111</v>
      </c>
      <c r="R169" t="s">
        <v>99</v>
      </c>
      <c r="S169" t="s">
        <v>4533</v>
      </c>
      <c r="T169" t="s">
        <v>71</v>
      </c>
    </row>
    <row r="170" spans="1:20" x14ac:dyDescent="0.2">
      <c r="A170" t="s">
        <v>4252</v>
      </c>
      <c r="B170" t="s">
        <v>3585</v>
      </c>
      <c r="C170" t="s">
        <v>3728</v>
      </c>
      <c r="D170" t="s">
        <v>2802</v>
      </c>
      <c r="E170" t="s">
        <v>3571</v>
      </c>
      <c r="G170">
        <v>72</v>
      </c>
      <c r="I170" t="s">
        <v>3803</v>
      </c>
      <c r="J170" t="s">
        <v>3836</v>
      </c>
      <c r="K170" s="256" t="s">
        <v>4039</v>
      </c>
      <c r="L170" s="54">
        <f>Table2727[[#This Row],[Listed Material Price]]/Table2727[[#This Row],[Linear Feet]]</f>
        <v>3.2304166666666667</v>
      </c>
      <c r="R170" t="s">
        <v>99</v>
      </c>
      <c r="S170" t="s">
        <v>4468</v>
      </c>
      <c r="T170" t="s">
        <v>71</v>
      </c>
    </row>
    <row r="171" spans="1:20" x14ac:dyDescent="0.2">
      <c r="A171" t="s">
        <v>4138</v>
      </c>
      <c r="B171" t="s">
        <v>3585</v>
      </c>
      <c r="C171" t="s">
        <v>3610</v>
      </c>
      <c r="D171" t="s">
        <v>2802</v>
      </c>
      <c r="E171" t="s">
        <v>3571</v>
      </c>
      <c r="G171">
        <v>76.625</v>
      </c>
      <c r="I171" t="s">
        <v>3817</v>
      </c>
      <c r="J171" t="s">
        <v>3834</v>
      </c>
      <c r="K171" s="256" t="s">
        <v>3926</v>
      </c>
      <c r="L171" s="54">
        <f>Table2727[[#This Row],[Listed Material Price]]/Table2727[[#This Row],[Linear Feet]]</f>
        <v>3.2309298531810766</v>
      </c>
      <c r="R171" t="s">
        <v>99</v>
      </c>
      <c r="S171" t="s">
        <v>4353</v>
      </c>
      <c r="T171" t="s">
        <v>71</v>
      </c>
    </row>
    <row r="172" spans="1:20" x14ac:dyDescent="0.2">
      <c r="A172" t="s">
        <v>4313</v>
      </c>
      <c r="B172" t="s">
        <v>3585</v>
      </c>
      <c r="C172" t="s">
        <v>3789</v>
      </c>
      <c r="D172" t="s">
        <v>2802</v>
      </c>
      <c r="E172" t="s">
        <v>3571</v>
      </c>
      <c r="G172">
        <v>72</v>
      </c>
      <c r="I172" t="s">
        <v>3828</v>
      </c>
      <c r="J172" t="s">
        <v>3868</v>
      </c>
      <c r="K172" s="256" t="s">
        <v>4099</v>
      </c>
      <c r="L172" s="54">
        <f>Table2727[[#This Row],[Listed Material Price]]/Table2727[[#This Row],[Linear Feet]]</f>
        <v>3.2370833333333331</v>
      </c>
      <c r="R172" t="s">
        <v>99</v>
      </c>
      <c r="S172" t="s">
        <v>4529</v>
      </c>
      <c r="T172" t="s">
        <v>71</v>
      </c>
    </row>
    <row r="173" spans="1:20" x14ac:dyDescent="0.2">
      <c r="A173" t="s">
        <v>4149</v>
      </c>
      <c r="B173" t="s">
        <v>3476</v>
      </c>
      <c r="C173" t="s">
        <v>3622</v>
      </c>
      <c r="D173" t="s">
        <v>2802</v>
      </c>
      <c r="E173" t="s">
        <v>3571</v>
      </c>
      <c r="G173">
        <v>4</v>
      </c>
      <c r="I173" t="s">
        <v>3820</v>
      </c>
      <c r="J173" t="s">
        <v>3812</v>
      </c>
      <c r="K173" s="256" t="s">
        <v>3937</v>
      </c>
      <c r="L173" s="54">
        <f>Table2727[[#This Row],[Listed Material Price]]/Table2727[[#This Row],[Linear Feet]]</f>
        <v>3.2475000000000001</v>
      </c>
      <c r="R173" t="s">
        <v>99</v>
      </c>
      <c r="S173" t="s">
        <v>4365</v>
      </c>
      <c r="T173" t="s">
        <v>71</v>
      </c>
    </row>
    <row r="174" spans="1:20" x14ac:dyDescent="0.2">
      <c r="A174" t="s">
        <v>4196</v>
      </c>
      <c r="B174" t="s">
        <v>3585</v>
      </c>
      <c r="C174" t="s">
        <v>3671</v>
      </c>
      <c r="D174" t="s">
        <v>2802</v>
      </c>
      <c r="E174" t="s">
        <v>3571</v>
      </c>
      <c r="G174">
        <v>76.625</v>
      </c>
      <c r="I174" t="s">
        <v>3808</v>
      </c>
      <c r="J174" t="s">
        <v>3837</v>
      </c>
      <c r="K174" s="256" t="s">
        <v>3984</v>
      </c>
      <c r="L174" s="54">
        <f>Table2727[[#This Row],[Listed Material Price]]/Table2727[[#This Row],[Linear Feet]]</f>
        <v>3.2536378466557911</v>
      </c>
      <c r="R174" t="s">
        <v>99</v>
      </c>
      <c r="S174" t="s">
        <v>4412</v>
      </c>
      <c r="T174" t="s">
        <v>71</v>
      </c>
    </row>
    <row r="175" spans="1:20" x14ac:dyDescent="0.2">
      <c r="A175" t="s">
        <v>4208</v>
      </c>
      <c r="B175" t="s">
        <v>3585</v>
      </c>
      <c r="C175" t="s">
        <v>3683</v>
      </c>
      <c r="D175" t="s">
        <v>2802</v>
      </c>
      <c r="E175" t="s">
        <v>3571</v>
      </c>
      <c r="G175">
        <v>72</v>
      </c>
      <c r="I175" t="s">
        <v>3820</v>
      </c>
      <c r="J175" t="s">
        <v>3869</v>
      </c>
      <c r="K175" s="256" t="s">
        <v>3995</v>
      </c>
      <c r="L175" s="54">
        <f>Table2727[[#This Row],[Listed Material Price]]/Table2727[[#This Row],[Linear Feet]]</f>
        <v>3.2558333333333334</v>
      </c>
      <c r="R175" t="s">
        <v>99</v>
      </c>
      <c r="S175" t="s">
        <v>4424</v>
      </c>
      <c r="T175" t="s">
        <v>71</v>
      </c>
    </row>
    <row r="176" spans="1:20" x14ac:dyDescent="0.2">
      <c r="A176" t="s">
        <v>4259</v>
      </c>
      <c r="B176" t="s">
        <v>3585</v>
      </c>
      <c r="C176" t="s">
        <v>3735</v>
      </c>
      <c r="D176" t="s">
        <v>2802</v>
      </c>
      <c r="E176" t="s">
        <v>3571</v>
      </c>
      <c r="G176">
        <v>72</v>
      </c>
      <c r="I176" t="s">
        <v>3820</v>
      </c>
      <c r="J176" t="s">
        <v>3873</v>
      </c>
      <c r="K176" s="256" t="s">
        <v>4046</v>
      </c>
      <c r="L176" s="54">
        <f>Table2727[[#This Row],[Listed Material Price]]/Table2727[[#This Row],[Linear Feet]]</f>
        <v>3.2695833333333333</v>
      </c>
      <c r="R176" t="s">
        <v>99</v>
      </c>
      <c r="S176" t="s">
        <v>4475</v>
      </c>
      <c r="T176" t="s">
        <v>71</v>
      </c>
    </row>
    <row r="177" spans="1:20" x14ac:dyDescent="0.2">
      <c r="A177" t="s">
        <v>4229</v>
      </c>
      <c r="B177" t="s">
        <v>1169</v>
      </c>
      <c r="C177" t="s">
        <v>3704</v>
      </c>
      <c r="D177" t="s">
        <v>2802</v>
      </c>
      <c r="E177" t="s">
        <v>3575</v>
      </c>
      <c r="G177">
        <v>76.625</v>
      </c>
      <c r="I177" t="s">
        <v>3821</v>
      </c>
      <c r="J177" t="s">
        <v>3867</v>
      </c>
      <c r="K177" s="256" t="s">
        <v>4016</v>
      </c>
      <c r="L177" s="54">
        <f>Table2727[[#This Row],[Listed Material Price]]/Table2727[[#This Row],[Linear Feet]]</f>
        <v>3.2973572593800977</v>
      </c>
      <c r="R177" t="s">
        <v>99</v>
      </c>
      <c r="S177" t="s">
        <v>4445</v>
      </c>
      <c r="T177" t="s">
        <v>71</v>
      </c>
    </row>
    <row r="178" spans="1:20" x14ac:dyDescent="0.2">
      <c r="A178" t="s">
        <v>4128</v>
      </c>
      <c r="B178" t="s">
        <v>3585</v>
      </c>
      <c r="C178" t="s">
        <v>3598</v>
      </c>
      <c r="D178" t="s">
        <v>2802</v>
      </c>
      <c r="E178" t="s">
        <v>3571</v>
      </c>
      <c r="G178">
        <v>23</v>
      </c>
      <c r="I178" t="s">
        <v>3804</v>
      </c>
      <c r="J178" t="s">
        <v>3837</v>
      </c>
      <c r="K178" s="256" t="s">
        <v>3917</v>
      </c>
      <c r="L178" s="54">
        <f>Table2727[[#This Row],[Listed Material Price]]/Table2727[[#This Row],[Linear Feet]]</f>
        <v>3.3156521739130436</v>
      </c>
      <c r="R178" t="s">
        <v>99</v>
      </c>
      <c r="S178" t="s">
        <v>4344</v>
      </c>
      <c r="T178" t="s">
        <v>71</v>
      </c>
    </row>
    <row r="179" spans="1:20" x14ac:dyDescent="0.2">
      <c r="A179" t="s">
        <v>4244</v>
      </c>
      <c r="B179" t="s">
        <v>3585</v>
      </c>
      <c r="C179" t="s">
        <v>3720</v>
      </c>
      <c r="D179" t="s">
        <v>2802</v>
      </c>
      <c r="E179" t="s">
        <v>3575</v>
      </c>
      <c r="G179">
        <v>76.625</v>
      </c>
      <c r="I179" t="s">
        <v>3810</v>
      </c>
      <c r="J179" t="s">
        <v>3826</v>
      </c>
      <c r="K179" s="256" t="s">
        <v>4031</v>
      </c>
      <c r="L179" s="54">
        <f>Table2727[[#This Row],[Listed Material Price]]/Table2727[[#This Row],[Linear Feet]]</f>
        <v>3.3212398042414355</v>
      </c>
      <c r="R179" t="s">
        <v>99</v>
      </c>
      <c r="S179" t="s">
        <v>4460</v>
      </c>
      <c r="T179" t="s">
        <v>71</v>
      </c>
    </row>
    <row r="180" spans="1:20" x14ac:dyDescent="0.2">
      <c r="A180" t="s">
        <v>4213</v>
      </c>
      <c r="B180" t="s">
        <v>3585</v>
      </c>
      <c r="C180" t="s">
        <v>3688</v>
      </c>
      <c r="D180" t="s">
        <v>2802</v>
      </c>
      <c r="E180" t="s">
        <v>3575</v>
      </c>
      <c r="G180">
        <v>76.625</v>
      </c>
      <c r="I180" t="s">
        <v>3814</v>
      </c>
      <c r="J180" t="s">
        <v>3845</v>
      </c>
      <c r="K180" s="256" t="s">
        <v>4000</v>
      </c>
      <c r="L180" s="54">
        <f>Table2727[[#This Row],[Listed Material Price]]/Table2727[[#This Row],[Linear Feet]]</f>
        <v>3.3383360522022838</v>
      </c>
      <c r="R180" t="s">
        <v>99</v>
      </c>
      <c r="S180" t="s">
        <v>4429</v>
      </c>
      <c r="T180" t="s">
        <v>71</v>
      </c>
    </row>
    <row r="181" spans="1:20" x14ac:dyDescent="0.2">
      <c r="A181" t="s">
        <v>4210</v>
      </c>
      <c r="B181" t="s">
        <v>3585</v>
      </c>
      <c r="C181" t="s">
        <v>3685</v>
      </c>
      <c r="D181" t="s">
        <v>2802</v>
      </c>
      <c r="E181" t="s">
        <v>3571</v>
      </c>
      <c r="G181">
        <v>76.625</v>
      </c>
      <c r="I181" t="s">
        <v>3819</v>
      </c>
      <c r="J181" t="s">
        <v>3870</v>
      </c>
      <c r="K181" s="256" t="s">
        <v>3997</v>
      </c>
      <c r="L181" s="54">
        <f>Table2727[[#This Row],[Listed Material Price]]/Table2727[[#This Row],[Linear Feet]]</f>
        <v>3.346688417618271</v>
      </c>
      <c r="R181" t="s">
        <v>99</v>
      </c>
      <c r="S181" t="s">
        <v>4426</v>
      </c>
      <c r="T181" t="s">
        <v>71</v>
      </c>
    </row>
    <row r="182" spans="1:20" x14ac:dyDescent="0.2">
      <c r="A182" t="s">
        <v>3423</v>
      </c>
      <c r="C182" t="s">
        <v>2967</v>
      </c>
      <c r="F182" t="s">
        <v>3424</v>
      </c>
      <c r="G182">
        <v>1</v>
      </c>
      <c r="H182">
        <v>1</v>
      </c>
      <c r="I182">
        <v>0.5</v>
      </c>
      <c r="K182" s="55">
        <v>3.4</v>
      </c>
      <c r="L182" s="244">
        <f>Table2727[[#This Row],[Listed Material Price]]/Table2727[[#This Row],[Linear Feet]]</f>
        <v>3.4</v>
      </c>
      <c r="M182" s="248">
        <v>9.2999999999999999E-2</v>
      </c>
      <c r="N182" s="244">
        <v>3.76</v>
      </c>
      <c r="O182" s="244">
        <v>10.039999999999999</v>
      </c>
      <c r="R182" t="s">
        <v>70</v>
      </c>
      <c r="T182" t="s">
        <v>72</v>
      </c>
    </row>
    <row r="183" spans="1:20" x14ac:dyDescent="0.2">
      <c r="A183" t="s">
        <v>4135</v>
      </c>
      <c r="B183" t="s">
        <v>3605</v>
      </c>
      <c r="C183" t="s">
        <v>3613</v>
      </c>
      <c r="D183" t="s">
        <v>2802</v>
      </c>
      <c r="E183" t="s">
        <v>2264</v>
      </c>
      <c r="G183">
        <v>14</v>
      </c>
      <c r="I183" t="s">
        <v>3814</v>
      </c>
      <c r="J183" t="s">
        <v>3840</v>
      </c>
      <c r="K183" s="256" t="s">
        <v>3928</v>
      </c>
      <c r="L183" s="54">
        <f>Table2727[[#This Row],[Listed Material Price]]/Table2727[[#This Row],[Linear Feet]]</f>
        <v>3.4428571428571431</v>
      </c>
      <c r="R183" t="s">
        <v>99</v>
      </c>
      <c r="S183" t="s">
        <v>4356</v>
      </c>
      <c r="T183" t="s">
        <v>72</v>
      </c>
    </row>
    <row r="184" spans="1:20" x14ac:dyDescent="0.2">
      <c r="A184" t="s">
        <v>4261</v>
      </c>
      <c r="B184" t="s">
        <v>3608</v>
      </c>
      <c r="C184" t="s">
        <v>3737</v>
      </c>
      <c r="D184" t="s">
        <v>2802</v>
      </c>
      <c r="E184" t="s">
        <v>3571</v>
      </c>
      <c r="G184">
        <v>73</v>
      </c>
      <c r="I184" t="s">
        <v>3817</v>
      </c>
      <c r="J184" t="s">
        <v>3881</v>
      </c>
      <c r="K184" s="256" t="s">
        <v>4048</v>
      </c>
      <c r="L184" s="54">
        <f>Table2727[[#This Row],[Listed Material Price]]/Table2727[[#This Row],[Linear Feet]]</f>
        <v>3.4827397260273973</v>
      </c>
      <c r="R184" t="s">
        <v>99</v>
      </c>
      <c r="S184" t="s">
        <v>4477</v>
      </c>
      <c r="T184" t="s">
        <v>71</v>
      </c>
    </row>
    <row r="185" spans="1:20" x14ac:dyDescent="0.2">
      <c r="A185" t="s">
        <v>4300</v>
      </c>
      <c r="B185" t="s">
        <v>3585</v>
      </c>
      <c r="C185" t="s">
        <v>3776</v>
      </c>
      <c r="D185" t="s">
        <v>2802</v>
      </c>
      <c r="E185" t="s">
        <v>3575</v>
      </c>
      <c r="G185">
        <v>76.625</v>
      </c>
      <c r="I185" t="s">
        <v>3816</v>
      </c>
      <c r="J185" t="s">
        <v>3854</v>
      </c>
      <c r="K185" s="256" t="s">
        <v>4086</v>
      </c>
      <c r="L185" s="54">
        <f>Table2727[[#This Row],[Listed Material Price]]/Table2727[[#This Row],[Linear Feet]]</f>
        <v>3.5377487765089719</v>
      </c>
      <c r="R185" t="s">
        <v>99</v>
      </c>
      <c r="S185" t="s">
        <v>4516</v>
      </c>
      <c r="T185" t="s">
        <v>71</v>
      </c>
    </row>
    <row r="186" spans="1:20" x14ac:dyDescent="0.2">
      <c r="A186" t="s">
        <v>4142</v>
      </c>
      <c r="B186" t="s">
        <v>3585</v>
      </c>
      <c r="C186" t="s">
        <v>3615</v>
      </c>
      <c r="D186" t="s">
        <v>2802</v>
      </c>
      <c r="E186" t="s">
        <v>3571</v>
      </c>
      <c r="G186">
        <v>76.625</v>
      </c>
      <c r="I186" t="s">
        <v>3806</v>
      </c>
      <c r="J186" t="s">
        <v>3844</v>
      </c>
      <c r="K186" s="256" t="s">
        <v>3930</v>
      </c>
      <c r="L186" s="54">
        <f>Table2727[[#This Row],[Listed Material Price]]/Table2727[[#This Row],[Linear Feet]]</f>
        <v>3.6280587275693312</v>
      </c>
      <c r="R186" t="s">
        <v>99</v>
      </c>
      <c r="S186" t="s">
        <v>4358</v>
      </c>
      <c r="T186" t="s">
        <v>71</v>
      </c>
    </row>
    <row r="187" spans="1:20" x14ac:dyDescent="0.2">
      <c r="A187" t="s">
        <v>4129</v>
      </c>
      <c r="B187" t="s">
        <v>3579</v>
      </c>
      <c r="C187" t="s">
        <v>3599</v>
      </c>
      <c r="D187" t="s">
        <v>2802</v>
      </c>
      <c r="E187" t="s">
        <v>3573</v>
      </c>
      <c r="G187">
        <v>3.75</v>
      </c>
      <c r="I187" t="s">
        <v>3815</v>
      </c>
      <c r="J187" t="s">
        <v>3815</v>
      </c>
      <c r="K187" s="256" t="s">
        <v>3918</v>
      </c>
      <c r="L187" s="54">
        <f>Table2727[[#This Row],[Listed Material Price]]/Table2727[[#This Row],[Linear Feet]]</f>
        <v>3.64</v>
      </c>
      <c r="R187" t="s">
        <v>99</v>
      </c>
      <c r="S187" t="s">
        <v>4345</v>
      </c>
      <c r="T187" t="s">
        <v>72</v>
      </c>
    </row>
    <row r="188" spans="1:20" x14ac:dyDescent="0.2">
      <c r="A188" t="s">
        <v>4243</v>
      </c>
      <c r="B188" t="s">
        <v>3585</v>
      </c>
      <c r="C188" t="s">
        <v>3719</v>
      </c>
      <c r="D188" t="s">
        <v>2802</v>
      </c>
      <c r="E188" t="s">
        <v>3571</v>
      </c>
      <c r="G188">
        <v>76.625</v>
      </c>
      <c r="I188" t="s">
        <v>3806</v>
      </c>
      <c r="J188" t="s">
        <v>3859</v>
      </c>
      <c r="K188" s="256" t="s">
        <v>4030</v>
      </c>
      <c r="L188" s="54">
        <f>Table2727[[#This Row],[Listed Material Price]]/Table2727[[#This Row],[Linear Feet]]</f>
        <v>3.641109298531811</v>
      </c>
      <c r="R188" t="s">
        <v>99</v>
      </c>
      <c r="S188" t="s">
        <v>4459</v>
      </c>
      <c r="T188" t="s">
        <v>71</v>
      </c>
    </row>
    <row r="189" spans="1:20" x14ac:dyDescent="0.2">
      <c r="A189" t="s">
        <v>4134</v>
      </c>
      <c r="B189" t="s">
        <v>3585</v>
      </c>
      <c r="C189" t="s">
        <v>3604</v>
      </c>
      <c r="D189" t="s">
        <v>2802</v>
      </c>
      <c r="E189" t="s">
        <v>3571</v>
      </c>
      <c r="G189">
        <v>3.1666666666666665</v>
      </c>
      <c r="I189" t="s">
        <v>3804</v>
      </c>
      <c r="J189" t="s">
        <v>3837</v>
      </c>
      <c r="K189" s="256" t="s">
        <v>3923</v>
      </c>
      <c r="L189" s="54">
        <f>Table2727[[#This Row],[Listed Material Price]]/Table2727[[#This Row],[Linear Feet]]</f>
        <v>3.6757894736842109</v>
      </c>
      <c r="R189" t="s">
        <v>99</v>
      </c>
      <c r="S189" t="s">
        <v>4350</v>
      </c>
      <c r="T189" t="s">
        <v>71</v>
      </c>
    </row>
    <row r="190" spans="1:20" x14ac:dyDescent="0.2">
      <c r="A190" t="s">
        <v>4308</v>
      </c>
      <c r="B190" t="s">
        <v>1169</v>
      </c>
      <c r="C190" t="s">
        <v>3784</v>
      </c>
      <c r="D190" t="s">
        <v>2802</v>
      </c>
      <c r="E190" t="s">
        <v>3571</v>
      </c>
      <c r="G190">
        <v>76.625</v>
      </c>
      <c r="I190" t="s">
        <v>3816</v>
      </c>
      <c r="J190" t="s">
        <v>3886</v>
      </c>
      <c r="K190" s="256" t="s">
        <v>4094</v>
      </c>
      <c r="L190" s="54">
        <f>Table2727[[#This Row],[Listed Material Price]]/Table2727[[#This Row],[Linear Feet]]</f>
        <v>3.7063621533442088</v>
      </c>
      <c r="R190" t="s">
        <v>99</v>
      </c>
      <c r="S190" t="s">
        <v>4524</v>
      </c>
      <c r="T190" t="s">
        <v>71</v>
      </c>
    </row>
    <row r="191" spans="1:20" x14ac:dyDescent="0.2">
      <c r="A191" t="s">
        <v>4263</v>
      </c>
      <c r="B191" t="s">
        <v>3585</v>
      </c>
      <c r="C191" t="s">
        <v>3739</v>
      </c>
      <c r="D191" t="s">
        <v>2802</v>
      </c>
      <c r="E191" t="s">
        <v>3575</v>
      </c>
      <c r="G191">
        <v>72</v>
      </c>
      <c r="I191" t="s">
        <v>3814</v>
      </c>
      <c r="J191" t="s">
        <v>3845</v>
      </c>
      <c r="K191" s="256" t="s">
        <v>4050</v>
      </c>
      <c r="L191" s="54">
        <f>Table2727[[#This Row],[Listed Material Price]]/Table2727[[#This Row],[Linear Feet]]</f>
        <v>3.709027777777778</v>
      </c>
      <c r="R191" t="s">
        <v>99</v>
      </c>
      <c r="S191" t="s">
        <v>4479</v>
      </c>
      <c r="T191" t="s">
        <v>71</v>
      </c>
    </row>
    <row r="192" spans="1:20" x14ac:dyDescent="0.2">
      <c r="A192" t="s">
        <v>4286</v>
      </c>
      <c r="B192" t="s">
        <v>1169</v>
      </c>
      <c r="C192" t="s">
        <v>3762</v>
      </c>
      <c r="D192" t="s">
        <v>2802</v>
      </c>
      <c r="E192" t="s">
        <v>3575</v>
      </c>
      <c r="G192">
        <v>76.625</v>
      </c>
      <c r="I192" t="s">
        <v>3822</v>
      </c>
      <c r="J192" t="s">
        <v>3876</v>
      </c>
      <c r="K192" s="256" t="s">
        <v>4072</v>
      </c>
      <c r="L192" s="54">
        <f>Table2727[[#This Row],[Listed Material Price]]/Table2727[[#This Row],[Linear Feet]]</f>
        <v>3.7181076672104401</v>
      </c>
      <c r="R192" t="s">
        <v>99</v>
      </c>
      <c r="S192" t="s">
        <v>4502</v>
      </c>
      <c r="T192" t="s">
        <v>71</v>
      </c>
    </row>
    <row r="193" spans="1:20" x14ac:dyDescent="0.2">
      <c r="A193" t="s">
        <v>4131</v>
      </c>
      <c r="B193" t="s">
        <v>3585</v>
      </c>
      <c r="C193" t="s">
        <v>3601</v>
      </c>
      <c r="D193" t="s">
        <v>2802</v>
      </c>
      <c r="E193" t="s">
        <v>3571</v>
      </c>
      <c r="G193">
        <v>72</v>
      </c>
      <c r="I193" t="s">
        <v>3803</v>
      </c>
      <c r="J193" t="s">
        <v>3839</v>
      </c>
      <c r="K193" s="256" t="s">
        <v>3920</v>
      </c>
      <c r="L193" s="54">
        <f>Table2727[[#This Row],[Listed Material Price]]/Table2727[[#This Row],[Linear Feet]]</f>
        <v>3.7580555555555555</v>
      </c>
      <c r="R193" t="s">
        <v>99</v>
      </c>
      <c r="S193" t="s">
        <v>4347</v>
      </c>
      <c r="T193" t="s">
        <v>71</v>
      </c>
    </row>
    <row r="194" spans="1:20" x14ac:dyDescent="0.2">
      <c r="A194" t="s">
        <v>4150</v>
      </c>
      <c r="B194" t="s">
        <v>3585</v>
      </c>
      <c r="C194" t="s">
        <v>3623</v>
      </c>
      <c r="D194" t="s">
        <v>2802</v>
      </c>
      <c r="E194" t="s">
        <v>3571</v>
      </c>
      <c r="G194">
        <v>72</v>
      </c>
      <c r="I194" t="s">
        <v>3819</v>
      </c>
      <c r="J194" t="s">
        <v>3847</v>
      </c>
      <c r="K194" s="256" t="s">
        <v>3938</v>
      </c>
      <c r="L194" s="54">
        <f>Table2727[[#This Row],[Listed Material Price]]/Table2727[[#This Row],[Linear Feet]]</f>
        <v>3.7750000000000004</v>
      </c>
      <c r="R194" t="s">
        <v>99</v>
      </c>
      <c r="S194" t="s">
        <v>4366</v>
      </c>
      <c r="T194" t="s">
        <v>71</v>
      </c>
    </row>
    <row r="195" spans="1:20" x14ac:dyDescent="0.2">
      <c r="A195" t="s">
        <v>4194</v>
      </c>
      <c r="B195" t="s">
        <v>3585</v>
      </c>
      <c r="C195" t="s">
        <v>3669</v>
      </c>
      <c r="D195" t="s">
        <v>2802</v>
      </c>
      <c r="E195" t="s">
        <v>3575</v>
      </c>
      <c r="G195">
        <v>72</v>
      </c>
      <c r="I195" t="s">
        <v>3823</v>
      </c>
      <c r="J195" t="s">
        <v>3867</v>
      </c>
      <c r="K195" s="256" t="s">
        <v>3982</v>
      </c>
      <c r="L195" s="54">
        <f>Table2727[[#This Row],[Listed Material Price]]/Table2727[[#This Row],[Linear Feet]]</f>
        <v>3.7806944444444444</v>
      </c>
      <c r="R195" t="s">
        <v>99</v>
      </c>
      <c r="S195" t="s">
        <v>4410</v>
      </c>
      <c r="T195" t="s">
        <v>71</v>
      </c>
    </row>
    <row r="196" spans="1:20" x14ac:dyDescent="0.2">
      <c r="A196" t="s">
        <v>4166</v>
      </c>
      <c r="B196" t="s">
        <v>3585</v>
      </c>
      <c r="C196" t="s">
        <v>3640</v>
      </c>
      <c r="D196" t="s">
        <v>2802</v>
      </c>
      <c r="E196" t="s">
        <v>3571</v>
      </c>
      <c r="G196">
        <v>76.625</v>
      </c>
      <c r="I196" t="s">
        <v>3825</v>
      </c>
      <c r="J196" t="s">
        <v>3837</v>
      </c>
      <c r="K196" s="256" t="s">
        <v>3954</v>
      </c>
      <c r="L196" s="54">
        <f>Table2727[[#This Row],[Listed Material Price]]/Table2727[[#This Row],[Linear Feet]]</f>
        <v>3.8949429037520389</v>
      </c>
      <c r="R196" t="s">
        <v>99</v>
      </c>
      <c r="S196" t="s">
        <v>4382</v>
      </c>
      <c r="T196" t="s">
        <v>71</v>
      </c>
    </row>
    <row r="197" spans="1:20" x14ac:dyDescent="0.2">
      <c r="A197" t="s">
        <v>4249</v>
      </c>
      <c r="B197" t="s">
        <v>3585</v>
      </c>
      <c r="C197" t="s">
        <v>3725</v>
      </c>
      <c r="D197" t="s">
        <v>2802</v>
      </c>
      <c r="E197" t="s">
        <v>3571</v>
      </c>
      <c r="G197">
        <v>72</v>
      </c>
      <c r="I197" t="s">
        <v>3829</v>
      </c>
      <c r="J197" t="s">
        <v>3844</v>
      </c>
      <c r="K197" s="256" t="s">
        <v>4036</v>
      </c>
      <c r="L197" s="54">
        <f>Table2727[[#This Row],[Listed Material Price]]/Table2727[[#This Row],[Linear Feet]]</f>
        <v>4.0049999999999999</v>
      </c>
      <c r="R197" t="s">
        <v>99</v>
      </c>
      <c r="S197" t="s">
        <v>4465</v>
      </c>
      <c r="T197" t="s">
        <v>71</v>
      </c>
    </row>
    <row r="198" spans="1:20" x14ac:dyDescent="0.2">
      <c r="A198" t="s">
        <v>4200</v>
      </c>
      <c r="B198" t="s">
        <v>3627</v>
      </c>
      <c r="C198" t="s">
        <v>3675</v>
      </c>
      <c r="D198" t="s">
        <v>2802</v>
      </c>
      <c r="E198" t="s">
        <v>3573</v>
      </c>
      <c r="G198">
        <v>60</v>
      </c>
      <c r="I198" t="s">
        <v>3822</v>
      </c>
      <c r="J198" t="s">
        <v>3849</v>
      </c>
      <c r="K198" s="256" t="s">
        <v>3988</v>
      </c>
      <c r="L198" s="54">
        <f>Table2727[[#This Row],[Listed Material Price]]/Table2727[[#This Row],[Linear Feet]]</f>
        <v>4.0164999999999997</v>
      </c>
      <c r="R198" t="s">
        <v>99</v>
      </c>
      <c r="S198" t="s">
        <v>4416</v>
      </c>
      <c r="T198" t="s">
        <v>71</v>
      </c>
    </row>
    <row r="199" spans="1:20" x14ac:dyDescent="0.2">
      <c r="A199" t="s">
        <v>4218</v>
      </c>
      <c r="B199" t="s">
        <v>3585</v>
      </c>
      <c r="C199" t="s">
        <v>3693</v>
      </c>
      <c r="D199" t="s">
        <v>2802</v>
      </c>
      <c r="E199" t="s">
        <v>3571</v>
      </c>
      <c r="G199">
        <v>76.625</v>
      </c>
      <c r="I199" t="s">
        <v>3817</v>
      </c>
      <c r="J199" t="s">
        <v>3871</v>
      </c>
      <c r="K199" s="256" t="s">
        <v>4005</v>
      </c>
      <c r="L199" s="54">
        <f>Table2727[[#This Row],[Listed Material Price]]/Table2727[[#This Row],[Linear Feet]]</f>
        <v>4.0978792822185968</v>
      </c>
      <c r="R199" t="s">
        <v>99</v>
      </c>
      <c r="S199" t="s">
        <v>4434</v>
      </c>
      <c r="T199" t="s">
        <v>71</v>
      </c>
    </row>
    <row r="200" spans="1:20" x14ac:dyDescent="0.2">
      <c r="A200" t="s">
        <v>3423</v>
      </c>
      <c r="C200" t="s">
        <v>2970</v>
      </c>
      <c r="F200" t="s">
        <v>3424</v>
      </c>
      <c r="G200">
        <v>1</v>
      </c>
      <c r="H200">
        <v>1</v>
      </c>
      <c r="I200">
        <v>0.75</v>
      </c>
      <c r="K200" s="55">
        <v>4.1900000000000004</v>
      </c>
      <c r="L200" s="244">
        <f>Table2727[[#This Row],[Listed Material Price]]/Table2727[[#This Row],[Linear Feet]]</f>
        <v>4.1900000000000004</v>
      </c>
      <c r="M200" s="248">
        <v>9.5000000000000001E-2</v>
      </c>
      <c r="N200" s="244">
        <v>3.85</v>
      </c>
      <c r="O200" s="244">
        <v>11.06</v>
      </c>
      <c r="R200" t="s">
        <v>70</v>
      </c>
      <c r="T200" t="s">
        <v>72</v>
      </c>
    </row>
    <row r="201" spans="1:20" x14ac:dyDescent="0.2">
      <c r="A201" t="s">
        <v>4290</v>
      </c>
      <c r="B201" t="s">
        <v>3585</v>
      </c>
      <c r="C201" t="s">
        <v>3766</v>
      </c>
      <c r="D201" t="s">
        <v>2802</v>
      </c>
      <c r="E201" t="s">
        <v>3571</v>
      </c>
      <c r="G201">
        <v>72</v>
      </c>
      <c r="I201" t="s">
        <v>3812</v>
      </c>
      <c r="J201" t="s">
        <v>3890</v>
      </c>
      <c r="K201" s="256" t="s">
        <v>4076</v>
      </c>
      <c r="L201" s="54">
        <f>Table2727[[#This Row],[Listed Material Price]]/Table2727[[#This Row],[Linear Feet]]</f>
        <v>4.1924999999999999</v>
      </c>
      <c r="R201" t="s">
        <v>99</v>
      </c>
      <c r="S201" t="s">
        <v>4506</v>
      </c>
      <c r="T201" t="s">
        <v>71</v>
      </c>
    </row>
    <row r="202" spans="1:20" x14ac:dyDescent="0.2">
      <c r="A202" t="s">
        <v>4235</v>
      </c>
      <c r="B202" t="s">
        <v>3585</v>
      </c>
      <c r="C202" t="s">
        <v>3710</v>
      </c>
      <c r="D202" t="s">
        <v>2802</v>
      </c>
      <c r="E202" t="s">
        <v>3571</v>
      </c>
      <c r="G202">
        <v>72</v>
      </c>
      <c r="I202" t="s">
        <v>3829</v>
      </c>
      <c r="J202" t="s">
        <v>3845</v>
      </c>
      <c r="K202" s="256" t="s">
        <v>4022</v>
      </c>
      <c r="L202" s="54">
        <f>Table2727[[#This Row],[Listed Material Price]]/Table2727[[#This Row],[Linear Feet]]</f>
        <v>4.2213888888888889</v>
      </c>
      <c r="R202" t="s">
        <v>99</v>
      </c>
      <c r="S202" t="s">
        <v>4451</v>
      </c>
      <c r="T202" t="s">
        <v>71</v>
      </c>
    </row>
    <row r="203" spans="1:20" x14ac:dyDescent="0.2">
      <c r="A203" t="s">
        <v>4251</v>
      </c>
      <c r="B203" t="s">
        <v>3585</v>
      </c>
      <c r="C203" t="s">
        <v>3727</v>
      </c>
      <c r="D203" t="s">
        <v>2802</v>
      </c>
      <c r="E203" t="s">
        <v>3571</v>
      </c>
      <c r="G203">
        <v>72</v>
      </c>
      <c r="I203" t="s">
        <v>3819</v>
      </c>
      <c r="J203" t="s">
        <v>3870</v>
      </c>
      <c r="K203" s="256" t="s">
        <v>4038</v>
      </c>
      <c r="L203" s="54">
        <f>Table2727[[#This Row],[Listed Material Price]]/Table2727[[#This Row],[Linear Feet]]</f>
        <v>4.2454166666666673</v>
      </c>
      <c r="R203" t="s">
        <v>99</v>
      </c>
      <c r="S203" t="s">
        <v>4467</v>
      </c>
      <c r="T203" t="s">
        <v>71</v>
      </c>
    </row>
    <row r="204" spans="1:20" x14ac:dyDescent="0.2">
      <c r="A204" t="s">
        <v>4238</v>
      </c>
      <c r="B204" t="s">
        <v>3585</v>
      </c>
      <c r="C204" t="s">
        <v>3713</v>
      </c>
      <c r="D204" t="s">
        <v>2802</v>
      </c>
      <c r="E204" t="s">
        <v>3571</v>
      </c>
      <c r="G204">
        <v>76.625</v>
      </c>
      <c r="I204" t="s">
        <v>3814</v>
      </c>
      <c r="J204" t="s">
        <v>3839</v>
      </c>
      <c r="K204" s="256" t="s">
        <v>4025</v>
      </c>
      <c r="L204" s="54">
        <f>Table2727[[#This Row],[Listed Material Price]]/Table2727[[#This Row],[Linear Feet]]</f>
        <v>4.2936378466557912</v>
      </c>
      <c r="R204" t="s">
        <v>99</v>
      </c>
      <c r="S204" t="s">
        <v>4454</v>
      </c>
      <c r="T204" t="s">
        <v>71</v>
      </c>
    </row>
    <row r="205" spans="1:20" x14ac:dyDescent="0.2">
      <c r="A205" t="s">
        <v>4242</v>
      </c>
      <c r="B205" t="s">
        <v>3585</v>
      </c>
      <c r="C205" t="s">
        <v>3718</v>
      </c>
      <c r="D205" t="s">
        <v>2802</v>
      </c>
      <c r="E205" t="s">
        <v>3571</v>
      </c>
      <c r="G205">
        <v>76.625</v>
      </c>
      <c r="I205" t="s">
        <v>3808</v>
      </c>
      <c r="J205" t="s">
        <v>3816</v>
      </c>
      <c r="K205" s="256" t="s">
        <v>4029</v>
      </c>
      <c r="L205" s="54">
        <f>Table2727[[#This Row],[Listed Material Price]]/Table2727[[#This Row],[Linear Feet]]</f>
        <v>4.3719412724306688</v>
      </c>
      <c r="R205" t="s">
        <v>99</v>
      </c>
      <c r="S205" t="s">
        <v>4458</v>
      </c>
      <c r="T205" t="s">
        <v>71</v>
      </c>
    </row>
    <row r="206" spans="1:20" x14ac:dyDescent="0.2">
      <c r="A206" t="s">
        <v>4234</v>
      </c>
      <c r="B206" t="s">
        <v>3585</v>
      </c>
      <c r="C206" t="s">
        <v>3709</v>
      </c>
      <c r="D206" t="s">
        <v>2802</v>
      </c>
      <c r="E206" t="s">
        <v>3571</v>
      </c>
      <c r="G206">
        <v>72</v>
      </c>
      <c r="I206" t="s">
        <v>3823</v>
      </c>
      <c r="J206" t="s">
        <v>3875</v>
      </c>
      <c r="K206" s="256" t="s">
        <v>4021</v>
      </c>
      <c r="L206" s="54">
        <f>Table2727[[#This Row],[Listed Material Price]]/Table2727[[#This Row],[Linear Feet]]</f>
        <v>4.4322222222222223</v>
      </c>
      <c r="R206" t="s">
        <v>99</v>
      </c>
      <c r="S206" t="s">
        <v>4450</v>
      </c>
      <c r="T206" t="s">
        <v>71</v>
      </c>
    </row>
    <row r="207" spans="1:20" x14ac:dyDescent="0.2">
      <c r="A207" t="s">
        <v>4122</v>
      </c>
      <c r="B207" t="s">
        <v>1169</v>
      </c>
      <c r="C207" t="s">
        <v>3591</v>
      </c>
      <c r="D207" t="s">
        <v>2802</v>
      </c>
      <c r="E207" t="s">
        <v>3571</v>
      </c>
      <c r="G207">
        <v>3</v>
      </c>
      <c r="I207" t="s">
        <v>3810</v>
      </c>
      <c r="J207" t="s">
        <v>3823</v>
      </c>
      <c r="K207" s="256" t="s">
        <v>3911</v>
      </c>
      <c r="L207" s="54">
        <f>Table2727[[#This Row],[Listed Material Price]]/Table2727[[#This Row],[Linear Feet]]</f>
        <v>4.5133333333333328</v>
      </c>
      <c r="R207" t="s">
        <v>99</v>
      </c>
      <c r="S207" t="s">
        <v>4338</v>
      </c>
      <c r="T207" t="s">
        <v>71</v>
      </c>
    </row>
    <row r="208" spans="1:20" x14ac:dyDescent="0.2">
      <c r="A208" t="s">
        <v>4232</v>
      </c>
      <c r="B208" t="s">
        <v>3585</v>
      </c>
      <c r="C208" t="s">
        <v>3707</v>
      </c>
      <c r="D208" t="s">
        <v>2802</v>
      </c>
      <c r="E208" t="s">
        <v>3575</v>
      </c>
      <c r="G208">
        <v>72</v>
      </c>
      <c r="I208" t="s">
        <v>3816</v>
      </c>
      <c r="J208" t="s">
        <v>3874</v>
      </c>
      <c r="K208" s="256" t="s">
        <v>4019</v>
      </c>
      <c r="L208" s="54">
        <f>Table2727[[#This Row],[Listed Material Price]]/Table2727[[#This Row],[Linear Feet]]</f>
        <v>4.5501388888888892</v>
      </c>
      <c r="R208" t="s">
        <v>99</v>
      </c>
      <c r="S208" t="s">
        <v>4448</v>
      </c>
      <c r="T208" t="s">
        <v>71</v>
      </c>
    </row>
    <row r="209" spans="1:20" x14ac:dyDescent="0.2">
      <c r="A209" t="s">
        <v>4155</v>
      </c>
      <c r="B209" t="s">
        <v>3585</v>
      </c>
      <c r="C209" t="s">
        <v>3629</v>
      </c>
      <c r="D209" t="s">
        <v>2802</v>
      </c>
      <c r="E209" t="s">
        <v>3571</v>
      </c>
      <c r="G209">
        <v>72</v>
      </c>
      <c r="I209" t="s">
        <v>3804</v>
      </c>
      <c r="J209" t="s">
        <v>3845</v>
      </c>
      <c r="K209" s="256" t="s">
        <v>3943</v>
      </c>
      <c r="L209" s="54">
        <f>Table2727[[#This Row],[Listed Material Price]]/Table2727[[#This Row],[Linear Feet]]</f>
        <v>4.5508333333333333</v>
      </c>
      <c r="R209" t="s">
        <v>99</v>
      </c>
      <c r="S209" t="s">
        <v>4371</v>
      </c>
      <c r="T209" t="s">
        <v>71</v>
      </c>
    </row>
    <row r="210" spans="1:20" x14ac:dyDescent="0.2">
      <c r="A210" t="s">
        <v>4189</v>
      </c>
      <c r="B210" t="s">
        <v>3585</v>
      </c>
      <c r="C210" t="s">
        <v>3664</v>
      </c>
      <c r="D210" t="s">
        <v>2802</v>
      </c>
      <c r="E210" t="s">
        <v>3571</v>
      </c>
      <c r="G210">
        <v>72</v>
      </c>
      <c r="I210" t="s">
        <v>3811</v>
      </c>
      <c r="J210" t="s">
        <v>3866</v>
      </c>
      <c r="K210" s="256" t="s">
        <v>3978</v>
      </c>
      <c r="L210" s="54">
        <f>Table2727[[#This Row],[Listed Material Price]]/Table2727[[#This Row],[Linear Feet]]</f>
        <v>4.6077777777777778</v>
      </c>
      <c r="R210" t="s">
        <v>99</v>
      </c>
      <c r="S210" t="s">
        <v>4405</v>
      </c>
      <c r="T210" t="s">
        <v>71</v>
      </c>
    </row>
    <row r="211" spans="1:20" x14ac:dyDescent="0.2">
      <c r="A211" t="s">
        <v>4304</v>
      </c>
      <c r="B211" t="s">
        <v>3585</v>
      </c>
      <c r="C211" t="s">
        <v>3780</v>
      </c>
      <c r="D211" t="s">
        <v>2802</v>
      </c>
      <c r="E211" t="s">
        <v>3571</v>
      </c>
      <c r="G211">
        <v>72</v>
      </c>
      <c r="I211" t="s">
        <v>3820</v>
      </c>
      <c r="J211" t="s">
        <v>3895</v>
      </c>
      <c r="K211" s="256" t="s">
        <v>4090</v>
      </c>
      <c r="L211" s="54">
        <f>Table2727[[#This Row],[Listed Material Price]]/Table2727[[#This Row],[Linear Feet]]</f>
        <v>4.6158333333333328</v>
      </c>
      <c r="R211" t="s">
        <v>99</v>
      </c>
      <c r="S211" t="s">
        <v>4520</v>
      </c>
      <c r="T211" t="s">
        <v>71</v>
      </c>
    </row>
    <row r="212" spans="1:20" x14ac:dyDescent="0.2">
      <c r="A212" t="s">
        <v>4147</v>
      </c>
      <c r="B212" t="s">
        <v>3585</v>
      </c>
      <c r="C212" t="s">
        <v>3620</v>
      </c>
      <c r="D212" t="s">
        <v>2802</v>
      </c>
      <c r="E212" t="s">
        <v>3571</v>
      </c>
      <c r="G212">
        <v>72</v>
      </c>
      <c r="I212" t="s">
        <v>3804</v>
      </c>
      <c r="J212" t="s">
        <v>3844</v>
      </c>
      <c r="K212" s="256" t="s">
        <v>3935</v>
      </c>
      <c r="L212" s="54">
        <f>Table2727[[#This Row],[Listed Material Price]]/Table2727[[#This Row],[Linear Feet]]</f>
        <v>4.6372222222222224</v>
      </c>
      <c r="R212" t="s">
        <v>99</v>
      </c>
      <c r="S212" t="s">
        <v>4363</v>
      </c>
      <c r="T212" t="s">
        <v>71</v>
      </c>
    </row>
    <row r="213" spans="1:20" x14ac:dyDescent="0.2">
      <c r="A213" t="s">
        <v>4289</v>
      </c>
      <c r="B213" t="s">
        <v>3585</v>
      </c>
      <c r="C213" t="s">
        <v>3765</v>
      </c>
      <c r="D213" t="s">
        <v>2802</v>
      </c>
      <c r="E213" t="s">
        <v>3571</v>
      </c>
      <c r="G213">
        <v>72</v>
      </c>
      <c r="I213" t="s">
        <v>3804</v>
      </c>
      <c r="J213" t="s">
        <v>3859</v>
      </c>
      <c r="K213" s="256" t="s">
        <v>4075</v>
      </c>
      <c r="L213" s="54">
        <f>Table2727[[#This Row],[Listed Material Price]]/Table2727[[#This Row],[Linear Feet]]</f>
        <v>4.665972222222222</v>
      </c>
      <c r="R213" t="s">
        <v>99</v>
      </c>
      <c r="S213" t="s">
        <v>4505</v>
      </c>
      <c r="T213" t="s">
        <v>71</v>
      </c>
    </row>
    <row r="214" spans="1:20" x14ac:dyDescent="0.2">
      <c r="A214" t="s">
        <v>4165</v>
      </c>
      <c r="B214" t="s">
        <v>1169</v>
      </c>
      <c r="C214" t="s">
        <v>3639</v>
      </c>
      <c r="D214" t="s">
        <v>2802</v>
      </c>
      <c r="E214" t="s">
        <v>3575</v>
      </c>
      <c r="G214">
        <v>76.625</v>
      </c>
      <c r="I214" t="s">
        <v>3821</v>
      </c>
      <c r="J214" t="s">
        <v>3857</v>
      </c>
      <c r="K214" s="256" t="s">
        <v>3953</v>
      </c>
      <c r="L214" s="54">
        <f>Table2727[[#This Row],[Listed Material Price]]/Table2727[[#This Row],[Linear Feet]]</f>
        <v>4.7002936378466558</v>
      </c>
      <c r="R214" t="s">
        <v>99</v>
      </c>
      <c r="S214" t="s">
        <v>4381</v>
      </c>
      <c r="T214" t="s">
        <v>71</v>
      </c>
    </row>
    <row r="215" spans="1:20" x14ac:dyDescent="0.2">
      <c r="A215" t="s">
        <v>4281</v>
      </c>
      <c r="B215" t="s">
        <v>3585</v>
      </c>
      <c r="C215" t="s">
        <v>3757</v>
      </c>
      <c r="D215" t="s">
        <v>2802</v>
      </c>
      <c r="E215" t="s">
        <v>3571</v>
      </c>
      <c r="G215">
        <v>76.625</v>
      </c>
      <c r="I215" t="s">
        <v>3824</v>
      </c>
      <c r="J215" t="s">
        <v>3879</v>
      </c>
      <c r="K215" s="256" t="s">
        <v>4067</v>
      </c>
      <c r="L215" s="54">
        <f>Table2727[[#This Row],[Listed Material Price]]/Table2727[[#This Row],[Linear Feet]]</f>
        <v>4.732006525285481</v>
      </c>
      <c r="R215" t="s">
        <v>99</v>
      </c>
      <c r="S215" t="s">
        <v>4497</v>
      </c>
      <c r="T215" t="s">
        <v>71</v>
      </c>
    </row>
    <row r="216" spans="1:20" x14ac:dyDescent="0.2">
      <c r="A216" t="s">
        <v>4245</v>
      </c>
      <c r="B216" t="s">
        <v>3585</v>
      </c>
      <c r="C216" t="s">
        <v>3721</v>
      </c>
      <c r="D216" t="s">
        <v>2802</v>
      </c>
      <c r="E216" t="s">
        <v>3575</v>
      </c>
      <c r="G216">
        <v>76.625</v>
      </c>
      <c r="I216" t="s">
        <v>3810</v>
      </c>
      <c r="J216" t="s">
        <v>3854</v>
      </c>
      <c r="K216" s="256" t="s">
        <v>4032</v>
      </c>
      <c r="L216" s="54">
        <f>Table2727[[#This Row],[Listed Material Price]]/Table2727[[#This Row],[Linear Feet]]</f>
        <v>4.7859053833605225</v>
      </c>
      <c r="R216" t="s">
        <v>99</v>
      </c>
      <c r="S216" t="s">
        <v>4461</v>
      </c>
      <c r="T216" t="s">
        <v>71</v>
      </c>
    </row>
    <row r="217" spans="1:20" x14ac:dyDescent="0.2">
      <c r="A217" t="s">
        <v>4133</v>
      </c>
      <c r="B217" t="s">
        <v>1169</v>
      </c>
      <c r="C217" t="s">
        <v>3603</v>
      </c>
      <c r="D217" t="s">
        <v>2802</v>
      </c>
      <c r="E217" t="s">
        <v>3571</v>
      </c>
      <c r="G217">
        <v>3</v>
      </c>
      <c r="I217" t="s">
        <v>3816</v>
      </c>
      <c r="J217" t="s">
        <v>3823</v>
      </c>
      <c r="K217" s="256" t="s">
        <v>3922</v>
      </c>
      <c r="L217" s="54">
        <f>Table2727[[#This Row],[Listed Material Price]]/Table2727[[#This Row],[Linear Feet]]</f>
        <v>4.8433333333333328</v>
      </c>
      <c r="R217" t="s">
        <v>99</v>
      </c>
      <c r="S217" t="s">
        <v>4349</v>
      </c>
      <c r="T217" t="s">
        <v>71</v>
      </c>
    </row>
    <row r="218" spans="1:20" x14ac:dyDescent="0.2">
      <c r="A218" t="s">
        <v>4127</v>
      </c>
      <c r="B218" t="s">
        <v>1169</v>
      </c>
      <c r="C218" t="s">
        <v>3597</v>
      </c>
      <c r="D218" t="s">
        <v>2802</v>
      </c>
      <c r="E218" t="s">
        <v>3571</v>
      </c>
      <c r="G218">
        <v>3</v>
      </c>
      <c r="I218" t="s">
        <v>3813</v>
      </c>
      <c r="J218" t="s">
        <v>3815</v>
      </c>
      <c r="K218" s="256" t="s">
        <v>3916</v>
      </c>
      <c r="L218" s="54">
        <f>Table2727[[#This Row],[Listed Material Price]]/Table2727[[#This Row],[Linear Feet]]</f>
        <v>4.996666666666667</v>
      </c>
      <c r="R218" t="s">
        <v>99</v>
      </c>
      <c r="S218" t="s">
        <v>4343</v>
      </c>
      <c r="T218" t="s">
        <v>72</v>
      </c>
    </row>
    <row r="219" spans="1:20" x14ac:dyDescent="0.2">
      <c r="A219" t="s">
        <v>4326</v>
      </c>
      <c r="B219" t="s">
        <v>3585</v>
      </c>
      <c r="C219" t="s">
        <v>3802</v>
      </c>
      <c r="D219" t="s">
        <v>2802</v>
      </c>
      <c r="E219" t="s">
        <v>3571</v>
      </c>
      <c r="G219">
        <v>76.625</v>
      </c>
      <c r="I219" t="s">
        <v>3806</v>
      </c>
      <c r="J219" t="s">
        <v>3901</v>
      </c>
      <c r="K219" s="256" t="s">
        <v>4112</v>
      </c>
      <c r="L219" s="54">
        <f>Table2727[[#This Row],[Listed Material Price]]/Table2727[[#This Row],[Linear Feet]]</f>
        <v>5.0375203915171287</v>
      </c>
      <c r="R219" t="s">
        <v>99</v>
      </c>
      <c r="S219" t="s">
        <v>4542</v>
      </c>
      <c r="T219" t="s">
        <v>71</v>
      </c>
    </row>
    <row r="220" spans="1:20" x14ac:dyDescent="0.2">
      <c r="A220" t="s">
        <v>3423</v>
      </c>
      <c r="C220" t="s">
        <v>2964</v>
      </c>
      <c r="F220" t="s">
        <v>3424</v>
      </c>
      <c r="G220">
        <v>1</v>
      </c>
      <c r="H220">
        <v>1</v>
      </c>
      <c r="I220">
        <v>1</v>
      </c>
      <c r="K220" s="55">
        <v>5.0999999999999996</v>
      </c>
      <c r="L220" s="245">
        <f>Table2727[[#This Row],[Listed Material Price]]/Table2727[[#This Row],[Linear Feet]]</f>
        <v>5.0999999999999996</v>
      </c>
      <c r="M220" s="64">
        <v>9.5000000000000001E-2</v>
      </c>
      <c r="N220" s="245">
        <v>3.85</v>
      </c>
      <c r="O220" s="245">
        <v>12.05</v>
      </c>
      <c r="R220" t="s">
        <v>70</v>
      </c>
      <c r="T220" t="s">
        <v>72</v>
      </c>
    </row>
    <row r="221" spans="1:20" x14ac:dyDescent="0.2">
      <c r="A221" t="s">
        <v>3423</v>
      </c>
      <c r="C221" t="s">
        <v>2979</v>
      </c>
      <c r="F221" t="s">
        <v>3424</v>
      </c>
      <c r="G221">
        <v>1</v>
      </c>
      <c r="H221">
        <v>0.75</v>
      </c>
      <c r="I221">
        <v>0.75</v>
      </c>
      <c r="K221" s="55">
        <v>5.0999999999999996</v>
      </c>
      <c r="L221" s="245">
        <f>Table2727[[#This Row],[Listed Material Price]]/Table2727[[#This Row],[Linear Feet]]</f>
        <v>5.0999999999999996</v>
      </c>
      <c r="M221" s="64">
        <v>9.2999999999999999E-2</v>
      </c>
      <c r="N221" s="245">
        <v>3.76</v>
      </c>
      <c r="O221" s="245">
        <v>11.95</v>
      </c>
      <c r="R221" t="s">
        <v>70</v>
      </c>
      <c r="T221" t="s">
        <v>72</v>
      </c>
    </row>
    <row r="222" spans="1:20" x14ac:dyDescent="0.2">
      <c r="A222" t="s">
        <v>4188</v>
      </c>
      <c r="B222" t="s">
        <v>3651</v>
      </c>
      <c r="C222" t="s">
        <v>3663</v>
      </c>
      <c r="D222" t="s">
        <v>2802</v>
      </c>
      <c r="E222" t="s">
        <v>3576</v>
      </c>
      <c r="G222">
        <v>1.6666666666666667</v>
      </c>
      <c r="I222" t="s">
        <v>3812</v>
      </c>
      <c r="J222" t="s">
        <v>3862</v>
      </c>
      <c r="K222" s="256" t="s">
        <v>3977</v>
      </c>
      <c r="L222" s="54">
        <f>Table2727[[#This Row],[Listed Material Price]]/Table2727[[#This Row],[Linear Feet]]</f>
        <v>5.22</v>
      </c>
      <c r="R222" t="s">
        <v>99</v>
      </c>
      <c r="S222" t="s">
        <v>4404</v>
      </c>
      <c r="T222" t="s">
        <v>71</v>
      </c>
    </row>
    <row r="223" spans="1:20" x14ac:dyDescent="0.2">
      <c r="A223" t="s">
        <v>4274</v>
      </c>
      <c r="B223" t="s">
        <v>3585</v>
      </c>
      <c r="C223" t="s">
        <v>3750</v>
      </c>
      <c r="D223" t="s">
        <v>2802</v>
      </c>
      <c r="E223" t="s">
        <v>3571</v>
      </c>
      <c r="G223">
        <v>72</v>
      </c>
      <c r="I223" t="s">
        <v>3811</v>
      </c>
      <c r="J223" t="s">
        <v>3837</v>
      </c>
      <c r="K223" s="256" t="s">
        <v>4060</v>
      </c>
      <c r="L223" s="54">
        <f>Table2727[[#This Row],[Listed Material Price]]/Table2727[[#This Row],[Linear Feet]]</f>
        <v>5.2437500000000004</v>
      </c>
      <c r="R223" t="s">
        <v>99</v>
      </c>
      <c r="S223" t="s">
        <v>4490</v>
      </c>
      <c r="T223" t="s">
        <v>71</v>
      </c>
    </row>
    <row r="224" spans="1:20" x14ac:dyDescent="0.2">
      <c r="A224" t="s">
        <v>4205</v>
      </c>
      <c r="B224" t="s">
        <v>3585</v>
      </c>
      <c r="C224" t="s">
        <v>3680</v>
      </c>
      <c r="D224" t="s">
        <v>2802</v>
      </c>
      <c r="E224" t="s">
        <v>3571</v>
      </c>
      <c r="G224">
        <v>76.625</v>
      </c>
      <c r="I224" t="s">
        <v>3824</v>
      </c>
      <c r="J224" t="s">
        <v>3839</v>
      </c>
      <c r="K224" s="256" t="s">
        <v>3993</v>
      </c>
      <c r="L224" s="54">
        <f>Table2727[[#This Row],[Listed Material Price]]/Table2727[[#This Row],[Linear Feet]]</f>
        <v>5.3115823817292007</v>
      </c>
      <c r="R224" t="s">
        <v>99</v>
      </c>
      <c r="S224" t="s">
        <v>4421</v>
      </c>
      <c r="T224" t="s">
        <v>71</v>
      </c>
    </row>
    <row r="225" spans="1:20" x14ac:dyDescent="0.2">
      <c r="A225" t="s">
        <v>4145</v>
      </c>
      <c r="B225" t="s">
        <v>3585</v>
      </c>
      <c r="C225" t="s">
        <v>3618</v>
      </c>
      <c r="D225" t="s">
        <v>2802</v>
      </c>
      <c r="E225" t="s">
        <v>3571</v>
      </c>
      <c r="G225">
        <v>76.625</v>
      </c>
      <c r="I225" t="s">
        <v>3806</v>
      </c>
      <c r="J225" t="s">
        <v>3845</v>
      </c>
      <c r="K225" s="256" t="s">
        <v>3933</v>
      </c>
      <c r="L225" s="54">
        <f>Table2727[[#This Row],[Listed Material Price]]/Table2727[[#This Row],[Linear Feet]]</f>
        <v>5.4681892332789559</v>
      </c>
      <c r="R225" t="s">
        <v>99</v>
      </c>
      <c r="S225" t="s">
        <v>4361</v>
      </c>
      <c r="T225" t="s">
        <v>71</v>
      </c>
    </row>
    <row r="226" spans="1:20" x14ac:dyDescent="0.2">
      <c r="A226" t="s">
        <v>4278</v>
      </c>
      <c r="B226" t="s">
        <v>3585</v>
      </c>
      <c r="C226" t="s">
        <v>3754</v>
      </c>
      <c r="D226" t="s">
        <v>2802</v>
      </c>
      <c r="E226" t="s">
        <v>3571</v>
      </c>
      <c r="G226">
        <v>72</v>
      </c>
      <c r="I226" t="s">
        <v>3814</v>
      </c>
      <c r="J226" t="s">
        <v>3835</v>
      </c>
      <c r="K226" s="256" t="s">
        <v>4064</v>
      </c>
      <c r="L226" s="54">
        <f>Table2727[[#This Row],[Listed Material Price]]/Table2727[[#This Row],[Linear Feet]]</f>
        <v>5.5051388888888892</v>
      </c>
      <c r="R226" t="s">
        <v>99</v>
      </c>
      <c r="S226" t="s">
        <v>4494</v>
      </c>
      <c r="T226" t="s">
        <v>71</v>
      </c>
    </row>
    <row r="227" spans="1:20" x14ac:dyDescent="0.2">
      <c r="A227" t="s">
        <v>4266</v>
      </c>
      <c r="B227" t="s">
        <v>3585</v>
      </c>
      <c r="C227" t="s">
        <v>3742</v>
      </c>
      <c r="D227" t="s">
        <v>2802</v>
      </c>
      <c r="E227" t="s">
        <v>3571</v>
      </c>
      <c r="G227">
        <v>72</v>
      </c>
      <c r="I227" t="s">
        <v>3819</v>
      </c>
      <c r="J227" t="s">
        <v>3883</v>
      </c>
      <c r="K227" s="256" t="s">
        <v>4053</v>
      </c>
      <c r="L227" s="54">
        <f>Table2727[[#This Row],[Listed Material Price]]/Table2727[[#This Row],[Linear Feet]]</f>
        <v>5.725138888888889</v>
      </c>
      <c r="R227" t="s">
        <v>99</v>
      </c>
      <c r="S227" t="s">
        <v>4482</v>
      </c>
      <c r="T227" t="s">
        <v>71</v>
      </c>
    </row>
    <row r="228" spans="1:20" x14ac:dyDescent="0.2">
      <c r="A228" t="s">
        <v>4239</v>
      </c>
      <c r="B228" t="s">
        <v>3585</v>
      </c>
      <c r="C228" t="s">
        <v>3714</v>
      </c>
      <c r="D228" t="s">
        <v>2802</v>
      </c>
      <c r="E228" t="s">
        <v>3571</v>
      </c>
      <c r="G228">
        <v>72</v>
      </c>
      <c r="I228" t="s">
        <v>3803</v>
      </c>
      <c r="J228" t="s">
        <v>3877</v>
      </c>
      <c r="K228" s="256" t="s">
        <v>4026</v>
      </c>
      <c r="L228" s="54">
        <f>Table2727[[#This Row],[Listed Material Price]]/Table2727[[#This Row],[Linear Feet]]</f>
        <v>5.8158333333333339</v>
      </c>
      <c r="R228" t="s">
        <v>99</v>
      </c>
      <c r="S228" t="s">
        <v>4455</v>
      </c>
      <c r="T228" t="s">
        <v>71</v>
      </c>
    </row>
    <row r="229" spans="1:20" x14ac:dyDescent="0.2">
      <c r="A229" t="s">
        <v>3423</v>
      </c>
      <c r="C229" t="s">
        <v>2966</v>
      </c>
      <c r="F229" t="s">
        <v>3424</v>
      </c>
      <c r="G229">
        <v>1</v>
      </c>
      <c r="H229">
        <v>1</v>
      </c>
      <c r="I229">
        <v>1.25</v>
      </c>
      <c r="K229" s="55">
        <v>5.9</v>
      </c>
      <c r="L229" s="245">
        <f>Table2727[[#This Row],[Listed Material Price]]/Table2727[[#This Row],[Linear Feet]]</f>
        <v>5.9</v>
      </c>
      <c r="M229" s="64">
        <v>9.8000000000000004E-2</v>
      </c>
      <c r="N229" s="245">
        <v>3.95</v>
      </c>
      <c r="O229" s="245">
        <v>13.1</v>
      </c>
      <c r="R229" t="s">
        <v>70</v>
      </c>
      <c r="T229" t="s">
        <v>72</v>
      </c>
    </row>
    <row r="230" spans="1:20" x14ac:dyDescent="0.2">
      <c r="A230" t="s">
        <v>4316</v>
      </c>
      <c r="B230" t="s">
        <v>3585</v>
      </c>
      <c r="C230" t="s">
        <v>3792</v>
      </c>
      <c r="D230" t="s">
        <v>2802</v>
      </c>
      <c r="E230" t="s">
        <v>3571</v>
      </c>
      <c r="G230">
        <v>72</v>
      </c>
      <c r="I230" t="s">
        <v>3811</v>
      </c>
      <c r="J230" t="s">
        <v>3816</v>
      </c>
      <c r="K230" s="256" t="s">
        <v>4102</v>
      </c>
      <c r="L230" s="54">
        <f>Table2727[[#This Row],[Listed Material Price]]/Table2727[[#This Row],[Linear Feet]]</f>
        <v>5.9480555555555554</v>
      </c>
      <c r="R230" t="s">
        <v>99</v>
      </c>
      <c r="S230" t="s">
        <v>4532</v>
      </c>
      <c r="T230" t="s">
        <v>71</v>
      </c>
    </row>
    <row r="231" spans="1:20" x14ac:dyDescent="0.2">
      <c r="A231" t="s">
        <v>4255</v>
      </c>
      <c r="B231" t="s">
        <v>3585</v>
      </c>
      <c r="C231" t="s">
        <v>3731</v>
      </c>
      <c r="D231" t="s">
        <v>2802</v>
      </c>
      <c r="E231" t="s">
        <v>3571</v>
      </c>
      <c r="G231">
        <v>72</v>
      </c>
      <c r="I231" t="s">
        <v>3830</v>
      </c>
      <c r="J231" t="s">
        <v>3850</v>
      </c>
      <c r="K231" s="256" t="s">
        <v>4042</v>
      </c>
      <c r="L231" s="54">
        <f>Table2727[[#This Row],[Listed Material Price]]/Table2727[[#This Row],[Linear Feet]]</f>
        <v>6.2208333333333332</v>
      </c>
      <c r="R231" t="s">
        <v>99</v>
      </c>
      <c r="S231" t="s">
        <v>4471</v>
      </c>
      <c r="T231" t="s">
        <v>71</v>
      </c>
    </row>
    <row r="232" spans="1:20" x14ac:dyDescent="0.2">
      <c r="A232" t="s">
        <v>4284</v>
      </c>
      <c r="B232" t="s">
        <v>3585</v>
      </c>
      <c r="C232" t="s">
        <v>3760</v>
      </c>
      <c r="D232" t="s">
        <v>2802</v>
      </c>
      <c r="E232" t="s">
        <v>3571</v>
      </c>
      <c r="G232">
        <v>72</v>
      </c>
      <c r="I232" t="s">
        <v>3816</v>
      </c>
      <c r="J232" t="s">
        <v>3858</v>
      </c>
      <c r="K232" s="256" t="s">
        <v>4070</v>
      </c>
      <c r="L232" s="54">
        <f>Table2727[[#This Row],[Listed Material Price]]/Table2727[[#This Row],[Linear Feet]]</f>
        <v>6.4319444444444445</v>
      </c>
      <c r="R232" t="s">
        <v>99</v>
      </c>
      <c r="S232" t="s">
        <v>4500</v>
      </c>
      <c r="T232" t="s">
        <v>71</v>
      </c>
    </row>
    <row r="233" spans="1:20" x14ac:dyDescent="0.2">
      <c r="A233" t="s">
        <v>3423</v>
      </c>
      <c r="C233" t="s">
        <v>2965</v>
      </c>
      <c r="F233" t="s">
        <v>3424</v>
      </c>
      <c r="G233">
        <v>1</v>
      </c>
      <c r="H233">
        <v>1</v>
      </c>
      <c r="I233">
        <v>1.5</v>
      </c>
      <c r="K233" s="55">
        <v>6.55</v>
      </c>
      <c r="L233" s="244">
        <f>Table2727[[#This Row],[Listed Material Price]]/Table2727[[#This Row],[Linear Feet]]</f>
        <v>6.55</v>
      </c>
      <c r="M233" s="248">
        <v>9.8000000000000004E-2</v>
      </c>
      <c r="N233" s="244">
        <v>3.95</v>
      </c>
      <c r="O233" s="244">
        <v>13.8</v>
      </c>
      <c r="R233" t="s">
        <v>70</v>
      </c>
      <c r="T233" t="s">
        <v>72</v>
      </c>
    </row>
    <row r="234" spans="1:20" x14ac:dyDescent="0.2">
      <c r="A234" t="s">
        <v>4256</v>
      </c>
      <c r="B234" t="s">
        <v>3585</v>
      </c>
      <c r="C234" t="s">
        <v>3732</v>
      </c>
      <c r="D234" t="s">
        <v>2802</v>
      </c>
      <c r="E234" t="s">
        <v>3571</v>
      </c>
      <c r="G234">
        <v>72</v>
      </c>
      <c r="I234" t="s">
        <v>3803</v>
      </c>
      <c r="J234" t="s">
        <v>3879</v>
      </c>
      <c r="K234" s="256" t="s">
        <v>4043</v>
      </c>
      <c r="L234" s="54">
        <f>Table2727[[#This Row],[Listed Material Price]]/Table2727[[#This Row],[Linear Feet]]</f>
        <v>7.1613888888888892</v>
      </c>
      <c r="R234" t="s">
        <v>99</v>
      </c>
      <c r="S234" t="s">
        <v>4472</v>
      </c>
      <c r="T234" t="s">
        <v>71</v>
      </c>
    </row>
    <row r="235" spans="1:20" x14ac:dyDescent="0.2">
      <c r="A235" t="s">
        <v>4161</v>
      </c>
      <c r="B235" t="s">
        <v>3585</v>
      </c>
      <c r="C235" t="s">
        <v>3635</v>
      </c>
      <c r="D235" t="s">
        <v>2802</v>
      </c>
      <c r="E235" t="s">
        <v>3575</v>
      </c>
      <c r="G235">
        <v>72</v>
      </c>
      <c r="I235" t="s">
        <v>3820</v>
      </c>
      <c r="J235" t="s">
        <v>3854</v>
      </c>
      <c r="K235" s="256" t="s">
        <v>3949</v>
      </c>
      <c r="L235" s="54">
        <f>Table2727[[#This Row],[Listed Material Price]]/Table2727[[#This Row],[Linear Feet]]</f>
        <v>7.3104166666666668</v>
      </c>
      <c r="R235" t="s">
        <v>99</v>
      </c>
      <c r="S235" t="s">
        <v>4377</v>
      </c>
      <c r="T235" t="s">
        <v>71</v>
      </c>
    </row>
    <row r="236" spans="1:20" x14ac:dyDescent="0.2">
      <c r="A236" t="s">
        <v>4288</v>
      </c>
      <c r="B236" t="s">
        <v>3585</v>
      </c>
      <c r="C236" t="s">
        <v>3764</v>
      </c>
      <c r="D236" t="s">
        <v>2802</v>
      </c>
      <c r="E236" t="s">
        <v>3571</v>
      </c>
      <c r="G236">
        <v>76.625</v>
      </c>
      <c r="I236" t="s">
        <v>3808</v>
      </c>
      <c r="J236" t="s">
        <v>3889</v>
      </c>
      <c r="K236" s="256" t="s">
        <v>4074</v>
      </c>
      <c r="L236" s="54">
        <f>Table2727[[#This Row],[Listed Material Price]]/Table2727[[#This Row],[Linear Feet]]</f>
        <v>7.4975530179445347</v>
      </c>
      <c r="R236" t="s">
        <v>99</v>
      </c>
      <c r="S236" t="s">
        <v>4504</v>
      </c>
      <c r="T236" t="s">
        <v>71</v>
      </c>
    </row>
    <row r="237" spans="1:20" x14ac:dyDescent="0.2">
      <c r="A237" t="s">
        <v>3423</v>
      </c>
      <c r="C237" t="s">
        <v>2969</v>
      </c>
      <c r="F237" t="s">
        <v>3424</v>
      </c>
      <c r="G237">
        <v>1</v>
      </c>
      <c r="H237">
        <v>1</v>
      </c>
      <c r="I237">
        <v>2.5</v>
      </c>
      <c r="K237" s="55">
        <v>7.7</v>
      </c>
      <c r="L237" s="245">
        <f>Table2727[[#This Row],[Listed Material Price]]/Table2727[[#This Row],[Linear Feet]]</f>
        <v>7.7</v>
      </c>
      <c r="M237" s="64">
        <v>0.1</v>
      </c>
      <c r="N237" s="245">
        <v>4.05</v>
      </c>
      <c r="O237" s="245">
        <v>15.25</v>
      </c>
      <c r="R237" t="s">
        <v>70</v>
      </c>
      <c r="T237" t="s">
        <v>72</v>
      </c>
    </row>
    <row r="238" spans="1:20" x14ac:dyDescent="0.2">
      <c r="A238" t="s">
        <v>3423</v>
      </c>
      <c r="C238" t="s">
        <v>2962</v>
      </c>
      <c r="F238" t="s">
        <v>3424</v>
      </c>
      <c r="G238">
        <v>1</v>
      </c>
      <c r="H238">
        <v>1</v>
      </c>
      <c r="I238">
        <v>2</v>
      </c>
      <c r="K238" s="55">
        <v>7.85</v>
      </c>
      <c r="L238" s="245">
        <f>Table2727[[#This Row],[Listed Material Price]]/Table2727[[#This Row],[Linear Feet]]</f>
        <v>7.85</v>
      </c>
      <c r="M238" s="64">
        <v>0.1</v>
      </c>
      <c r="N238" s="245">
        <v>4.05</v>
      </c>
      <c r="O238" s="245">
        <v>15.4</v>
      </c>
      <c r="R238" t="s">
        <v>70</v>
      </c>
      <c r="T238" t="s">
        <v>72</v>
      </c>
    </row>
    <row r="239" spans="1:20" x14ac:dyDescent="0.2">
      <c r="A239" t="s">
        <v>4302</v>
      </c>
      <c r="B239" t="s">
        <v>3585</v>
      </c>
      <c r="C239" t="s">
        <v>3778</v>
      </c>
      <c r="D239" t="s">
        <v>2802</v>
      </c>
      <c r="E239" t="s">
        <v>3571</v>
      </c>
      <c r="G239">
        <v>76.625</v>
      </c>
      <c r="I239" t="s">
        <v>3818</v>
      </c>
      <c r="J239" t="s">
        <v>3894</v>
      </c>
      <c r="K239" s="256" t="s">
        <v>4088</v>
      </c>
      <c r="L239" s="54">
        <f>Table2727[[#This Row],[Listed Material Price]]/Table2727[[#This Row],[Linear Feet]]</f>
        <v>8.3149102773246337</v>
      </c>
      <c r="R239" t="s">
        <v>99</v>
      </c>
      <c r="S239" t="s">
        <v>4518</v>
      </c>
      <c r="T239" t="s">
        <v>71</v>
      </c>
    </row>
    <row r="240" spans="1:20" x14ac:dyDescent="0.2">
      <c r="A240" t="s">
        <v>4285</v>
      </c>
      <c r="B240" t="s">
        <v>3585</v>
      </c>
      <c r="C240" t="s">
        <v>3761</v>
      </c>
      <c r="D240" t="s">
        <v>2802</v>
      </c>
      <c r="E240" t="s">
        <v>3571</v>
      </c>
      <c r="G240">
        <v>72</v>
      </c>
      <c r="I240" t="s">
        <v>3832</v>
      </c>
      <c r="J240" t="s">
        <v>3888</v>
      </c>
      <c r="K240" s="256" t="s">
        <v>4071</v>
      </c>
      <c r="L240" s="54">
        <f>Table2727[[#This Row],[Listed Material Price]]/Table2727[[#This Row],[Linear Feet]]</f>
        <v>8.3680555555555554</v>
      </c>
      <c r="R240" t="s">
        <v>99</v>
      </c>
      <c r="S240" t="s">
        <v>4501</v>
      </c>
      <c r="T240" t="s">
        <v>71</v>
      </c>
    </row>
    <row r="241" spans="1:20" x14ac:dyDescent="0.2">
      <c r="A241" t="s">
        <v>4310</v>
      </c>
      <c r="B241" t="s">
        <v>3585</v>
      </c>
      <c r="C241" t="s">
        <v>3786</v>
      </c>
      <c r="D241" t="s">
        <v>2802</v>
      </c>
      <c r="E241" t="s">
        <v>3571</v>
      </c>
      <c r="G241">
        <v>76.625</v>
      </c>
      <c r="I241" t="s">
        <v>3808</v>
      </c>
      <c r="J241" t="s">
        <v>3897</v>
      </c>
      <c r="K241" s="256" t="s">
        <v>4096</v>
      </c>
      <c r="L241" s="54">
        <f>Table2727[[#This Row],[Listed Material Price]]/Table2727[[#This Row],[Linear Feet]]</f>
        <v>8.548123980424144</v>
      </c>
      <c r="R241" t="s">
        <v>99</v>
      </c>
      <c r="S241" t="s">
        <v>4526</v>
      </c>
      <c r="T241" t="s">
        <v>71</v>
      </c>
    </row>
  </sheetData>
  <hyperlinks>
    <hyperlink ref="A1" location="'Table of Contents'!A1" display="Table of Contents" xr:uid="{BD5F06AA-7DC3-4CA5-BFC8-357D0AE22424}"/>
  </hyperlinks>
  <pageMargins left="0.7" right="0.7" top="0.75" bottom="0.75" header="0.3" footer="0.3"/>
  <pageSetup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81F8E-F007-46B9-9938-A06342C6981C}">
  <dimension ref="A1:AC21"/>
  <sheetViews>
    <sheetView showGridLines="0" workbookViewId="0"/>
  </sheetViews>
  <sheetFormatPr baseColWidth="10" defaultColWidth="8.83203125" defaultRowHeight="15" x14ac:dyDescent="0.2"/>
  <cols>
    <col min="1" max="1" width="25.33203125" bestFit="1" customWidth="1"/>
    <col min="3" max="3" width="12" customWidth="1"/>
    <col min="4" max="5" width="14.5" bestFit="1" customWidth="1"/>
    <col min="6" max="6" width="15" bestFit="1" customWidth="1"/>
    <col min="9" max="9" width="12" bestFit="1" customWidth="1"/>
    <col min="10" max="10" width="12.33203125" bestFit="1" customWidth="1"/>
    <col min="11" max="12" width="14.5" bestFit="1" customWidth="1"/>
    <col min="13" max="13" width="15" bestFit="1" customWidth="1"/>
    <col min="21" max="21" width="17" bestFit="1" customWidth="1"/>
    <col min="22" max="22" width="7.6640625" bestFit="1" customWidth="1"/>
    <col min="23" max="23" width="17" bestFit="1" customWidth="1"/>
    <col min="24" max="24" width="7.6640625" bestFit="1" customWidth="1"/>
    <col min="25" max="25" width="8.5" bestFit="1" customWidth="1"/>
    <col min="26" max="26" width="24.6640625" bestFit="1" customWidth="1"/>
    <col min="27" max="27" width="12.33203125" bestFit="1" customWidth="1"/>
    <col min="28" max="28" width="36.83203125" bestFit="1" customWidth="1"/>
    <col min="29" max="29" width="6.33203125" bestFit="1" customWidth="1"/>
  </cols>
  <sheetData>
    <row r="1" spans="1:29" x14ac:dyDescent="0.2">
      <c r="A1" s="4" t="s">
        <v>21</v>
      </c>
    </row>
    <row r="2" spans="1:29" ht="16" thickBot="1" x14ac:dyDescent="0.25">
      <c r="A2" s="41" t="s">
        <v>342</v>
      </c>
    </row>
    <row r="3" spans="1:29" x14ac:dyDescent="0.2">
      <c r="A3" s="434" t="s">
        <v>343</v>
      </c>
      <c r="B3" s="435"/>
      <c r="C3" s="436"/>
      <c r="D3" s="437" t="s">
        <v>344</v>
      </c>
      <c r="E3" s="437"/>
      <c r="F3" s="437"/>
      <c r="G3" s="437"/>
      <c r="H3" s="437"/>
      <c r="I3" s="437"/>
      <c r="J3" s="437"/>
      <c r="K3" s="439" t="s">
        <v>345</v>
      </c>
      <c r="L3" s="440"/>
      <c r="M3" s="440"/>
      <c r="N3" s="440"/>
      <c r="O3" s="440"/>
      <c r="P3" s="440"/>
      <c r="Q3" s="441"/>
      <c r="R3" s="443" t="s">
        <v>346</v>
      </c>
      <c r="S3" s="443"/>
      <c r="T3" s="448"/>
      <c r="U3" s="430" t="s">
        <v>4571</v>
      </c>
      <c r="V3" s="444"/>
      <c r="W3" s="430" t="s">
        <v>4572</v>
      </c>
      <c r="X3" s="430"/>
      <c r="Y3" s="431" t="s">
        <v>347</v>
      </c>
      <c r="Z3" s="432"/>
      <c r="AA3" s="432"/>
      <c r="AB3" s="432"/>
      <c r="AC3" s="433"/>
    </row>
    <row r="4" spans="1:29" ht="16" thickBot="1" x14ac:dyDescent="0.25">
      <c r="A4" s="106" t="s">
        <v>0</v>
      </c>
      <c r="B4" s="107" t="s">
        <v>348</v>
      </c>
      <c r="C4" s="108" t="s">
        <v>349</v>
      </c>
      <c r="D4" s="109" t="s">
        <v>350</v>
      </c>
      <c r="E4" s="110" t="s">
        <v>351</v>
      </c>
      <c r="F4" s="110" t="s">
        <v>352</v>
      </c>
      <c r="G4" s="110" t="s">
        <v>353</v>
      </c>
      <c r="H4" s="110" t="s">
        <v>354</v>
      </c>
      <c r="I4" s="110" t="s">
        <v>355</v>
      </c>
      <c r="J4" s="110" t="s">
        <v>356</v>
      </c>
      <c r="K4" s="9" t="s">
        <v>350</v>
      </c>
      <c r="L4" s="10" t="s">
        <v>351</v>
      </c>
      <c r="M4" s="10" t="s">
        <v>352</v>
      </c>
      <c r="N4" s="10" t="s">
        <v>353</v>
      </c>
      <c r="O4" s="10" t="s">
        <v>354</v>
      </c>
      <c r="P4" s="10" t="s">
        <v>355</v>
      </c>
      <c r="Q4" s="309" t="s">
        <v>356</v>
      </c>
      <c r="R4" s="114" t="s">
        <v>357</v>
      </c>
      <c r="S4" s="114" t="s">
        <v>358</v>
      </c>
      <c r="T4" s="115" t="s">
        <v>359</v>
      </c>
      <c r="U4" s="116" t="s">
        <v>360</v>
      </c>
      <c r="V4" s="116" t="s">
        <v>361</v>
      </c>
      <c r="W4" s="328" t="s">
        <v>360</v>
      </c>
      <c r="X4" s="116" t="s">
        <v>361</v>
      </c>
      <c r="Y4" s="102" t="s">
        <v>39</v>
      </c>
      <c r="Z4" s="103" t="s">
        <v>5324</v>
      </c>
      <c r="AA4" s="103" t="s">
        <v>362</v>
      </c>
      <c r="AB4" s="103" t="s">
        <v>5385</v>
      </c>
      <c r="AC4" s="117" t="s">
        <v>41</v>
      </c>
    </row>
    <row r="5" spans="1:29" ht="16" thickBot="1" x14ac:dyDescent="0.25">
      <c r="A5" s="156" t="s">
        <v>3423</v>
      </c>
      <c r="B5" s="157"/>
      <c r="C5" s="157" t="s">
        <v>364</v>
      </c>
      <c r="D5" s="157">
        <v>0.14163000000000001</v>
      </c>
      <c r="E5" s="157">
        <v>0.29477599999999998</v>
      </c>
      <c r="F5" s="157">
        <v>0.34620299999999998</v>
      </c>
      <c r="G5" s="157" t="s">
        <v>1153</v>
      </c>
      <c r="H5" s="157" t="s">
        <v>365</v>
      </c>
      <c r="I5" s="157">
        <v>1.2</v>
      </c>
      <c r="J5" s="157">
        <v>17.600000000000001</v>
      </c>
      <c r="K5" s="21" t="s">
        <v>366</v>
      </c>
      <c r="L5" s="21" t="s">
        <v>366</v>
      </c>
      <c r="M5" s="21" t="s">
        <v>366</v>
      </c>
      <c r="N5" s="21" t="s">
        <v>366</v>
      </c>
      <c r="O5" s="21" t="s">
        <v>366</v>
      </c>
      <c r="P5" s="21" t="s">
        <v>366</v>
      </c>
      <c r="Q5" s="21" t="s">
        <v>366</v>
      </c>
      <c r="R5" s="157">
        <v>0.80463799999999996</v>
      </c>
      <c r="S5" s="157">
        <v>0.99008799999999997</v>
      </c>
      <c r="T5" s="157">
        <v>2.533318</v>
      </c>
      <c r="U5" s="247">
        <f>'Pipe Insulation Data'!AC4</f>
        <v>2.2823117915013329</v>
      </c>
      <c r="V5" s="247">
        <f>'Pipe Insulation Data'!AD4</f>
        <v>2.2823117915013329</v>
      </c>
      <c r="W5" s="236" t="s">
        <v>366</v>
      </c>
      <c r="X5" s="247" t="s">
        <v>366</v>
      </c>
      <c r="Y5" s="15">
        <v>999</v>
      </c>
      <c r="Z5" s="15" t="s">
        <v>5477</v>
      </c>
      <c r="AA5" s="15" t="s">
        <v>3407</v>
      </c>
      <c r="AB5" s="15" t="s">
        <v>5393</v>
      </c>
      <c r="AC5" s="158" t="s">
        <v>5448</v>
      </c>
    </row>
    <row r="10" spans="1:29" x14ac:dyDescent="0.2">
      <c r="A10" s="34" t="s">
        <v>372</v>
      </c>
    </row>
    <row r="11" spans="1:29" ht="16" thickBot="1" x14ac:dyDescent="0.25"/>
    <row r="12" spans="1:29" s="36" customFormat="1" x14ac:dyDescent="0.2">
      <c r="A12" s="35" t="s">
        <v>3423</v>
      </c>
    </row>
    <row r="13" spans="1:29" x14ac:dyDescent="0.2">
      <c r="A13" s="37" t="s">
        <v>1207</v>
      </c>
      <c r="B13" s="38" t="s">
        <v>5315</v>
      </c>
    </row>
    <row r="14" spans="1:29" x14ac:dyDescent="0.2">
      <c r="A14" s="190" t="s">
        <v>375</v>
      </c>
      <c r="B14" s="38">
        <v>208</v>
      </c>
      <c r="J14" s="41"/>
    </row>
    <row r="15" spans="1:29" ht="17" x14ac:dyDescent="0.2">
      <c r="A15" s="190" t="s">
        <v>376</v>
      </c>
      <c r="B15" s="38">
        <v>0.16420000000000001</v>
      </c>
    </row>
    <row r="21" spans="8:8" x14ac:dyDescent="0.2">
      <c r="H21" s="97"/>
    </row>
  </sheetData>
  <mergeCells count="7">
    <mergeCell ref="W3:X3"/>
    <mergeCell ref="Y3:AC3"/>
    <mergeCell ref="A3:C3"/>
    <mergeCell ref="D3:J3"/>
    <mergeCell ref="K3:Q3"/>
    <mergeCell ref="R3:T3"/>
    <mergeCell ref="U3:V3"/>
  </mergeCells>
  <hyperlinks>
    <hyperlink ref="A1" location="'Table of Contents'!A1" display="Table of Contents" xr:uid="{E75AD366-91F8-491D-BBC3-86A14DDA5D63}"/>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67951-D333-4134-9EF7-3D4A2731F609}">
  <dimension ref="A1:R117"/>
  <sheetViews>
    <sheetView workbookViewId="0">
      <selection activeCell="A27" sqref="A27"/>
    </sheetView>
  </sheetViews>
  <sheetFormatPr baseColWidth="10" defaultColWidth="8.83203125" defaultRowHeight="15" x14ac:dyDescent="0.2"/>
  <cols>
    <col min="1" max="1" width="19.5" customWidth="1"/>
    <col min="2" max="2" width="33.5" customWidth="1"/>
    <col min="3" max="3" width="26.5" customWidth="1"/>
    <col min="4" max="4" width="33.5" customWidth="1"/>
    <col min="5" max="5" width="15.5" customWidth="1"/>
    <col min="6" max="6" width="16.5" bestFit="1" customWidth="1"/>
    <col min="7" max="7" width="10" customWidth="1"/>
    <col min="8" max="9" width="13.5" customWidth="1"/>
    <col min="10" max="10" width="10.5" customWidth="1"/>
    <col min="11" max="11" width="12" customWidth="1"/>
    <col min="14" max="14" width="12.5" customWidth="1"/>
  </cols>
  <sheetData>
    <row r="1" spans="1:18" ht="19" x14ac:dyDescent="0.2">
      <c r="A1" s="78" t="s">
        <v>22</v>
      </c>
      <c r="B1" s="79"/>
      <c r="C1" s="83" t="s">
        <v>1152</v>
      </c>
      <c r="D1" s="79"/>
      <c r="E1" s="79"/>
      <c r="G1" s="79"/>
      <c r="H1" s="26" t="s">
        <v>2703</v>
      </c>
      <c r="K1" s="80"/>
      <c r="L1" s="79"/>
      <c r="M1" s="79"/>
      <c r="N1" s="79"/>
      <c r="O1" s="81"/>
      <c r="P1" s="79"/>
      <c r="Q1" s="79"/>
      <c r="R1" s="79"/>
    </row>
    <row r="2" spans="1:18" ht="49.5" customHeight="1" x14ac:dyDescent="0.2">
      <c r="A2" s="82" t="s">
        <v>0</v>
      </c>
      <c r="B2" s="82" t="s">
        <v>2704</v>
      </c>
      <c r="C2" s="82" t="s">
        <v>2705</v>
      </c>
      <c r="D2" s="82" t="s">
        <v>2706</v>
      </c>
      <c r="E2" s="82" t="s">
        <v>2707</v>
      </c>
      <c r="F2" s="82" t="s">
        <v>2708</v>
      </c>
      <c r="G2" s="82" t="s">
        <v>2709</v>
      </c>
      <c r="H2" s="82" t="s">
        <v>2710</v>
      </c>
      <c r="I2" s="82" t="s">
        <v>2711</v>
      </c>
      <c r="J2" s="82" t="s">
        <v>2712</v>
      </c>
      <c r="K2" s="82" t="s">
        <v>41</v>
      </c>
      <c r="L2" s="82" t="s">
        <v>43</v>
      </c>
      <c r="M2" s="82" t="s">
        <v>44</v>
      </c>
    </row>
    <row r="3" spans="1:18" x14ac:dyDescent="0.2">
      <c r="A3" t="s">
        <v>83</v>
      </c>
      <c r="B3" t="s">
        <v>328</v>
      </c>
      <c r="C3">
        <v>1350</v>
      </c>
      <c r="D3" t="s">
        <v>2713</v>
      </c>
      <c r="E3" t="s">
        <v>2714</v>
      </c>
      <c r="F3" s="79">
        <v>3.7</v>
      </c>
      <c r="G3" s="85">
        <v>875</v>
      </c>
      <c r="H3" s="86">
        <f t="shared" ref="H3:H12" si="0">G3/C3</f>
        <v>0.64814814814814814</v>
      </c>
      <c r="I3" s="89">
        <v>0.95</v>
      </c>
      <c r="J3">
        <v>116</v>
      </c>
      <c r="L3" t="s">
        <v>2715</v>
      </c>
      <c r="M3" t="s">
        <v>2716</v>
      </c>
    </row>
    <row r="4" spans="1:18" x14ac:dyDescent="0.2">
      <c r="A4" t="s">
        <v>83</v>
      </c>
      <c r="B4" t="s">
        <v>328</v>
      </c>
      <c r="C4">
        <v>450</v>
      </c>
      <c r="D4" t="s">
        <v>2717</v>
      </c>
      <c r="E4" t="s">
        <v>2714</v>
      </c>
      <c r="F4" s="79">
        <v>3.7</v>
      </c>
      <c r="G4" s="84">
        <v>420</v>
      </c>
      <c r="H4" s="55">
        <f t="shared" si="0"/>
        <v>0.93333333333333335</v>
      </c>
      <c r="I4" s="89">
        <v>0.95</v>
      </c>
      <c r="J4">
        <v>41</v>
      </c>
      <c r="L4" t="s">
        <v>2715</v>
      </c>
      <c r="M4" t="s">
        <v>2718</v>
      </c>
    </row>
    <row r="5" spans="1:18" x14ac:dyDescent="0.2">
      <c r="A5" t="s">
        <v>83</v>
      </c>
      <c r="B5" t="s">
        <v>329</v>
      </c>
      <c r="C5">
        <v>1000</v>
      </c>
      <c r="D5" t="s">
        <v>2719</v>
      </c>
      <c r="E5" t="s">
        <v>2714</v>
      </c>
      <c r="F5" s="79">
        <v>4.0999999999999996</v>
      </c>
      <c r="G5" s="84">
        <v>1065</v>
      </c>
      <c r="H5" s="87">
        <f t="shared" si="0"/>
        <v>1.0649999999999999</v>
      </c>
      <c r="I5" s="90" t="s">
        <v>2720</v>
      </c>
      <c r="J5">
        <v>108</v>
      </c>
      <c r="L5" t="s">
        <v>2721</v>
      </c>
      <c r="M5" t="s">
        <v>2722</v>
      </c>
    </row>
    <row r="6" spans="1:18" x14ac:dyDescent="0.2">
      <c r="A6" t="s">
        <v>83</v>
      </c>
      <c r="B6" t="s">
        <v>330</v>
      </c>
      <c r="C6">
        <v>1200</v>
      </c>
      <c r="D6" t="s">
        <v>2723</v>
      </c>
      <c r="E6" t="s">
        <v>2714</v>
      </c>
      <c r="F6" s="79">
        <v>4</v>
      </c>
      <c r="G6" s="88">
        <v>1334.99</v>
      </c>
      <c r="H6" s="54">
        <f t="shared" si="0"/>
        <v>1.1124916666666667</v>
      </c>
      <c r="I6" s="89">
        <v>0.92</v>
      </c>
      <c r="L6" t="s">
        <v>2724</v>
      </c>
      <c r="M6" t="s">
        <v>2725</v>
      </c>
    </row>
    <row r="7" spans="1:18" x14ac:dyDescent="0.2">
      <c r="A7" t="s">
        <v>83</v>
      </c>
      <c r="B7" t="s">
        <v>331</v>
      </c>
      <c r="C7">
        <v>380</v>
      </c>
      <c r="D7" t="s">
        <v>2723</v>
      </c>
      <c r="E7" t="s">
        <v>2714</v>
      </c>
      <c r="F7" s="79">
        <v>4</v>
      </c>
      <c r="G7" s="88">
        <v>638.99</v>
      </c>
      <c r="H7" s="54">
        <f t="shared" si="0"/>
        <v>1.6815526315789473</v>
      </c>
      <c r="I7" s="89">
        <v>0.92</v>
      </c>
      <c r="L7" t="s">
        <v>2724</v>
      </c>
      <c r="M7" t="s">
        <v>2726</v>
      </c>
    </row>
    <row r="8" spans="1:18" x14ac:dyDescent="0.2">
      <c r="A8" t="s">
        <v>83</v>
      </c>
      <c r="B8" t="s">
        <v>332</v>
      </c>
      <c r="C8">
        <v>333</v>
      </c>
      <c r="D8" t="s">
        <v>2727</v>
      </c>
      <c r="E8" t="s">
        <v>2714</v>
      </c>
      <c r="F8" s="79">
        <v>3.92</v>
      </c>
      <c r="G8" s="88">
        <v>495.11</v>
      </c>
      <c r="H8" s="54">
        <f t="shared" si="0"/>
        <v>1.4868168168168168</v>
      </c>
      <c r="I8" s="91" t="s">
        <v>2720</v>
      </c>
      <c r="K8" t="s">
        <v>2728</v>
      </c>
      <c r="L8" t="s">
        <v>2721</v>
      </c>
      <c r="M8" t="s">
        <v>2729</v>
      </c>
    </row>
    <row r="9" spans="1:18" x14ac:dyDescent="0.2">
      <c r="A9" t="s">
        <v>83</v>
      </c>
      <c r="B9" t="s">
        <v>333</v>
      </c>
      <c r="C9">
        <v>959</v>
      </c>
      <c r="D9" t="s">
        <v>2730</v>
      </c>
      <c r="E9" t="s">
        <v>2714</v>
      </c>
      <c r="F9" s="79">
        <v>3.92</v>
      </c>
      <c r="G9" s="84">
        <v>1019</v>
      </c>
      <c r="H9" s="54">
        <f t="shared" si="0"/>
        <v>1.0625651720542231</v>
      </c>
      <c r="J9">
        <v>109</v>
      </c>
      <c r="L9" t="s">
        <v>2731</v>
      </c>
      <c r="M9" t="s">
        <v>2732</v>
      </c>
    </row>
    <row r="10" spans="1:18" x14ac:dyDescent="0.2">
      <c r="A10" t="s">
        <v>83</v>
      </c>
      <c r="B10" t="s">
        <v>334</v>
      </c>
      <c r="C10">
        <v>1000</v>
      </c>
      <c r="E10" t="s">
        <v>2714</v>
      </c>
      <c r="F10" s="79">
        <v>3.92</v>
      </c>
      <c r="G10" s="84">
        <v>1299</v>
      </c>
      <c r="H10" s="54">
        <f t="shared" si="0"/>
        <v>1.2989999999999999</v>
      </c>
      <c r="L10" t="s">
        <v>2733</v>
      </c>
      <c r="M10" t="s">
        <v>2734</v>
      </c>
    </row>
    <row r="11" spans="1:18" x14ac:dyDescent="0.2">
      <c r="A11" t="s">
        <v>83</v>
      </c>
      <c r="B11" t="s">
        <v>335</v>
      </c>
      <c r="C11">
        <v>1350</v>
      </c>
      <c r="D11" t="s">
        <v>2735</v>
      </c>
      <c r="E11" t="s">
        <v>2714</v>
      </c>
      <c r="F11" s="79">
        <v>4.3</v>
      </c>
      <c r="G11" s="88">
        <v>873.94</v>
      </c>
      <c r="H11" s="54">
        <f t="shared" si="0"/>
        <v>0.64736296296296303</v>
      </c>
      <c r="L11" t="s">
        <v>2721</v>
      </c>
      <c r="M11" t="s">
        <v>2736</v>
      </c>
    </row>
    <row r="12" spans="1:18" x14ac:dyDescent="0.2">
      <c r="A12" t="s">
        <v>83</v>
      </c>
      <c r="C12">
        <v>1350</v>
      </c>
      <c r="D12" t="s">
        <v>2737</v>
      </c>
      <c r="E12" t="s">
        <v>2714</v>
      </c>
      <c r="F12" s="79">
        <v>3.7</v>
      </c>
      <c r="G12" s="84">
        <v>1069</v>
      </c>
      <c r="H12" s="54">
        <f t="shared" si="0"/>
        <v>0.79185185185185181</v>
      </c>
      <c r="J12">
        <v>111</v>
      </c>
      <c r="L12" t="s">
        <v>2738</v>
      </c>
      <c r="M12" t="s">
        <v>2739</v>
      </c>
    </row>
    <row r="15" spans="1:18" x14ac:dyDescent="0.2">
      <c r="A15" s="41" t="s">
        <v>2740</v>
      </c>
    </row>
    <row r="16" spans="1:18" x14ac:dyDescent="0.2">
      <c r="A16" t="s">
        <v>2741</v>
      </c>
    </row>
    <row r="17" spans="1:1" x14ac:dyDescent="0.2">
      <c r="A17" t="s">
        <v>2742</v>
      </c>
    </row>
    <row r="18" spans="1:1" x14ac:dyDescent="0.2">
      <c r="A18" t="s">
        <v>2743</v>
      </c>
    </row>
    <row r="19" spans="1:1" x14ac:dyDescent="0.2">
      <c r="A19" t="s">
        <v>2744</v>
      </c>
    </row>
    <row r="20" spans="1:1" x14ac:dyDescent="0.2">
      <c r="A20" t="s">
        <v>2745</v>
      </c>
    </row>
    <row r="21" spans="1:1" x14ac:dyDescent="0.2">
      <c r="A21" t="s">
        <v>2746</v>
      </c>
    </row>
    <row r="23" spans="1:1" x14ac:dyDescent="0.2">
      <c r="A23" s="41" t="s">
        <v>2747</v>
      </c>
    </row>
    <row r="24" spans="1:1" x14ac:dyDescent="0.2">
      <c r="A24" t="s">
        <v>2748</v>
      </c>
    </row>
    <row r="25" spans="1:1" x14ac:dyDescent="0.2">
      <c r="A25" t="s">
        <v>2749</v>
      </c>
    </row>
    <row r="26" spans="1:1" x14ac:dyDescent="0.2">
      <c r="A26" s="38" t="s">
        <v>2750</v>
      </c>
    </row>
    <row r="27" spans="1:1" x14ac:dyDescent="0.2">
      <c r="A27" s="38">
        <v>4</v>
      </c>
    </row>
    <row r="36" spans="4:7" x14ac:dyDescent="0.2">
      <c r="D36" s="34" t="s">
        <v>2751</v>
      </c>
    </row>
    <row r="37" spans="4:7" ht="16" thickBot="1" x14ac:dyDescent="0.25">
      <c r="D37" t="s">
        <v>2704</v>
      </c>
      <c r="E37" t="s">
        <v>2752</v>
      </c>
      <c r="F37" t="s">
        <v>2753</v>
      </c>
      <c r="G37" t="s">
        <v>1211</v>
      </c>
    </row>
    <row r="38" spans="4:7" x14ac:dyDescent="0.2">
      <c r="D38" s="47" t="s">
        <v>328</v>
      </c>
      <c r="E38" s="36">
        <v>1</v>
      </c>
      <c r="F38" s="36">
        <f t="shared" ref="F38:F45" si="1">$F$3*E38</f>
        <v>3.7</v>
      </c>
      <c r="G38" s="99">
        <f t="shared" ref="G38:G45" si="2">$H$3*E38</f>
        <v>0.64814814814814814</v>
      </c>
    </row>
    <row r="39" spans="4:7" x14ac:dyDescent="0.2">
      <c r="D39" s="18" t="s">
        <v>328</v>
      </c>
      <c r="E39">
        <v>2</v>
      </c>
      <c r="F39">
        <f t="shared" si="1"/>
        <v>7.4</v>
      </c>
      <c r="G39" s="98">
        <f t="shared" si="2"/>
        <v>1.2962962962962963</v>
      </c>
    </row>
    <row r="40" spans="4:7" x14ac:dyDescent="0.2">
      <c r="D40" s="18" t="s">
        <v>328</v>
      </c>
      <c r="E40">
        <v>3</v>
      </c>
      <c r="F40">
        <f t="shared" si="1"/>
        <v>11.100000000000001</v>
      </c>
      <c r="G40" s="98">
        <f t="shared" si="2"/>
        <v>1.9444444444444444</v>
      </c>
    </row>
    <row r="41" spans="4:7" x14ac:dyDescent="0.2">
      <c r="D41" s="18" t="s">
        <v>328</v>
      </c>
      <c r="E41">
        <v>3.5</v>
      </c>
      <c r="F41">
        <f t="shared" si="1"/>
        <v>12.950000000000001</v>
      </c>
      <c r="G41" s="98">
        <f t="shared" si="2"/>
        <v>2.2685185185185186</v>
      </c>
    </row>
    <row r="42" spans="4:7" x14ac:dyDescent="0.2">
      <c r="D42" s="18" t="s">
        <v>328</v>
      </c>
      <c r="E42">
        <v>4</v>
      </c>
      <c r="F42">
        <f t="shared" si="1"/>
        <v>14.8</v>
      </c>
      <c r="G42" s="98">
        <f t="shared" si="2"/>
        <v>2.5925925925925926</v>
      </c>
    </row>
    <row r="43" spans="4:7" x14ac:dyDescent="0.2">
      <c r="D43" s="18" t="s">
        <v>328</v>
      </c>
      <c r="E43">
        <v>5</v>
      </c>
      <c r="F43">
        <f t="shared" si="1"/>
        <v>18.5</v>
      </c>
      <c r="G43" s="98">
        <f t="shared" si="2"/>
        <v>3.2407407407407405</v>
      </c>
    </row>
    <row r="44" spans="4:7" x14ac:dyDescent="0.2">
      <c r="D44" s="18" t="s">
        <v>328</v>
      </c>
      <c r="E44">
        <v>5.5</v>
      </c>
      <c r="F44">
        <f t="shared" si="1"/>
        <v>20.350000000000001</v>
      </c>
      <c r="G44" s="98">
        <f t="shared" si="2"/>
        <v>3.5648148148148149</v>
      </c>
    </row>
    <row r="45" spans="4:7" ht="16" thickBot="1" x14ac:dyDescent="0.25">
      <c r="D45" s="18" t="s">
        <v>328</v>
      </c>
      <c r="E45">
        <v>6</v>
      </c>
      <c r="F45">
        <f t="shared" si="1"/>
        <v>22.200000000000003</v>
      </c>
      <c r="G45" s="98">
        <f t="shared" si="2"/>
        <v>3.8888888888888888</v>
      </c>
    </row>
    <row r="46" spans="4:7" x14ac:dyDescent="0.2">
      <c r="D46" s="47" t="s">
        <v>328</v>
      </c>
      <c r="E46" s="36">
        <v>1</v>
      </c>
      <c r="F46" s="36">
        <f t="shared" ref="F46:F53" si="3">$F$4*E46</f>
        <v>3.7</v>
      </c>
      <c r="G46" s="99">
        <f t="shared" ref="G46:G53" si="4">$H$4*E46</f>
        <v>0.93333333333333335</v>
      </c>
    </row>
    <row r="47" spans="4:7" x14ac:dyDescent="0.2">
      <c r="D47" s="18" t="s">
        <v>328</v>
      </c>
      <c r="E47">
        <v>2</v>
      </c>
      <c r="F47">
        <f t="shared" si="3"/>
        <v>7.4</v>
      </c>
      <c r="G47" s="98">
        <f t="shared" si="4"/>
        <v>1.8666666666666667</v>
      </c>
    </row>
    <row r="48" spans="4:7" x14ac:dyDescent="0.2">
      <c r="D48" s="18" t="s">
        <v>328</v>
      </c>
      <c r="E48">
        <v>3</v>
      </c>
      <c r="F48">
        <f t="shared" si="3"/>
        <v>11.100000000000001</v>
      </c>
      <c r="G48" s="98">
        <f t="shared" si="4"/>
        <v>2.8</v>
      </c>
    </row>
    <row r="49" spans="4:7" x14ac:dyDescent="0.2">
      <c r="D49" s="18" t="s">
        <v>328</v>
      </c>
      <c r="E49">
        <v>3.5</v>
      </c>
      <c r="F49">
        <f t="shared" si="3"/>
        <v>12.950000000000001</v>
      </c>
      <c r="G49" s="98">
        <f t="shared" si="4"/>
        <v>3.2666666666666666</v>
      </c>
    </row>
    <row r="50" spans="4:7" x14ac:dyDescent="0.2">
      <c r="D50" s="18" t="s">
        <v>328</v>
      </c>
      <c r="E50">
        <v>4</v>
      </c>
      <c r="F50">
        <f t="shared" si="3"/>
        <v>14.8</v>
      </c>
      <c r="G50" s="98">
        <f t="shared" si="4"/>
        <v>3.7333333333333334</v>
      </c>
    </row>
    <row r="51" spans="4:7" x14ac:dyDescent="0.2">
      <c r="D51" s="18" t="s">
        <v>328</v>
      </c>
      <c r="E51">
        <v>5</v>
      </c>
      <c r="F51">
        <f t="shared" si="3"/>
        <v>18.5</v>
      </c>
      <c r="G51" s="98">
        <f t="shared" si="4"/>
        <v>4.666666666666667</v>
      </c>
    </row>
    <row r="52" spans="4:7" x14ac:dyDescent="0.2">
      <c r="D52" s="18" t="s">
        <v>328</v>
      </c>
      <c r="E52">
        <v>5.5</v>
      </c>
      <c r="F52">
        <f t="shared" si="3"/>
        <v>20.350000000000001</v>
      </c>
      <c r="G52" s="98">
        <f t="shared" si="4"/>
        <v>5.1333333333333337</v>
      </c>
    </row>
    <row r="53" spans="4:7" ht="16" thickBot="1" x14ac:dyDescent="0.25">
      <c r="D53" s="18" t="s">
        <v>328</v>
      </c>
      <c r="E53">
        <v>6</v>
      </c>
      <c r="F53">
        <f t="shared" si="3"/>
        <v>22.200000000000003</v>
      </c>
      <c r="G53" s="98">
        <f t="shared" si="4"/>
        <v>5.6</v>
      </c>
    </row>
    <row r="54" spans="4:7" x14ac:dyDescent="0.2">
      <c r="D54" s="47" t="s">
        <v>329</v>
      </c>
      <c r="E54" s="36">
        <v>1</v>
      </c>
      <c r="F54" s="36">
        <f t="shared" ref="F54:F61" si="5">$F$5*E54</f>
        <v>4.0999999999999996</v>
      </c>
      <c r="G54" s="99">
        <f t="shared" ref="G54:G61" si="6">$H$5*E54</f>
        <v>1.0649999999999999</v>
      </c>
    </row>
    <row r="55" spans="4:7" x14ac:dyDescent="0.2">
      <c r="D55" s="18" t="s">
        <v>329</v>
      </c>
      <c r="E55">
        <v>2</v>
      </c>
      <c r="F55">
        <f t="shared" si="5"/>
        <v>8.1999999999999993</v>
      </c>
      <c r="G55" s="98">
        <f t="shared" si="6"/>
        <v>2.13</v>
      </c>
    </row>
    <row r="56" spans="4:7" x14ac:dyDescent="0.2">
      <c r="D56" s="18" t="s">
        <v>329</v>
      </c>
      <c r="E56">
        <v>3</v>
      </c>
      <c r="F56">
        <f t="shared" si="5"/>
        <v>12.299999999999999</v>
      </c>
      <c r="G56" s="98">
        <f t="shared" si="6"/>
        <v>3.1949999999999998</v>
      </c>
    </row>
    <row r="57" spans="4:7" x14ac:dyDescent="0.2">
      <c r="D57" s="18" t="s">
        <v>329</v>
      </c>
      <c r="E57">
        <v>3.5</v>
      </c>
      <c r="F57">
        <f t="shared" si="5"/>
        <v>14.349999999999998</v>
      </c>
      <c r="G57" s="98">
        <f t="shared" si="6"/>
        <v>3.7275</v>
      </c>
    </row>
    <row r="58" spans="4:7" x14ac:dyDescent="0.2">
      <c r="D58" s="18" t="s">
        <v>329</v>
      </c>
      <c r="E58">
        <v>4</v>
      </c>
      <c r="F58">
        <f t="shared" si="5"/>
        <v>16.399999999999999</v>
      </c>
      <c r="G58" s="98">
        <f t="shared" si="6"/>
        <v>4.26</v>
      </c>
    </row>
    <row r="59" spans="4:7" x14ac:dyDescent="0.2">
      <c r="D59" s="18" t="s">
        <v>329</v>
      </c>
      <c r="E59">
        <v>5</v>
      </c>
      <c r="F59">
        <f t="shared" si="5"/>
        <v>20.5</v>
      </c>
      <c r="G59" s="98">
        <f t="shared" si="6"/>
        <v>5.3249999999999993</v>
      </c>
    </row>
    <row r="60" spans="4:7" x14ac:dyDescent="0.2">
      <c r="D60" s="18" t="s">
        <v>329</v>
      </c>
      <c r="E60">
        <v>5.5</v>
      </c>
      <c r="F60">
        <f t="shared" si="5"/>
        <v>22.549999999999997</v>
      </c>
      <c r="G60" s="98">
        <f t="shared" si="6"/>
        <v>5.8574999999999999</v>
      </c>
    </row>
    <row r="61" spans="4:7" ht="16" thickBot="1" x14ac:dyDescent="0.25">
      <c r="D61" s="23" t="s">
        <v>329</v>
      </c>
      <c r="E61" s="15">
        <v>6</v>
      </c>
      <c r="F61" s="15">
        <f t="shared" si="5"/>
        <v>24.599999999999998</v>
      </c>
      <c r="G61" s="100">
        <f t="shared" si="6"/>
        <v>6.39</v>
      </c>
    </row>
    <row r="62" spans="4:7" x14ac:dyDescent="0.2">
      <c r="D62" s="18" t="s">
        <v>330</v>
      </c>
      <c r="E62">
        <v>1</v>
      </c>
      <c r="F62" s="36">
        <f t="shared" ref="F62:F69" si="7">$F$6*E62</f>
        <v>4</v>
      </c>
      <c r="G62" s="99">
        <f t="shared" ref="G62:G69" si="8">$H$6*E62</f>
        <v>1.1124916666666667</v>
      </c>
    </row>
    <row r="63" spans="4:7" x14ac:dyDescent="0.2">
      <c r="D63" s="18" t="s">
        <v>330</v>
      </c>
      <c r="E63">
        <v>2</v>
      </c>
      <c r="F63">
        <f t="shared" si="7"/>
        <v>8</v>
      </c>
      <c r="G63" s="98">
        <f t="shared" si="8"/>
        <v>2.2249833333333333</v>
      </c>
    </row>
    <row r="64" spans="4:7" x14ac:dyDescent="0.2">
      <c r="D64" s="18" t="s">
        <v>330</v>
      </c>
      <c r="E64">
        <v>3</v>
      </c>
      <c r="F64">
        <f t="shared" si="7"/>
        <v>12</v>
      </c>
      <c r="G64" s="98">
        <f t="shared" si="8"/>
        <v>3.337475</v>
      </c>
    </row>
    <row r="65" spans="4:7" x14ac:dyDescent="0.2">
      <c r="D65" s="18" t="s">
        <v>330</v>
      </c>
      <c r="E65">
        <v>3.5</v>
      </c>
      <c r="F65">
        <f t="shared" si="7"/>
        <v>14</v>
      </c>
      <c r="G65" s="98">
        <f t="shared" si="8"/>
        <v>3.8937208333333331</v>
      </c>
    </row>
    <row r="66" spans="4:7" x14ac:dyDescent="0.2">
      <c r="D66" s="18" t="s">
        <v>330</v>
      </c>
      <c r="E66">
        <v>4</v>
      </c>
      <c r="F66">
        <f t="shared" si="7"/>
        <v>16</v>
      </c>
      <c r="G66" s="98">
        <f t="shared" si="8"/>
        <v>4.4499666666666666</v>
      </c>
    </row>
    <row r="67" spans="4:7" x14ac:dyDescent="0.2">
      <c r="D67" s="18" t="s">
        <v>330</v>
      </c>
      <c r="E67">
        <v>5</v>
      </c>
      <c r="F67">
        <f t="shared" si="7"/>
        <v>20</v>
      </c>
      <c r="G67" s="98">
        <f t="shared" si="8"/>
        <v>5.5624583333333337</v>
      </c>
    </row>
    <row r="68" spans="4:7" x14ac:dyDescent="0.2">
      <c r="D68" s="18" t="s">
        <v>330</v>
      </c>
      <c r="E68">
        <v>5.5</v>
      </c>
      <c r="F68">
        <f t="shared" si="7"/>
        <v>22</v>
      </c>
      <c r="G68" s="98">
        <f t="shared" si="8"/>
        <v>6.1187041666666664</v>
      </c>
    </row>
    <row r="69" spans="4:7" ht="16" thickBot="1" x14ac:dyDescent="0.25">
      <c r="D69" s="18" t="s">
        <v>330</v>
      </c>
      <c r="E69">
        <v>6</v>
      </c>
      <c r="F69">
        <f t="shared" si="7"/>
        <v>24</v>
      </c>
      <c r="G69" s="98">
        <f t="shared" si="8"/>
        <v>6.6749499999999999</v>
      </c>
    </row>
    <row r="70" spans="4:7" x14ac:dyDescent="0.2">
      <c r="D70" s="47" t="s">
        <v>331</v>
      </c>
      <c r="E70" s="36">
        <v>1</v>
      </c>
      <c r="F70" s="36">
        <f t="shared" ref="F70:F77" si="9">$F$7*E70</f>
        <v>4</v>
      </c>
      <c r="G70" s="99">
        <f t="shared" ref="G70:G77" si="10">$H$7*E70</f>
        <v>1.6815526315789473</v>
      </c>
    </row>
    <row r="71" spans="4:7" x14ac:dyDescent="0.2">
      <c r="D71" s="18" t="s">
        <v>331</v>
      </c>
      <c r="E71">
        <v>2</v>
      </c>
      <c r="F71">
        <f t="shared" si="9"/>
        <v>8</v>
      </c>
      <c r="G71" s="98">
        <f t="shared" si="10"/>
        <v>3.3631052631578946</v>
      </c>
    </row>
    <row r="72" spans="4:7" x14ac:dyDescent="0.2">
      <c r="D72" s="18" t="s">
        <v>331</v>
      </c>
      <c r="E72">
        <v>3</v>
      </c>
      <c r="F72">
        <f t="shared" si="9"/>
        <v>12</v>
      </c>
      <c r="G72" s="98">
        <f t="shared" si="10"/>
        <v>5.0446578947368419</v>
      </c>
    </row>
    <row r="73" spans="4:7" x14ac:dyDescent="0.2">
      <c r="D73" s="18" t="s">
        <v>331</v>
      </c>
      <c r="E73">
        <v>3.5</v>
      </c>
      <c r="F73">
        <f t="shared" si="9"/>
        <v>14</v>
      </c>
      <c r="G73" s="98">
        <f t="shared" si="10"/>
        <v>5.8854342105263155</v>
      </c>
    </row>
    <row r="74" spans="4:7" x14ac:dyDescent="0.2">
      <c r="D74" s="18" t="s">
        <v>331</v>
      </c>
      <c r="E74">
        <v>4</v>
      </c>
      <c r="F74">
        <f t="shared" si="9"/>
        <v>16</v>
      </c>
      <c r="G74" s="98">
        <f t="shared" si="10"/>
        <v>6.7262105263157892</v>
      </c>
    </row>
    <row r="75" spans="4:7" x14ac:dyDescent="0.2">
      <c r="D75" s="18" t="s">
        <v>331</v>
      </c>
      <c r="E75">
        <v>5</v>
      </c>
      <c r="F75">
        <f t="shared" si="9"/>
        <v>20</v>
      </c>
      <c r="G75" s="98">
        <f t="shared" si="10"/>
        <v>8.4077631578947365</v>
      </c>
    </row>
    <row r="76" spans="4:7" x14ac:dyDescent="0.2">
      <c r="D76" s="18" t="s">
        <v>331</v>
      </c>
      <c r="E76">
        <v>5.5</v>
      </c>
      <c r="F76">
        <f t="shared" si="9"/>
        <v>22</v>
      </c>
      <c r="G76" s="98">
        <f t="shared" si="10"/>
        <v>9.248539473684211</v>
      </c>
    </row>
    <row r="77" spans="4:7" ht="16" thickBot="1" x14ac:dyDescent="0.25">
      <c r="D77" s="23" t="s">
        <v>331</v>
      </c>
      <c r="E77" s="15">
        <v>6</v>
      </c>
      <c r="F77" s="15">
        <f t="shared" si="9"/>
        <v>24</v>
      </c>
      <c r="G77" s="100">
        <f t="shared" si="10"/>
        <v>10.089315789473684</v>
      </c>
    </row>
    <row r="78" spans="4:7" x14ac:dyDescent="0.2">
      <c r="D78" s="47" t="s">
        <v>332</v>
      </c>
      <c r="E78" s="36">
        <v>1</v>
      </c>
      <c r="F78" s="36">
        <f t="shared" ref="F78:F85" si="11">$F$8*E78</f>
        <v>3.92</v>
      </c>
      <c r="G78" s="99">
        <f t="shared" ref="G78:G85" si="12">$H$8*E78</f>
        <v>1.4868168168168168</v>
      </c>
    </row>
    <row r="79" spans="4:7" x14ac:dyDescent="0.2">
      <c r="D79" s="18" t="s">
        <v>332</v>
      </c>
      <c r="E79">
        <v>2</v>
      </c>
      <c r="F79">
        <f t="shared" si="11"/>
        <v>7.84</v>
      </c>
      <c r="G79" s="98">
        <f t="shared" si="12"/>
        <v>2.9736336336336335</v>
      </c>
    </row>
    <row r="80" spans="4:7" x14ac:dyDescent="0.2">
      <c r="D80" s="18" t="s">
        <v>332</v>
      </c>
      <c r="E80">
        <v>3</v>
      </c>
      <c r="F80">
        <f t="shared" si="11"/>
        <v>11.76</v>
      </c>
      <c r="G80" s="98">
        <f t="shared" si="12"/>
        <v>4.4604504504504501</v>
      </c>
    </row>
    <row r="81" spans="4:7" x14ac:dyDescent="0.2">
      <c r="D81" s="18" t="s">
        <v>332</v>
      </c>
      <c r="E81">
        <v>3.5</v>
      </c>
      <c r="F81">
        <f t="shared" si="11"/>
        <v>13.719999999999999</v>
      </c>
      <c r="G81" s="98">
        <f t="shared" si="12"/>
        <v>5.203858858858859</v>
      </c>
    </row>
    <row r="82" spans="4:7" x14ac:dyDescent="0.2">
      <c r="D82" s="18" t="s">
        <v>332</v>
      </c>
      <c r="E82">
        <v>4</v>
      </c>
      <c r="F82">
        <f t="shared" si="11"/>
        <v>15.68</v>
      </c>
      <c r="G82" s="98">
        <f t="shared" si="12"/>
        <v>5.9472672672672671</v>
      </c>
    </row>
    <row r="83" spans="4:7" x14ac:dyDescent="0.2">
      <c r="D83" s="18" t="s">
        <v>332</v>
      </c>
      <c r="E83">
        <v>5</v>
      </c>
      <c r="F83">
        <f t="shared" si="11"/>
        <v>19.600000000000001</v>
      </c>
      <c r="G83" s="98">
        <f t="shared" si="12"/>
        <v>7.4340840840840841</v>
      </c>
    </row>
    <row r="84" spans="4:7" x14ac:dyDescent="0.2">
      <c r="D84" s="18" t="s">
        <v>332</v>
      </c>
      <c r="E84">
        <v>5.5</v>
      </c>
      <c r="F84">
        <f t="shared" si="11"/>
        <v>21.56</v>
      </c>
      <c r="G84" s="98">
        <f t="shared" si="12"/>
        <v>8.1774924924924921</v>
      </c>
    </row>
    <row r="85" spans="4:7" ht="16" thickBot="1" x14ac:dyDescent="0.25">
      <c r="D85" s="23" t="s">
        <v>332</v>
      </c>
      <c r="E85" s="15">
        <v>6</v>
      </c>
      <c r="F85" s="15">
        <f t="shared" si="11"/>
        <v>23.52</v>
      </c>
      <c r="G85" s="100">
        <f t="shared" si="12"/>
        <v>8.9209009009009002</v>
      </c>
    </row>
    <row r="86" spans="4:7" x14ac:dyDescent="0.2">
      <c r="D86" s="47" t="s">
        <v>333</v>
      </c>
      <c r="E86" s="36">
        <v>1</v>
      </c>
      <c r="F86" s="36">
        <f t="shared" ref="F86:F93" si="13">$F$9*E86</f>
        <v>3.92</v>
      </c>
      <c r="G86" s="99">
        <f t="shared" ref="G86:G93" si="14">$H$9*E86</f>
        <v>1.0625651720542231</v>
      </c>
    </row>
    <row r="87" spans="4:7" x14ac:dyDescent="0.2">
      <c r="D87" s="18" t="s">
        <v>333</v>
      </c>
      <c r="E87">
        <v>2</v>
      </c>
      <c r="F87">
        <f t="shared" si="13"/>
        <v>7.84</v>
      </c>
      <c r="G87" s="98">
        <f t="shared" si="14"/>
        <v>2.1251303441084461</v>
      </c>
    </row>
    <row r="88" spans="4:7" x14ac:dyDescent="0.2">
      <c r="D88" s="18" t="s">
        <v>333</v>
      </c>
      <c r="E88">
        <v>3</v>
      </c>
      <c r="F88">
        <f t="shared" si="13"/>
        <v>11.76</v>
      </c>
      <c r="G88" s="98">
        <f t="shared" si="14"/>
        <v>3.1876955161626692</v>
      </c>
    </row>
    <row r="89" spans="4:7" x14ac:dyDescent="0.2">
      <c r="D89" s="18" t="s">
        <v>333</v>
      </c>
      <c r="E89">
        <v>3.5</v>
      </c>
      <c r="F89">
        <f t="shared" si="13"/>
        <v>13.719999999999999</v>
      </c>
      <c r="G89" s="98">
        <f t="shared" si="14"/>
        <v>3.718978102189781</v>
      </c>
    </row>
    <row r="90" spans="4:7" x14ac:dyDescent="0.2">
      <c r="D90" s="18" t="s">
        <v>333</v>
      </c>
      <c r="E90">
        <v>4</v>
      </c>
      <c r="F90">
        <f t="shared" si="13"/>
        <v>15.68</v>
      </c>
      <c r="G90" s="98">
        <f t="shared" si="14"/>
        <v>4.2502606882168923</v>
      </c>
    </row>
    <row r="91" spans="4:7" x14ac:dyDescent="0.2">
      <c r="D91" s="18" t="s">
        <v>333</v>
      </c>
      <c r="E91">
        <v>5</v>
      </c>
      <c r="F91">
        <f t="shared" si="13"/>
        <v>19.600000000000001</v>
      </c>
      <c r="G91" s="98">
        <f t="shared" si="14"/>
        <v>5.3128258602711149</v>
      </c>
    </row>
    <row r="92" spans="4:7" x14ac:dyDescent="0.2">
      <c r="D92" s="18" t="s">
        <v>333</v>
      </c>
      <c r="E92">
        <v>5.5</v>
      </c>
      <c r="F92">
        <f t="shared" si="13"/>
        <v>21.56</v>
      </c>
      <c r="G92" s="98">
        <f t="shared" si="14"/>
        <v>5.8441084462982271</v>
      </c>
    </row>
    <row r="93" spans="4:7" ht="16" thickBot="1" x14ac:dyDescent="0.25">
      <c r="D93" s="23" t="s">
        <v>333</v>
      </c>
      <c r="E93" s="15">
        <v>6</v>
      </c>
      <c r="F93" s="15">
        <f t="shared" si="13"/>
        <v>23.52</v>
      </c>
      <c r="G93" s="100">
        <f t="shared" si="14"/>
        <v>6.3753910323253384</v>
      </c>
    </row>
    <row r="94" spans="4:7" x14ac:dyDescent="0.2">
      <c r="D94" s="47" t="s">
        <v>334</v>
      </c>
      <c r="E94" s="36">
        <v>1</v>
      </c>
      <c r="F94" s="36">
        <f t="shared" ref="F94:F101" si="15">$F$10*E94</f>
        <v>3.92</v>
      </c>
      <c r="G94" s="99">
        <f t="shared" ref="G94:G101" si="16">$H$10*E94</f>
        <v>1.2989999999999999</v>
      </c>
    </row>
    <row r="95" spans="4:7" x14ac:dyDescent="0.2">
      <c r="D95" s="18" t="s">
        <v>334</v>
      </c>
      <c r="E95">
        <v>2</v>
      </c>
      <c r="F95">
        <f t="shared" si="15"/>
        <v>7.84</v>
      </c>
      <c r="G95" s="98">
        <f t="shared" si="16"/>
        <v>2.5979999999999999</v>
      </c>
    </row>
    <row r="96" spans="4:7" x14ac:dyDescent="0.2">
      <c r="D96" s="18" t="s">
        <v>334</v>
      </c>
      <c r="E96">
        <v>3</v>
      </c>
      <c r="F96">
        <f t="shared" si="15"/>
        <v>11.76</v>
      </c>
      <c r="G96" s="98">
        <f t="shared" si="16"/>
        <v>3.8969999999999998</v>
      </c>
    </row>
    <row r="97" spans="4:7" x14ac:dyDescent="0.2">
      <c r="D97" s="18" t="s">
        <v>334</v>
      </c>
      <c r="E97">
        <v>3.5</v>
      </c>
      <c r="F97">
        <f t="shared" si="15"/>
        <v>13.719999999999999</v>
      </c>
      <c r="G97" s="98">
        <f t="shared" si="16"/>
        <v>4.5465</v>
      </c>
    </row>
    <row r="98" spans="4:7" x14ac:dyDescent="0.2">
      <c r="D98" s="18" t="s">
        <v>334</v>
      </c>
      <c r="E98">
        <v>4</v>
      </c>
      <c r="F98">
        <f t="shared" si="15"/>
        <v>15.68</v>
      </c>
      <c r="G98" s="98">
        <f t="shared" si="16"/>
        <v>5.1959999999999997</v>
      </c>
    </row>
    <row r="99" spans="4:7" x14ac:dyDescent="0.2">
      <c r="D99" s="18" t="s">
        <v>334</v>
      </c>
      <c r="E99">
        <v>5</v>
      </c>
      <c r="F99">
        <f t="shared" si="15"/>
        <v>19.600000000000001</v>
      </c>
      <c r="G99" s="98">
        <f t="shared" si="16"/>
        <v>6.4949999999999992</v>
      </c>
    </row>
    <row r="100" spans="4:7" x14ac:dyDescent="0.2">
      <c r="D100" s="18" t="s">
        <v>334</v>
      </c>
      <c r="E100">
        <v>5.5</v>
      </c>
      <c r="F100">
        <f t="shared" si="15"/>
        <v>21.56</v>
      </c>
      <c r="G100" s="98">
        <f t="shared" si="16"/>
        <v>7.1444999999999999</v>
      </c>
    </row>
    <row r="101" spans="4:7" ht="16" thickBot="1" x14ac:dyDescent="0.25">
      <c r="D101" s="23" t="s">
        <v>334</v>
      </c>
      <c r="E101" s="15">
        <v>6</v>
      </c>
      <c r="F101" s="15">
        <f t="shared" si="15"/>
        <v>23.52</v>
      </c>
      <c r="G101" s="100">
        <f t="shared" si="16"/>
        <v>7.7939999999999996</v>
      </c>
    </row>
    <row r="102" spans="4:7" x14ac:dyDescent="0.2">
      <c r="D102" s="47" t="s">
        <v>335</v>
      </c>
      <c r="E102" s="36">
        <v>1</v>
      </c>
      <c r="F102" s="36">
        <f t="shared" ref="F102:F109" si="17">$F$11*E102</f>
        <v>4.3</v>
      </c>
      <c r="G102" s="99">
        <f t="shared" ref="G102:G109" si="18">$H$11*E102</f>
        <v>0.64736296296296303</v>
      </c>
    </row>
    <row r="103" spans="4:7" x14ac:dyDescent="0.2">
      <c r="D103" s="18" t="s">
        <v>335</v>
      </c>
      <c r="E103">
        <v>2</v>
      </c>
      <c r="F103">
        <f t="shared" si="17"/>
        <v>8.6</v>
      </c>
      <c r="G103" s="98">
        <f t="shared" si="18"/>
        <v>1.2947259259259261</v>
      </c>
    </row>
    <row r="104" spans="4:7" x14ac:dyDescent="0.2">
      <c r="D104" s="18" t="s">
        <v>335</v>
      </c>
      <c r="E104">
        <v>3</v>
      </c>
      <c r="F104">
        <f t="shared" si="17"/>
        <v>12.899999999999999</v>
      </c>
      <c r="G104" s="98">
        <f t="shared" si="18"/>
        <v>1.9420888888888892</v>
      </c>
    </row>
    <row r="105" spans="4:7" x14ac:dyDescent="0.2">
      <c r="D105" s="18" t="s">
        <v>335</v>
      </c>
      <c r="E105">
        <v>3.5</v>
      </c>
      <c r="F105">
        <f t="shared" si="17"/>
        <v>15.049999999999999</v>
      </c>
      <c r="G105" s="98">
        <f t="shared" si="18"/>
        <v>2.2657703703703707</v>
      </c>
    </row>
    <row r="106" spans="4:7" x14ac:dyDescent="0.2">
      <c r="D106" s="18" t="s">
        <v>335</v>
      </c>
      <c r="E106">
        <v>4</v>
      </c>
      <c r="F106">
        <f t="shared" si="17"/>
        <v>17.2</v>
      </c>
      <c r="G106" s="98">
        <f t="shared" si="18"/>
        <v>2.5894518518518521</v>
      </c>
    </row>
    <row r="107" spans="4:7" x14ac:dyDescent="0.2">
      <c r="D107" s="18" t="s">
        <v>335</v>
      </c>
      <c r="E107">
        <v>5</v>
      </c>
      <c r="F107">
        <f t="shared" si="17"/>
        <v>21.5</v>
      </c>
      <c r="G107" s="98">
        <f t="shared" si="18"/>
        <v>3.236814814814815</v>
      </c>
    </row>
    <row r="108" spans="4:7" x14ac:dyDescent="0.2">
      <c r="D108" s="18" t="s">
        <v>335</v>
      </c>
      <c r="E108">
        <v>5.5</v>
      </c>
      <c r="F108">
        <f t="shared" si="17"/>
        <v>23.65</v>
      </c>
      <c r="G108" s="98">
        <f t="shared" si="18"/>
        <v>3.5604962962962965</v>
      </c>
    </row>
    <row r="109" spans="4:7" ht="16" thickBot="1" x14ac:dyDescent="0.25">
      <c r="D109" s="23" t="s">
        <v>335</v>
      </c>
      <c r="E109" s="15">
        <v>6</v>
      </c>
      <c r="F109" s="15">
        <f t="shared" si="17"/>
        <v>25.799999999999997</v>
      </c>
      <c r="G109" s="100">
        <f t="shared" si="18"/>
        <v>3.8841777777777784</v>
      </c>
    </row>
    <row r="110" spans="4:7" x14ac:dyDescent="0.2">
      <c r="D110" s="47" t="s">
        <v>336</v>
      </c>
      <c r="E110" s="36">
        <v>1</v>
      </c>
      <c r="F110" s="36">
        <f t="shared" ref="F110:F117" si="19">$F$12*E110</f>
        <v>3.7</v>
      </c>
      <c r="G110" s="99">
        <f t="shared" ref="G110:G117" si="20">$H$12*E110</f>
        <v>0.79185185185185181</v>
      </c>
    </row>
    <row r="111" spans="4:7" x14ac:dyDescent="0.2">
      <c r="D111" s="18" t="s">
        <v>336</v>
      </c>
      <c r="E111">
        <v>2</v>
      </c>
      <c r="F111">
        <f t="shared" si="19"/>
        <v>7.4</v>
      </c>
      <c r="G111" s="98">
        <f t="shared" si="20"/>
        <v>1.5837037037037036</v>
      </c>
    </row>
    <row r="112" spans="4:7" x14ac:dyDescent="0.2">
      <c r="D112" s="18" t="s">
        <v>336</v>
      </c>
      <c r="E112">
        <v>3</v>
      </c>
      <c r="F112">
        <f t="shared" si="19"/>
        <v>11.100000000000001</v>
      </c>
      <c r="G112" s="98">
        <f t="shared" si="20"/>
        <v>2.3755555555555556</v>
      </c>
    </row>
    <row r="113" spans="4:7" x14ac:dyDescent="0.2">
      <c r="D113" s="18" t="s">
        <v>336</v>
      </c>
      <c r="E113">
        <v>3.5</v>
      </c>
      <c r="F113">
        <f t="shared" si="19"/>
        <v>12.950000000000001</v>
      </c>
      <c r="G113" s="98">
        <f t="shared" si="20"/>
        <v>2.7714814814814814</v>
      </c>
    </row>
    <row r="114" spans="4:7" x14ac:dyDescent="0.2">
      <c r="D114" s="18" t="s">
        <v>336</v>
      </c>
      <c r="E114">
        <v>4</v>
      </c>
      <c r="F114">
        <f t="shared" si="19"/>
        <v>14.8</v>
      </c>
      <c r="G114" s="98">
        <f t="shared" si="20"/>
        <v>3.1674074074074072</v>
      </c>
    </row>
    <row r="115" spans="4:7" x14ac:dyDescent="0.2">
      <c r="D115" s="18" t="s">
        <v>336</v>
      </c>
      <c r="E115">
        <v>5</v>
      </c>
      <c r="F115">
        <f t="shared" si="19"/>
        <v>18.5</v>
      </c>
      <c r="G115" s="98">
        <f t="shared" si="20"/>
        <v>3.9592592592592588</v>
      </c>
    </row>
    <row r="116" spans="4:7" x14ac:dyDescent="0.2">
      <c r="D116" s="18" t="s">
        <v>336</v>
      </c>
      <c r="E116">
        <v>5.5</v>
      </c>
      <c r="F116">
        <f t="shared" si="19"/>
        <v>20.350000000000001</v>
      </c>
      <c r="G116" s="98">
        <f t="shared" si="20"/>
        <v>4.355185185185185</v>
      </c>
    </row>
    <row r="117" spans="4:7" ht="16" thickBot="1" x14ac:dyDescent="0.25">
      <c r="D117" s="23" t="s">
        <v>336</v>
      </c>
      <c r="E117" s="15">
        <v>6</v>
      </c>
      <c r="F117" s="15">
        <f t="shared" si="19"/>
        <v>22.200000000000003</v>
      </c>
      <c r="G117" s="100">
        <f t="shared" si="20"/>
        <v>4.7511111111111113</v>
      </c>
    </row>
  </sheetData>
  <hyperlinks>
    <hyperlink ref="M4" r:id="rId1" xr:uid="{6E545054-08A1-4F23-A2AA-81CB7D43DEBB}"/>
  </hyperlinks>
  <pageMargins left="0.7" right="0.7" top="0.75" bottom="0.75" header="0.3" footer="0.3"/>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522E6-1057-4521-98A7-5B92478E527E}">
  <dimension ref="B2:L28"/>
  <sheetViews>
    <sheetView workbookViewId="0"/>
  </sheetViews>
  <sheetFormatPr baseColWidth="10" defaultColWidth="8.83203125" defaultRowHeight="15" x14ac:dyDescent="0.2"/>
  <cols>
    <col min="2" max="2" width="16.5" customWidth="1"/>
    <col min="3" max="3" width="19.5" customWidth="1"/>
    <col min="4" max="6" width="12.5" customWidth="1"/>
    <col min="7" max="7" width="33.5" customWidth="1"/>
    <col min="8" max="9" width="12.5" customWidth="1"/>
    <col min="10" max="10" width="22.5" customWidth="1"/>
    <col min="11" max="11" width="12.5" customWidth="1"/>
    <col min="12" max="12" width="18.5" customWidth="1"/>
  </cols>
  <sheetData>
    <row r="2" spans="2:12" ht="16" thickBot="1" x14ac:dyDescent="0.25">
      <c r="B2" t="s">
        <v>3389</v>
      </c>
    </row>
    <row r="3" spans="2:12" ht="43" thickBot="1" x14ac:dyDescent="0.25">
      <c r="B3" s="77" t="s">
        <v>2754</v>
      </c>
      <c r="C3" s="77" t="s">
        <v>2755</v>
      </c>
      <c r="D3" s="77" t="s">
        <v>2756</v>
      </c>
      <c r="E3" s="77" t="s">
        <v>2757</v>
      </c>
      <c r="F3" s="77" t="s">
        <v>2758</v>
      </c>
      <c r="G3" s="77" t="s">
        <v>2759</v>
      </c>
      <c r="H3" s="77" t="s">
        <v>2760</v>
      </c>
      <c r="I3" s="77" t="s">
        <v>2761</v>
      </c>
      <c r="J3" s="77" t="s">
        <v>2762</v>
      </c>
      <c r="K3" s="77" t="s">
        <v>2763</v>
      </c>
      <c r="L3" s="77" t="s">
        <v>2764</v>
      </c>
    </row>
    <row r="4" spans="2:12" ht="16" thickBot="1" x14ac:dyDescent="0.25">
      <c r="B4" s="72">
        <v>0</v>
      </c>
      <c r="C4" s="72" t="s">
        <v>2765</v>
      </c>
      <c r="D4" s="72">
        <v>0.75</v>
      </c>
      <c r="E4" s="72">
        <v>0.25</v>
      </c>
      <c r="F4" s="72">
        <v>30</v>
      </c>
      <c r="G4" s="72" t="s">
        <v>2766</v>
      </c>
      <c r="H4" s="73">
        <v>44989</v>
      </c>
      <c r="I4" s="72">
        <v>13</v>
      </c>
      <c r="J4" s="72">
        <v>0</v>
      </c>
      <c r="K4" s="72">
        <v>0</v>
      </c>
      <c r="L4" s="72">
        <v>0</v>
      </c>
    </row>
    <row r="5" spans="2:12" ht="16" thickBot="1" x14ac:dyDescent="0.25">
      <c r="B5" s="72">
        <v>1</v>
      </c>
      <c r="C5" s="72" t="s">
        <v>2765</v>
      </c>
      <c r="D5" s="72">
        <v>0.75</v>
      </c>
      <c r="E5" s="72">
        <v>0.25</v>
      </c>
      <c r="F5" s="72">
        <v>30</v>
      </c>
      <c r="G5" s="72" t="s">
        <v>2767</v>
      </c>
      <c r="H5" s="73">
        <v>44989</v>
      </c>
      <c r="I5" s="72">
        <v>13</v>
      </c>
      <c r="J5" s="72">
        <v>0</v>
      </c>
      <c r="K5" s="72">
        <v>0</v>
      </c>
      <c r="L5" s="72">
        <v>0</v>
      </c>
    </row>
    <row r="6" spans="2:12" ht="16" thickBot="1" x14ac:dyDescent="0.25">
      <c r="B6" s="72">
        <v>2</v>
      </c>
      <c r="C6" s="72">
        <v>0.4</v>
      </c>
      <c r="D6" s="72">
        <v>0.65</v>
      </c>
      <c r="E6" s="72">
        <v>0.25</v>
      </c>
      <c r="F6" s="72">
        <v>49</v>
      </c>
      <c r="G6" s="72" t="s">
        <v>2767</v>
      </c>
      <c r="H6" s="73">
        <v>45022</v>
      </c>
      <c r="I6" s="72">
        <v>13</v>
      </c>
      <c r="J6" s="72">
        <v>0</v>
      </c>
      <c r="K6" s="72">
        <v>0</v>
      </c>
      <c r="L6" s="72">
        <v>0</v>
      </c>
    </row>
    <row r="7" spans="2:12" x14ac:dyDescent="0.2">
      <c r="B7" s="451">
        <v>3</v>
      </c>
      <c r="C7" s="451">
        <v>0.3</v>
      </c>
      <c r="D7" s="451">
        <v>0.55000000000000004</v>
      </c>
      <c r="E7" s="451">
        <v>0.25</v>
      </c>
      <c r="F7" s="451">
        <v>49</v>
      </c>
      <c r="G7" s="74" t="s">
        <v>2768</v>
      </c>
      <c r="H7" s="454">
        <v>45151</v>
      </c>
      <c r="I7" s="451">
        <v>19</v>
      </c>
      <c r="J7" s="451" t="s">
        <v>2769</v>
      </c>
      <c r="K7" s="451" t="s">
        <v>2770</v>
      </c>
      <c r="L7" s="451" t="s">
        <v>2769</v>
      </c>
    </row>
    <row r="8" spans="2:12" x14ac:dyDescent="0.2">
      <c r="B8" s="452"/>
      <c r="C8" s="452"/>
      <c r="D8" s="452"/>
      <c r="E8" s="452"/>
      <c r="F8" s="452"/>
      <c r="G8" s="75"/>
      <c r="H8" s="455"/>
      <c r="I8" s="452"/>
      <c r="J8" s="452"/>
      <c r="K8" s="452"/>
      <c r="L8" s="452"/>
    </row>
    <row r="9" spans="2:12" ht="16" thickBot="1" x14ac:dyDescent="0.25">
      <c r="B9" s="453"/>
      <c r="C9" s="453"/>
      <c r="D9" s="453"/>
      <c r="E9" s="453"/>
      <c r="F9" s="453"/>
      <c r="G9" s="76" t="s">
        <v>2771</v>
      </c>
      <c r="H9" s="456"/>
      <c r="I9" s="453"/>
      <c r="J9" s="453"/>
      <c r="K9" s="453"/>
      <c r="L9" s="453"/>
    </row>
    <row r="10" spans="2:12" ht="16" thickBot="1" x14ac:dyDescent="0.25">
      <c r="B10" s="72" t="s">
        <v>2772</v>
      </c>
      <c r="C10" s="72">
        <v>0.3</v>
      </c>
      <c r="D10" s="72">
        <v>0.55000000000000004</v>
      </c>
      <c r="E10" s="72">
        <v>0.4</v>
      </c>
      <c r="F10" s="72">
        <v>60</v>
      </c>
      <c r="G10" s="72" t="s">
        <v>2773</v>
      </c>
      <c r="H10" s="73">
        <v>45151</v>
      </c>
      <c r="I10" s="72">
        <v>19</v>
      </c>
      <c r="J10" s="72" t="s">
        <v>2774</v>
      </c>
      <c r="K10" s="72" t="s">
        <v>2775</v>
      </c>
      <c r="L10" s="72" t="s">
        <v>2774</v>
      </c>
    </row>
    <row r="11" spans="2:12" ht="16" thickBot="1" x14ac:dyDescent="0.25">
      <c r="B11" s="72" t="s">
        <v>2776</v>
      </c>
      <c r="C11" s="72" t="s">
        <v>2777</v>
      </c>
      <c r="D11" s="72">
        <v>0.55000000000000004</v>
      </c>
      <c r="E11" s="72">
        <v>0.4</v>
      </c>
      <c r="F11" s="72">
        <v>60</v>
      </c>
      <c r="G11" s="72" t="s">
        <v>2773</v>
      </c>
      <c r="H11" s="72" t="s">
        <v>2778</v>
      </c>
      <c r="I11" s="72">
        <v>30</v>
      </c>
      <c r="J11" s="72" t="s">
        <v>2779</v>
      </c>
      <c r="K11" s="72" t="s">
        <v>2775</v>
      </c>
      <c r="L11" s="72" t="s">
        <v>2779</v>
      </c>
    </row>
    <row r="12" spans="2:12" ht="16" thickBot="1" x14ac:dyDescent="0.25">
      <c r="B12" s="72">
        <v>6</v>
      </c>
      <c r="C12" s="72" t="s">
        <v>2777</v>
      </c>
      <c r="D12" s="72">
        <v>0.55000000000000004</v>
      </c>
      <c r="E12" s="72" t="s">
        <v>2765</v>
      </c>
      <c r="F12" s="72">
        <v>60</v>
      </c>
      <c r="G12" s="72" t="s">
        <v>2780</v>
      </c>
      <c r="H12" s="72" t="s">
        <v>2781</v>
      </c>
      <c r="I12" s="72">
        <v>30</v>
      </c>
      <c r="J12" s="72" t="s">
        <v>2779</v>
      </c>
      <c r="K12" s="72" t="s">
        <v>2782</v>
      </c>
      <c r="L12" s="72" t="s">
        <v>2779</v>
      </c>
    </row>
    <row r="13" spans="2:12" ht="16" thickBot="1" x14ac:dyDescent="0.25">
      <c r="B13" s="72" t="s">
        <v>2783</v>
      </c>
      <c r="C13" s="72" t="s">
        <v>2777</v>
      </c>
      <c r="D13" s="72">
        <v>0.55000000000000004</v>
      </c>
      <c r="E13" s="72" t="s">
        <v>2765</v>
      </c>
      <c r="F13" s="72">
        <v>60</v>
      </c>
      <c r="G13" s="72" t="s">
        <v>2780</v>
      </c>
      <c r="H13" s="72" t="s">
        <v>2784</v>
      </c>
      <c r="I13" s="72">
        <v>38</v>
      </c>
      <c r="J13" s="72" t="s">
        <v>2779</v>
      </c>
      <c r="K13" s="72" t="s">
        <v>2782</v>
      </c>
      <c r="L13" s="72" t="s">
        <v>2779</v>
      </c>
    </row>
    <row r="28" spans="7:7" x14ac:dyDescent="0.2">
      <c r="G28" s="68"/>
    </row>
  </sheetData>
  <mergeCells count="10">
    <mergeCell ref="I7:I9"/>
    <mergeCell ref="J7:J9"/>
    <mergeCell ref="K7:K9"/>
    <mergeCell ref="L7:L9"/>
    <mergeCell ref="B7:B9"/>
    <mergeCell ref="C7:C9"/>
    <mergeCell ref="D7:D9"/>
    <mergeCell ref="E7:E9"/>
    <mergeCell ref="F7:F9"/>
    <mergeCell ref="H7:H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0F925-71D6-4B99-82DB-ACDC7F2EA4B1}">
  <dimension ref="A1:AC280"/>
  <sheetViews>
    <sheetView showGridLines="0" zoomScale="85" zoomScaleNormal="100" workbookViewId="0">
      <pane xSplit="3" ySplit="4" topLeftCell="D5" activePane="bottomRight" state="frozen"/>
      <selection pane="topRight" activeCell="D1" sqref="D1"/>
      <selection pane="bottomLeft" activeCell="A5" sqref="A5"/>
      <selection pane="bottomRight" activeCell="A7" sqref="A7"/>
    </sheetView>
  </sheetViews>
  <sheetFormatPr baseColWidth="10" defaultColWidth="8.83203125" defaultRowHeight="15" x14ac:dyDescent="0.2"/>
  <cols>
    <col min="1" max="1" width="32.6640625" customWidth="1"/>
    <col min="2" max="2" width="22.5" bestFit="1" customWidth="1"/>
    <col min="3" max="3" width="11.5" bestFit="1" customWidth="1"/>
    <col min="4" max="4" width="16.6640625" bestFit="1" customWidth="1"/>
    <col min="5" max="5" width="19.33203125" bestFit="1" customWidth="1"/>
    <col min="6" max="6" width="19.5" bestFit="1" customWidth="1"/>
    <col min="7" max="7" width="10.5" customWidth="1"/>
    <col min="8" max="8" width="13.6640625" customWidth="1"/>
    <col min="9" max="9" width="13" customWidth="1"/>
    <col min="10" max="10" width="14.5" customWidth="1"/>
    <col min="11" max="11" width="12" customWidth="1"/>
    <col min="12" max="12" width="17.33203125" customWidth="1"/>
    <col min="13" max="13" width="8.5" customWidth="1"/>
    <col min="14" max="14" width="12.33203125" customWidth="1"/>
    <col min="15" max="17" width="6.5" customWidth="1"/>
    <col min="18" max="20" width="11.33203125" customWidth="1"/>
    <col min="21" max="21" width="16.5" bestFit="1" customWidth="1"/>
    <col min="22" max="22" width="13" customWidth="1"/>
    <col min="23" max="23" width="21.5" bestFit="1" customWidth="1"/>
    <col min="24" max="24" width="12.6640625" bestFit="1" customWidth="1"/>
    <col min="25" max="25" width="13.5" bestFit="1" customWidth="1"/>
    <col min="26" max="26" width="32.33203125" bestFit="1" customWidth="1"/>
    <col min="27" max="27" width="17.5" bestFit="1" customWidth="1"/>
    <col min="28" max="28" width="21" bestFit="1" customWidth="1"/>
    <col min="29" max="29" width="6.33203125" bestFit="1" customWidth="1"/>
  </cols>
  <sheetData>
    <row r="1" spans="1:29" x14ac:dyDescent="0.2">
      <c r="A1" s="4" t="s">
        <v>21</v>
      </c>
    </row>
    <row r="2" spans="1:29" x14ac:dyDescent="0.2">
      <c r="A2" s="41" t="s">
        <v>342</v>
      </c>
    </row>
    <row r="3" spans="1:29" x14ac:dyDescent="0.2">
      <c r="A3" s="419" t="s">
        <v>343</v>
      </c>
      <c r="B3" s="419"/>
      <c r="C3" s="420"/>
      <c r="D3" s="421" t="s">
        <v>344</v>
      </c>
      <c r="E3" s="422"/>
      <c r="F3" s="422"/>
      <c r="G3" s="422"/>
      <c r="H3" s="422"/>
      <c r="I3" s="422"/>
      <c r="J3" s="423"/>
      <c r="K3" s="424" t="s">
        <v>345</v>
      </c>
      <c r="L3" s="425"/>
      <c r="M3" s="425"/>
      <c r="N3" s="425"/>
      <c r="O3" s="425"/>
      <c r="P3" s="425"/>
      <c r="Q3" s="426"/>
      <c r="R3" s="427" t="s">
        <v>346</v>
      </c>
      <c r="S3" s="428"/>
      <c r="T3" s="429"/>
      <c r="U3" s="416" t="s">
        <v>4571</v>
      </c>
      <c r="V3" s="416"/>
      <c r="W3" s="416" t="s">
        <v>4572</v>
      </c>
      <c r="X3" s="416"/>
      <c r="Y3" s="417" t="s">
        <v>347</v>
      </c>
      <c r="Z3" s="418"/>
      <c r="AA3" s="418"/>
      <c r="AB3" s="418"/>
      <c r="AC3" s="418"/>
    </row>
    <row r="4" spans="1:29" ht="16" thickBot="1" x14ac:dyDescent="0.25">
      <c r="A4" s="5" t="s">
        <v>0</v>
      </c>
      <c r="B4" s="5" t="s">
        <v>348</v>
      </c>
      <c r="C4" s="6" t="s">
        <v>349</v>
      </c>
      <c r="D4" s="7" t="s">
        <v>350</v>
      </c>
      <c r="E4" s="8" t="s">
        <v>351</v>
      </c>
      <c r="F4" s="8" t="s">
        <v>352</v>
      </c>
      <c r="G4" s="8" t="s">
        <v>353</v>
      </c>
      <c r="H4" s="8" t="s">
        <v>354</v>
      </c>
      <c r="I4" s="8" t="s">
        <v>355</v>
      </c>
      <c r="J4" s="8" t="s">
        <v>356</v>
      </c>
      <c r="K4" s="9" t="s">
        <v>350</v>
      </c>
      <c r="L4" s="10" t="s">
        <v>351</v>
      </c>
      <c r="M4" s="10" t="s">
        <v>352</v>
      </c>
      <c r="N4" s="10" t="s">
        <v>353</v>
      </c>
      <c r="O4" s="10" t="s">
        <v>354</v>
      </c>
      <c r="P4" s="10" t="s">
        <v>355</v>
      </c>
      <c r="Q4" s="10" t="s">
        <v>356</v>
      </c>
      <c r="R4" s="113" t="s">
        <v>357</v>
      </c>
      <c r="S4" s="114" t="s">
        <v>358</v>
      </c>
      <c r="T4" s="115" t="s">
        <v>359</v>
      </c>
      <c r="U4" s="116" t="s">
        <v>360</v>
      </c>
      <c r="V4" s="116" t="s">
        <v>361</v>
      </c>
      <c r="W4" s="116" t="s">
        <v>360</v>
      </c>
      <c r="X4" s="212" t="s">
        <v>361</v>
      </c>
      <c r="Y4" s="102" t="s">
        <v>39</v>
      </c>
      <c r="Z4" s="103" t="s">
        <v>5321</v>
      </c>
      <c r="AA4" s="103" t="s">
        <v>362</v>
      </c>
      <c r="AB4" s="103" t="s">
        <v>5385</v>
      </c>
      <c r="AC4" s="46" t="s">
        <v>41</v>
      </c>
    </row>
    <row r="5" spans="1:29" x14ac:dyDescent="0.2">
      <c r="A5" s="47" t="s">
        <v>56</v>
      </c>
      <c r="B5" s="36" t="s">
        <v>73</v>
      </c>
      <c r="C5" s="122" t="s">
        <v>364</v>
      </c>
      <c r="D5">
        <v>3.1667000000000001E-2</v>
      </c>
      <c r="E5">
        <v>4.1599999999999998E-2</v>
      </c>
      <c r="F5">
        <v>4.9167000000000002E-2</v>
      </c>
      <c r="G5" s="1" t="s">
        <v>31</v>
      </c>
      <c r="H5" s="1" t="s">
        <v>365</v>
      </c>
      <c r="I5" s="1">
        <v>6</v>
      </c>
      <c r="J5" s="17">
        <v>49</v>
      </c>
      <c r="K5" s="1" t="s">
        <v>366</v>
      </c>
      <c r="L5" s="1" t="s">
        <v>366</v>
      </c>
      <c r="M5" s="1" t="s">
        <v>366</v>
      </c>
      <c r="N5" s="1" t="s">
        <v>366</v>
      </c>
      <c r="O5" s="1" t="s">
        <v>366</v>
      </c>
      <c r="P5" s="1" t="s">
        <v>366</v>
      </c>
      <c r="Q5" s="1" t="s">
        <v>366</v>
      </c>
      <c r="R5" s="47">
        <v>0.158332</v>
      </c>
      <c r="S5" s="36">
        <v>0.2392</v>
      </c>
      <c r="T5" s="36">
        <v>1.5749979999999999</v>
      </c>
      <c r="U5" s="120" t="s">
        <v>366</v>
      </c>
      <c r="V5" s="318" t="s">
        <v>366</v>
      </c>
      <c r="W5" s="120">
        <f>'All Insulation Data'!$AQ$4</f>
        <v>0.58609756097560994</v>
      </c>
      <c r="X5" s="318">
        <f>'All Insulation Data'!$AR$4</f>
        <v>0.75609756097560998</v>
      </c>
      <c r="Y5" s="18">
        <v>999</v>
      </c>
      <c r="Z5" t="s">
        <v>5442</v>
      </c>
      <c r="AA5" s="36" t="s">
        <v>3406</v>
      </c>
      <c r="AB5" s="36" t="s">
        <v>5402</v>
      </c>
      <c r="AC5" s="48"/>
    </row>
    <row r="6" spans="1:29" x14ac:dyDescent="0.2">
      <c r="A6" s="18" t="s">
        <v>56</v>
      </c>
      <c r="B6" t="s">
        <v>79</v>
      </c>
      <c r="C6" s="16" t="s">
        <v>364</v>
      </c>
      <c r="D6">
        <v>6.8807999999999994E-2</v>
      </c>
      <c r="E6">
        <v>0.13142799999999999</v>
      </c>
      <c r="F6">
        <v>0.29178500000000002</v>
      </c>
      <c r="G6" s="1" t="s">
        <v>31</v>
      </c>
      <c r="H6" s="1" t="s">
        <v>365</v>
      </c>
      <c r="I6" s="1">
        <v>1.44</v>
      </c>
      <c r="J6" s="17">
        <v>10</v>
      </c>
      <c r="K6" s="1" t="s">
        <v>366</v>
      </c>
      <c r="L6" s="1" t="s">
        <v>366</v>
      </c>
      <c r="M6" s="1" t="s">
        <v>366</v>
      </c>
      <c r="N6" s="1" t="s">
        <v>366</v>
      </c>
      <c r="O6" s="1" t="s">
        <v>366</v>
      </c>
      <c r="P6" s="1" t="s">
        <v>366</v>
      </c>
      <c r="Q6" s="1" t="s">
        <v>366</v>
      </c>
      <c r="R6" s="18">
        <v>0.13047400000000001</v>
      </c>
      <c r="S6">
        <v>7.2905999999999999E-2</v>
      </c>
      <c r="T6">
        <v>4.2856999999999999E-2</v>
      </c>
      <c r="U6" s="31" t="s">
        <v>366</v>
      </c>
      <c r="V6" s="307" t="s">
        <v>366</v>
      </c>
      <c r="W6" s="31">
        <f>'All Insulation Data'!$AQ$10</f>
        <v>0.45500000000000002</v>
      </c>
      <c r="X6" s="307">
        <f>'All Insulation Data'!$AR$10</f>
        <v>0.52500000000000002</v>
      </c>
      <c r="Y6" s="18">
        <v>999</v>
      </c>
      <c r="Z6" t="s">
        <v>5442</v>
      </c>
      <c r="AA6" t="s">
        <v>3406</v>
      </c>
      <c r="AB6" t="s">
        <v>5405</v>
      </c>
      <c r="AC6" s="49"/>
    </row>
    <row r="7" spans="1:29" x14ac:dyDescent="0.2">
      <c r="A7" s="18" t="s">
        <v>54</v>
      </c>
      <c r="B7" t="s">
        <v>79</v>
      </c>
      <c r="C7" s="16" t="s">
        <v>364</v>
      </c>
      <c r="D7">
        <v>6.8807999999999994E-2</v>
      </c>
      <c r="E7">
        <v>0.13142799999999999</v>
      </c>
      <c r="F7">
        <v>0.29178500000000002</v>
      </c>
      <c r="G7" s="1" t="s">
        <v>31</v>
      </c>
      <c r="H7" s="1" t="s">
        <v>365</v>
      </c>
      <c r="I7" s="1">
        <v>1.44</v>
      </c>
      <c r="J7" s="17">
        <v>10</v>
      </c>
      <c r="K7" s="1" t="s">
        <v>366</v>
      </c>
      <c r="L7" s="1" t="s">
        <v>366</v>
      </c>
      <c r="M7" s="1" t="s">
        <v>366</v>
      </c>
      <c r="N7" s="1" t="s">
        <v>366</v>
      </c>
      <c r="O7" s="1" t="s">
        <v>366</v>
      </c>
      <c r="P7" s="1" t="s">
        <v>366</v>
      </c>
      <c r="Q7" s="1" t="s">
        <v>366</v>
      </c>
      <c r="R7" s="18">
        <v>0.13047400000000001</v>
      </c>
      <c r="S7">
        <v>7.2905999999999999E-2</v>
      </c>
      <c r="T7">
        <v>4.2856999999999999E-2</v>
      </c>
      <c r="U7" s="31" t="s">
        <v>366</v>
      </c>
      <c r="V7" s="307" t="s">
        <v>366</v>
      </c>
      <c r="W7" s="31">
        <f>'All Insulation Data'!$AQ$10*(1+'Envelope Labor Premium'!$B$2)</f>
        <v>0.59111003992520594</v>
      </c>
      <c r="X7" s="307">
        <f>'All Insulation Data'!$AR$10*(1+'Envelope Labor Premium'!$B$2)</f>
        <v>0.68205004606754538</v>
      </c>
      <c r="Y7" s="18">
        <v>999</v>
      </c>
      <c r="Z7" t="s">
        <v>5450</v>
      </c>
      <c r="AA7" t="s">
        <v>3406</v>
      </c>
      <c r="AB7" t="s">
        <v>5405</v>
      </c>
      <c r="AC7" s="49"/>
    </row>
    <row r="8" spans="1:29" x14ac:dyDescent="0.2">
      <c r="A8" s="18" t="s">
        <v>56</v>
      </c>
      <c r="B8" t="s">
        <v>78</v>
      </c>
      <c r="C8" s="16" t="s">
        <v>364</v>
      </c>
      <c r="D8">
        <v>0.12371699999999999</v>
      </c>
      <c r="E8">
        <v>0.17549999999999999</v>
      </c>
      <c r="F8">
        <v>0.22850000000000001</v>
      </c>
      <c r="G8" s="1" t="s">
        <v>31</v>
      </c>
      <c r="H8" s="1" t="s">
        <v>365</v>
      </c>
      <c r="I8" s="1">
        <v>1</v>
      </c>
      <c r="J8" s="17">
        <v>20</v>
      </c>
      <c r="K8" s="1" t="s">
        <v>366</v>
      </c>
      <c r="L8" s="1" t="s">
        <v>366</v>
      </c>
      <c r="M8" s="1" t="s">
        <v>366</v>
      </c>
      <c r="N8" s="1" t="s">
        <v>366</v>
      </c>
      <c r="O8" s="1" t="s">
        <v>366</v>
      </c>
      <c r="P8" s="1" t="s">
        <v>366</v>
      </c>
      <c r="Q8" s="1" t="s">
        <v>366</v>
      </c>
      <c r="R8" s="18">
        <v>6.5725000000000006E-2</v>
      </c>
      <c r="S8">
        <v>0.10125199999999999</v>
      </c>
      <c r="T8">
        <v>2.7075</v>
      </c>
      <c r="U8" s="31" t="s">
        <v>366</v>
      </c>
      <c r="V8" s="307" t="s">
        <v>366</v>
      </c>
      <c r="W8" s="31">
        <f>'All Insulation Data'!$AQ$9</f>
        <v>0.45500000000000002</v>
      </c>
      <c r="X8" s="307">
        <f>'All Insulation Data'!$AR$9</f>
        <v>0.52500000000000002</v>
      </c>
      <c r="Y8" s="18">
        <v>999</v>
      </c>
      <c r="Z8" t="s">
        <v>5442</v>
      </c>
      <c r="AA8" t="s">
        <v>3406</v>
      </c>
      <c r="AB8" t="s">
        <v>5404</v>
      </c>
      <c r="AC8" s="49"/>
    </row>
    <row r="9" spans="1:29" s="104" customFormat="1" x14ac:dyDescent="0.2">
      <c r="A9" s="319" t="s">
        <v>55</v>
      </c>
      <c r="B9" s="104" t="s">
        <v>73</v>
      </c>
      <c r="C9" s="320" t="s">
        <v>364</v>
      </c>
      <c r="D9" s="104">
        <v>3.1667000000000001E-2</v>
      </c>
      <c r="E9" s="104">
        <v>4.2999999999999997E-2</v>
      </c>
      <c r="F9" s="104">
        <v>5.1999999999999998E-2</v>
      </c>
      <c r="G9" s="321" t="s">
        <v>31</v>
      </c>
      <c r="H9" s="321" t="s">
        <v>365</v>
      </c>
      <c r="I9" s="321">
        <v>6</v>
      </c>
      <c r="J9" s="322">
        <v>49</v>
      </c>
      <c r="K9" s="321" t="s">
        <v>366</v>
      </c>
      <c r="L9" s="321" t="s">
        <v>366</v>
      </c>
      <c r="M9" s="321" t="s">
        <v>366</v>
      </c>
      <c r="N9" s="321" t="s">
        <v>366</v>
      </c>
      <c r="O9" s="321" t="s">
        <v>366</v>
      </c>
      <c r="P9" s="321" t="s">
        <v>366</v>
      </c>
      <c r="Q9" s="321" t="s">
        <v>366</v>
      </c>
      <c r="R9" s="319">
        <v>0.158334</v>
      </c>
      <c r="S9" s="104">
        <v>0.26300400000000002</v>
      </c>
      <c r="T9" s="104">
        <v>1.5580369999999999</v>
      </c>
      <c r="U9" s="412" t="s">
        <v>366</v>
      </c>
      <c r="V9" s="324" t="s">
        <v>366</v>
      </c>
      <c r="W9" s="412">
        <f>'All Insulation Data'!$AQ$5*(1+'Envelope Labor Premium'!$B$2)</f>
        <v>1.0440385120756885</v>
      </c>
      <c r="X9" s="324">
        <f>'All Insulation Data'!$AR$5*(1+'Envelope Labor Premium'!$B$2)</f>
        <v>1.2648928127070842</v>
      </c>
      <c r="Y9" s="319">
        <v>999</v>
      </c>
      <c r="Z9" t="s">
        <v>5450</v>
      </c>
      <c r="AA9" s="104" t="s">
        <v>3406</v>
      </c>
      <c r="AB9" s="104" t="s">
        <v>5404</v>
      </c>
      <c r="AC9" s="323"/>
    </row>
    <row r="10" spans="1:29" x14ac:dyDescent="0.2">
      <c r="A10" s="18" t="s">
        <v>55</v>
      </c>
      <c r="B10" t="s">
        <v>369</v>
      </c>
      <c r="C10" s="16" t="s">
        <v>364</v>
      </c>
      <c r="D10">
        <v>0.209286</v>
      </c>
      <c r="E10">
        <v>0.30105500000000002</v>
      </c>
      <c r="F10">
        <v>0.61853499999999995</v>
      </c>
      <c r="G10" s="1" t="s">
        <v>31</v>
      </c>
      <c r="H10" s="1" t="s">
        <v>365</v>
      </c>
      <c r="I10" s="1">
        <v>5.5</v>
      </c>
      <c r="J10" s="17">
        <v>42</v>
      </c>
      <c r="K10" s="1" t="s">
        <v>366</v>
      </c>
      <c r="L10" s="1" t="s">
        <v>366</v>
      </c>
      <c r="M10" s="1" t="s">
        <v>366</v>
      </c>
      <c r="N10" s="1" t="s">
        <v>366</v>
      </c>
      <c r="O10" s="1" t="s">
        <v>366</v>
      </c>
      <c r="P10" s="1" t="s">
        <v>366</v>
      </c>
      <c r="Q10" s="1" t="s">
        <v>366</v>
      </c>
      <c r="R10" s="18">
        <v>3.9999999999999998E-6</v>
      </c>
      <c r="S10">
        <v>3.1016999999999999E-2</v>
      </c>
      <c r="T10">
        <v>-3.0620000000000001E-3</v>
      </c>
      <c r="U10" s="31">
        <f>'All Insulation Data'!$AS$11</f>
        <v>1.1366795366795368</v>
      </c>
      <c r="V10" s="307">
        <f>'All Insulation Data'!$AT$11</f>
        <v>1.2849420849420852</v>
      </c>
      <c r="W10" s="31" t="s">
        <v>366</v>
      </c>
      <c r="X10" s="307" t="s">
        <v>366</v>
      </c>
      <c r="Y10" s="18">
        <v>999</v>
      </c>
      <c r="Z10" t="s">
        <v>5450</v>
      </c>
      <c r="AA10" t="s">
        <v>3406</v>
      </c>
      <c r="AB10" t="s">
        <v>5402</v>
      </c>
      <c r="AC10" s="49"/>
    </row>
    <row r="11" spans="1:29" x14ac:dyDescent="0.2">
      <c r="A11" s="18" t="s">
        <v>55</v>
      </c>
      <c r="B11" t="s">
        <v>368</v>
      </c>
      <c r="C11" s="16" t="s">
        <v>364</v>
      </c>
      <c r="D11">
        <v>0.146427</v>
      </c>
      <c r="E11">
        <v>0.27345000000000003</v>
      </c>
      <c r="F11">
        <v>0.42841000000000001</v>
      </c>
      <c r="G11" s="1" t="s">
        <v>31</v>
      </c>
      <c r="H11" s="1" t="s">
        <v>365</v>
      </c>
      <c r="I11" s="1">
        <v>3.7</v>
      </c>
      <c r="J11" s="17">
        <v>25.8</v>
      </c>
      <c r="K11" s="1" t="s">
        <v>366</v>
      </c>
      <c r="L11" s="1" t="s">
        <v>366</v>
      </c>
      <c r="M11" s="1" t="s">
        <v>366</v>
      </c>
      <c r="N11" s="1" t="s">
        <v>366</v>
      </c>
      <c r="O11" s="1" t="s">
        <v>366</v>
      </c>
      <c r="P11" s="1" t="s">
        <v>366</v>
      </c>
      <c r="Q11" s="1" t="s">
        <v>366</v>
      </c>
      <c r="R11" s="18">
        <v>0.68786899999999995</v>
      </c>
      <c r="S11">
        <v>1.360557</v>
      </c>
      <c r="T11">
        <v>3.7054010000000002</v>
      </c>
      <c r="U11" s="31">
        <f>'All Insulation Data'!$AS$12</f>
        <v>1.1366795366795368</v>
      </c>
      <c r="V11" s="307">
        <f>'All Insulation Data'!$AT$12</f>
        <v>1.2853438804658319</v>
      </c>
      <c r="W11" s="31" t="s">
        <v>366</v>
      </c>
      <c r="X11" s="307" t="s">
        <v>366</v>
      </c>
      <c r="Y11" s="18">
        <v>999</v>
      </c>
      <c r="Z11" t="s">
        <v>5450</v>
      </c>
      <c r="AA11" t="s">
        <v>3406</v>
      </c>
      <c r="AB11" t="s">
        <v>5476</v>
      </c>
      <c r="AC11" s="49"/>
    </row>
    <row r="12" spans="1:29" x14ac:dyDescent="0.2">
      <c r="A12" s="18" t="s">
        <v>54</v>
      </c>
      <c r="B12" t="s">
        <v>73</v>
      </c>
      <c r="C12" s="16" t="s">
        <v>364</v>
      </c>
      <c r="D12">
        <v>3.1667000000000001E-2</v>
      </c>
      <c r="E12">
        <v>4.1599999999999998E-2</v>
      </c>
      <c r="F12">
        <v>4.9167000000000002E-2</v>
      </c>
      <c r="G12" s="1" t="s">
        <v>31</v>
      </c>
      <c r="H12" s="1" t="s">
        <v>365</v>
      </c>
      <c r="I12" s="1">
        <v>6</v>
      </c>
      <c r="J12" s="17">
        <v>49</v>
      </c>
      <c r="K12" s="1" t="s">
        <v>366</v>
      </c>
      <c r="L12" s="1" t="s">
        <v>366</v>
      </c>
      <c r="M12" s="1" t="s">
        <v>366</v>
      </c>
      <c r="N12" s="1" t="s">
        <v>366</v>
      </c>
      <c r="O12" s="1" t="s">
        <v>366</v>
      </c>
      <c r="P12" s="1" t="s">
        <v>366</v>
      </c>
      <c r="Q12" s="1" t="s">
        <v>366</v>
      </c>
      <c r="R12" s="18">
        <v>0.158332</v>
      </c>
      <c r="S12">
        <v>0.2392</v>
      </c>
      <c r="T12">
        <v>1.5749979999999999</v>
      </c>
      <c r="U12" s="31" t="s">
        <v>366</v>
      </c>
      <c r="V12" s="307" t="s">
        <v>366</v>
      </c>
      <c r="W12" s="31">
        <f>'All Insulation Data'!$AQ$4*(1+'Envelope Labor Premium'!$B$2)</f>
        <v>0.76142451135902989</v>
      </c>
      <c r="X12" s="307">
        <f>'All Insulation Data'!$AR$4*(1+'Envelope Labor Premium'!$B$2)</f>
        <v>0.98227881199042555</v>
      </c>
      <c r="Y12" s="18">
        <v>999</v>
      </c>
      <c r="Z12" t="s">
        <v>5450</v>
      </c>
      <c r="AA12" t="s">
        <v>3406</v>
      </c>
      <c r="AB12" t="s">
        <v>5402</v>
      </c>
      <c r="AC12" s="49"/>
    </row>
    <row r="13" spans="1:29" x14ac:dyDescent="0.2">
      <c r="A13" s="18" t="s">
        <v>50</v>
      </c>
      <c r="B13" t="s">
        <v>79</v>
      </c>
      <c r="C13" s="16" t="s">
        <v>364</v>
      </c>
      <c r="D13">
        <v>6.8807999999999994E-2</v>
      </c>
      <c r="E13">
        <v>0.13142799999999999</v>
      </c>
      <c r="F13">
        <v>0.29178500000000002</v>
      </c>
      <c r="G13" s="1" t="s">
        <v>31</v>
      </c>
      <c r="H13" s="1" t="s">
        <v>365</v>
      </c>
      <c r="I13" s="1">
        <v>1.44</v>
      </c>
      <c r="J13" s="17">
        <v>10</v>
      </c>
      <c r="K13" s="1" t="s">
        <v>366</v>
      </c>
      <c r="L13" s="1" t="s">
        <v>366</v>
      </c>
      <c r="M13" s="1" t="s">
        <v>366</v>
      </c>
      <c r="N13" s="1" t="s">
        <v>366</v>
      </c>
      <c r="O13" s="1" t="s">
        <v>366</v>
      </c>
      <c r="P13" s="1" t="s">
        <v>366</v>
      </c>
      <c r="Q13" s="1" t="s">
        <v>366</v>
      </c>
      <c r="R13" s="18">
        <v>0.13047400000000001</v>
      </c>
      <c r="S13">
        <v>7.2905999999999999E-2</v>
      </c>
      <c r="T13">
        <v>4.2856999999999999E-2</v>
      </c>
      <c r="U13" s="31" t="s">
        <v>366</v>
      </c>
      <c r="V13" s="307" t="s">
        <v>366</v>
      </c>
      <c r="W13" s="31">
        <f>'All Insulation Data'!$AQ$10</f>
        <v>0.45500000000000002</v>
      </c>
      <c r="X13" s="307">
        <f>'All Insulation Data'!$AR$10+0.39</f>
        <v>0.91500000000000004</v>
      </c>
      <c r="Y13" s="18">
        <v>999</v>
      </c>
      <c r="Z13" s="104" t="s">
        <v>5329</v>
      </c>
      <c r="AA13" t="s">
        <v>3406</v>
      </c>
      <c r="AB13" t="s">
        <v>5405</v>
      </c>
      <c r="AC13" s="49" t="s">
        <v>5449</v>
      </c>
    </row>
    <row r="14" spans="1:29" x14ac:dyDescent="0.2">
      <c r="A14" s="18" t="s">
        <v>18</v>
      </c>
      <c r="B14" t="s">
        <v>79</v>
      </c>
      <c r="C14" s="16" t="s">
        <v>364</v>
      </c>
      <c r="D14">
        <v>6.8807999999999994E-2</v>
      </c>
      <c r="E14">
        <v>0.13142799999999999</v>
      </c>
      <c r="F14">
        <v>0.29178500000000002</v>
      </c>
      <c r="G14" s="1" t="s">
        <v>31</v>
      </c>
      <c r="H14" s="1" t="s">
        <v>365</v>
      </c>
      <c r="I14" s="1">
        <v>1.44</v>
      </c>
      <c r="J14" s="17">
        <v>10</v>
      </c>
      <c r="K14" s="1" t="s">
        <v>366</v>
      </c>
      <c r="L14" s="1" t="s">
        <v>366</v>
      </c>
      <c r="M14" s="1" t="s">
        <v>366</v>
      </c>
      <c r="N14" s="1" t="s">
        <v>366</v>
      </c>
      <c r="O14" s="1" t="s">
        <v>366</v>
      </c>
      <c r="P14" s="1" t="s">
        <v>366</v>
      </c>
      <c r="Q14" s="1" t="s">
        <v>366</v>
      </c>
      <c r="R14" s="18">
        <v>0.13047400000000001</v>
      </c>
      <c r="S14">
        <v>7.2905999999999999E-2</v>
      </c>
      <c r="T14">
        <v>4.2856999999999999E-2</v>
      </c>
      <c r="U14" s="31" t="s">
        <v>366</v>
      </c>
      <c r="V14" s="307" t="s">
        <v>366</v>
      </c>
      <c r="W14" s="31">
        <f>'All Insulation Data'!$AQ$10</f>
        <v>0.45500000000000002</v>
      </c>
      <c r="X14" s="307">
        <f>'All Insulation Data'!$AR$10</f>
        <v>0.52500000000000002</v>
      </c>
      <c r="Y14" s="18">
        <v>999</v>
      </c>
      <c r="Z14" s="104" t="s">
        <v>5329</v>
      </c>
      <c r="AA14" t="s">
        <v>3406</v>
      </c>
      <c r="AB14" t="s">
        <v>5405</v>
      </c>
      <c r="AC14" s="49"/>
    </row>
    <row r="15" spans="1:29" x14ac:dyDescent="0.2">
      <c r="A15" s="18" t="s">
        <v>54</v>
      </c>
      <c r="B15" t="s">
        <v>78</v>
      </c>
      <c r="C15" s="16" t="s">
        <v>364</v>
      </c>
      <c r="D15">
        <v>0.12371699999999999</v>
      </c>
      <c r="E15">
        <v>0.17549999999999999</v>
      </c>
      <c r="F15">
        <v>0.22850000000000001</v>
      </c>
      <c r="G15" s="1" t="s">
        <v>31</v>
      </c>
      <c r="H15" s="1" t="s">
        <v>365</v>
      </c>
      <c r="I15" s="1">
        <v>1</v>
      </c>
      <c r="J15" s="17">
        <v>20</v>
      </c>
      <c r="K15" s="1" t="s">
        <v>366</v>
      </c>
      <c r="L15" s="1" t="s">
        <v>366</v>
      </c>
      <c r="M15" s="1" t="s">
        <v>366</v>
      </c>
      <c r="N15" s="1" t="s">
        <v>366</v>
      </c>
      <c r="O15" s="1" t="s">
        <v>366</v>
      </c>
      <c r="P15" s="1" t="s">
        <v>366</v>
      </c>
      <c r="Q15" s="1" t="s">
        <v>366</v>
      </c>
      <c r="R15" s="18">
        <v>6.5725000000000006E-2</v>
      </c>
      <c r="S15">
        <v>0.10125199999999999</v>
      </c>
      <c r="T15">
        <v>2.7075</v>
      </c>
      <c r="U15" s="31" t="s">
        <v>366</v>
      </c>
      <c r="V15" s="307" t="s">
        <v>366</v>
      </c>
      <c r="W15" s="31">
        <f>'All Insulation Data'!$AQ$9*(1+'Envelope Labor Premium'!$B$2)</f>
        <v>0.59111003992520594</v>
      </c>
      <c r="X15" s="307">
        <f>'All Insulation Data'!$AR$9*(1+'Envelope Labor Premium'!$B$2)</f>
        <v>0.68205004606754538</v>
      </c>
      <c r="Y15" s="18">
        <v>999</v>
      </c>
      <c r="Z15" t="s">
        <v>5450</v>
      </c>
      <c r="AA15" t="s">
        <v>3406</v>
      </c>
      <c r="AB15" t="s">
        <v>5404</v>
      </c>
      <c r="AC15" s="49"/>
    </row>
    <row r="16" spans="1:29" x14ac:dyDescent="0.2">
      <c r="A16" s="18" t="s">
        <v>54</v>
      </c>
      <c r="B16" t="s">
        <v>369</v>
      </c>
      <c r="C16" s="16" t="s">
        <v>364</v>
      </c>
      <c r="D16">
        <v>0.209286</v>
      </c>
      <c r="E16">
        <v>0.30105500000000002</v>
      </c>
      <c r="F16">
        <v>0.61853499999999995</v>
      </c>
      <c r="G16" s="1" t="s">
        <v>31</v>
      </c>
      <c r="H16" s="1" t="s">
        <v>365</v>
      </c>
      <c r="I16" s="1">
        <v>5.5</v>
      </c>
      <c r="J16" s="17">
        <v>42</v>
      </c>
      <c r="K16" s="1" t="s">
        <v>366</v>
      </c>
      <c r="L16" s="1" t="s">
        <v>366</v>
      </c>
      <c r="M16" s="1" t="s">
        <v>366</v>
      </c>
      <c r="N16" s="1" t="s">
        <v>366</v>
      </c>
      <c r="O16" s="1" t="s">
        <v>366</v>
      </c>
      <c r="P16" s="1" t="s">
        <v>366</v>
      </c>
      <c r="Q16" s="1" t="s">
        <v>366</v>
      </c>
      <c r="R16" s="18">
        <v>3.9999999999999998E-6</v>
      </c>
      <c r="S16">
        <v>3.1016999999999999E-2</v>
      </c>
      <c r="T16">
        <v>-3.0620000000000001E-3</v>
      </c>
      <c r="U16" s="31">
        <f>'All Insulation Data'!$AS$11</f>
        <v>1.1366795366795368</v>
      </c>
      <c r="V16" s="307">
        <f>'All Insulation Data'!$AT$11</f>
        <v>1.2849420849420852</v>
      </c>
      <c r="W16" s="31" t="s">
        <v>366</v>
      </c>
      <c r="X16" s="307" t="s">
        <v>366</v>
      </c>
      <c r="Y16" s="18">
        <v>999</v>
      </c>
      <c r="Z16" t="s">
        <v>5450</v>
      </c>
      <c r="AA16" t="s">
        <v>3406</v>
      </c>
      <c r="AB16" t="s">
        <v>5402</v>
      </c>
      <c r="AC16" s="49"/>
    </row>
    <row r="17" spans="1:29" x14ac:dyDescent="0.2">
      <c r="A17" s="18" t="s">
        <v>54</v>
      </c>
      <c r="B17" t="s">
        <v>368</v>
      </c>
      <c r="C17" s="16" t="s">
        <v>364</v>
      </c>
      <c r="D17">
        <v>0.146427</v>
      </c>
      <c r="E17">
        <v>0.27345000000000003</v>
      </c>
      <c r="F17">
        <v>0.42841000000000001</v>
      </c>
      <c r="G17" s="1" t="s">
        <v>31</v>
      </c>
      <c r="H17" s="1" t="s">
        <v>365</v>
      </c>
      <c r="I17" s="1">
        <v>3.7</v>
      </c>
      <c r="J17" s="17">
        <v>25.8</v>
      </c>
      <c r="K17" s="1" t="s">
        <v>366</v>
      </c>
      <c r="L17" s="1" t="s">
        <v>366</v>
      </c>
      <c r="M17" s="1" t="s">
        <v>366</v>
      </c>
      <c r="N17" s="1" t="s">
        <v>366</v>
      </c>
      <c r="O17" s="1" t="s">
        <v>366</v>
      </c>
      <c r="P17" s="1" t="s">
        <v>366</v>
      </c>
      <c r="Q17" s="1" t="s">
        <v>366</v>
      </c>
      <c r="R17" s="18">
        <v>0.68786899999999995</v>
      </c>
      <c r="S17">
        <v>1.360557</v>
      </c>
      <c r="T17">
        <v>3.7054010000000002</v>
      </c>
      <c r="U17" s="31">
        <f>'All Insulation Data'!$AS$12</f>
        <v>1.1366795366795368</v>
      </c>
      <c r="V17" s="307">
        <f>'All Insulation Data'!$AT$12</f>
        <v>1.2853438804658319</v>
      </c>
      <c r="W17" s="31" t="s">
        <v>366</v>
      </c>
      <c r="X17" s="307" t="s">
        <v>366</v>
      </c>
      <c r="Y17" s="18">
        <v>999</v>
      </c>
      <c r="Z17" t="s">
        <v>5450</v>
      </c>
      <c r="AA17" t="s">
        <v>3406</v>
      </c>
      <c r="AB17" t="s">
        <v>5476</v>
      </c>
      <c r="AC17" s="49"/>
    </row>
    <row r="18" spans="1:29" x14ac:dyDescent="0.2">
      <c r="A18" s="18" t="s">
        <v>51</v>
      </c>
      <c r="B18" t="s">
        <v>76</v>
      </c>
      <c r="C18" s="16" t="s">
        <v>364</v>
      </c>
      <c r="D18">
        <v>8.6960000000000006E-3</v>
      </c>
      <c r="E18">
        <v>1.7857000000000001E-2</v>
      </c>
      <c r="F18">
        <v>1.1494000000000001E-2</v>
      </c>
      <c r="G18" s="1" t="s">
        <v>31</v>
      </c>
      <c r="H18" s="1" t="s">
        <v>365</v>
      </c>
      <c r="I18" s="1">
        <v>2.78</v>
      </c>
      <c r="J18" s="17">
        <v>49</v>
      </c>
      <c r="K18" s="1" t="s">
        <v>366</v>
      </c>
      <c r="L18" s="1" t="s">
        <v>366</v>
      </c>
      <c r="M18" s="1" t="s">
        <v>366</v>
      </c>
      <c r="N18" s="1" t="s">
        <v>366</v>
      </c>
      <c r="O18" s="1" t="s">
        <v>366</v>
      </c>
      <c r="P18" s="1" t="s">
        <v>366</v>
      </c>
      <c r="Q18" s="1" t="s">
        <v>366</v>
      </c>
      <c r="R18" s="18">
        <v>0.13695599999999999</v>
      </c>
      <c r="S18">
        <v>0.135715</v>
      </c>
      <c r="T18">
        <v>0.61674600000000002</v>
      </c>
      <c r="U18" s="412">
        <v>1.7148913619501853</v>
      </c>
      <c r="V18" s="324">
        <v>1.8060413354531</v>
      </c>
      <c r="W18" s="31" t="s">
        <v>366</v>
      </c>
      <c r="X18" s="307" t="s">
        <v>366</v>
      </c>
      <c r="Y18" s="18">
        <v>999</v>
      </c>
      <c r="Z18" s="104" t="s">
        <v>5329</v>
      </c>
      <c r="AA18" t="s">
        <v>3406</v>
      </c>
      <c r="AB18" t="s">
        <v>5404</v>
      </c>
      <c r="AC18" s="49"/>
    </row>
    <row r="19" spans="1:29" x14ac:dyDescent="0.2">
      <c r="A19" s="18" t="s">
        <v>11</v>
      </c>
      <c r="B19" t="s">
        <v>369</v>
      </c>
      <c r="C19" s="16" t="s">
        <v>364</v>
      </c>
      <c r="D19">
        <v>0.209286</v>
      </c>
      <c r="E19">
        <v>0.30105500000000002</v>
      </c>
      <c r="F19">
        <v>0.61853499999999995</v>
      </c>
      <c r="G19" s="1" t="s">
        <v>31</v>
      </c>
      <c r="H19" s="1" t="s">
        <v>365</v>
      </c>
      <c r="I19" s="1">
        <v>5.5</v>
      </c>
      <c r="J19" s="17">
        <v>42</v>
      </c>
      <c r="K19" s="1" t="s">
        <v>366</v>
      </c>
      <c r="L19" s="1" t="s">
        <v>366</v>
      </c>
      <c r="M19" s="1" t="s">
        <v>366</v>
      </c>
      <c r="N19" s="1" t="s">
        <v>366</v>
      </c>
      <c r="O19" s="1" t="s">
        <v>366</v>
      </c>
      <c r="P19" s="1" t="s">
        <v>366</v>
      </c>
      <c r="Q19" s="1" t="s">
        <v>366</v>
      </c>
      <c r="R19" s="18">
        <v>3.9999999999999998E-6</v>
      </c>
      <c r="S19">
        <v>3.1016999999999999E-2</v>
      </c>
      <c r="T19">
        <v>-3.0620000000000001E-3</v>
      </c>
      <c r="U19" s="31">
        <f>'All Insulation Data'!$AS$11</f>
        <v>1.1366795366795368</v>
      </c>
      <c r="V19" s="307">
        <f>'All Insulation Data'!$AT$11</f>
        <v>1.2849420849420852</v>
      </c>
      <c r="W19" s="31" t="s">
        <v>366</v>
      </c>
      <c r="X19" s="307" t="s">
        <v>366</v>
      </c>
      <c r="Y19" s="18">
        <v>999</v>
      </c>
      <c r="Z19" s="104" t="s">
        <v>5329</v>
      </c>
      <c r="AA19" t="s">
        <v>3406</v>
      </c>
      <c r="AB19" t="s">
        <v>5402</v>
      </c>
      <c r="AC19" s="49"/>
    </row>
    <row r="20" spans="1:29" x14ac:dyDescent="0.2">
      <c r="A20" s="18" t="s">
        <v>11</v>
      </c>
      <c r="B20" t="s">
        <v>368</v>
      </c>
      <c r="C20" s="16" t="s">
        <v>364</v>
      </c>
      <c r="D20">
        <v>0.146427</v>
      </c>
      <c r="E20">
        <v>0.27345000000000003</v>
      </c>
      <c r="F20">
        <v>0.42841000000000001</v>
      </c>
      <c r="G20" s="1" t="s">
        <v>31</v>
      </c>
      <c r="H20" s="1" t="s">
        <v>365</v>
      </c>
      <c r="I20" s="1">
        <v>3.7</v>
      </c>
      <c r="J20" s="17">
        <v>25.8</v>
      </c>
      <c r="K20" s="1" t="s">
        <v>366</v>
      </c>
      <c r="L20" s="1" t="s">
        <v>366</v>
      </c>
      <c r="M20" s="1" t="s">
        <v>366</v>
      </c>
      <c r="N20" s="1" t="s">
        <v>366</v>
      </c>
      <c r="O20" s="1" t="s">
        <v>366</v>
      </c>
      <c r="P20" s="1" t="s">
        <v>366</v>
      </c>
      <c r="Q20" s="1" t="s">
        <v>366</v>
      </c>
      <c r="R20" s="18">
        <v>0.10636900000000001</v>
      </c>
      <c r="S20">
        <v>-5.6141999999999997E-2</v>
      </c>
      <c r="T20">
        <v>-0.192549</v>
      </c>
      <c r="U20" s="31">
        <f>'All Insulation Data'!$AS$12</f>
        <v>1.1366795366795368</v>
      </c>
      <c r="V20" s="307">
        <f>'All Insulation Data'!$AT$12</f>
        <v>1.2853438804658319</v>
      </c>
      <c r="W20" s="31" t="s">
        <v>366</v>
      </c>
      <c r="X20" s="307" t="s">
        <v>366</v>
      </c>
      <c r="Y20" s="18">
        <v>999</v>
      </c>
      <c r="Z20" s="104" t="s">
        <v>5329</v>
      </c>
      <c r="AA20" t="s">
        <v>3406</v>
      </c>
      <c r="AB20" t="s">
        <v>5476</v>
      </c>
      <c r="AC20" s="49"/>
    </row>
    <row r="21" spans="1:29" s="104" customFormat="1" x14ac:dyDescent="0.2">
      <c r="A21" s="319" t="s">
        <v>51</v>
      </c>
      <c r="B21" s="104" t="s">
        <v>73</v>
      </c>
      <c r="C21" s="320" t="s">
        <v>364</v>
      </c>
      <c r="D21" s="104">
        <v>3.1667000000000001E-2</v>
      </c>
      <c r="E21" s="104">
        <v>4.2999999999999997E-2</v>
      </c>
      <c r="F21" s="104">
        <v>5.1999999999999998E-2</v>
      </c>
      <c r="G21" s="321" t="s">
        <v>31</v>
      </c>
      <c r="H21" s="321" t="s">
        <v>365</v>
      </c>
      <c r="I21" s="321">
        <v>6</v>
      </c>
      <c r="J21" s="322">
        <v>49</v>
      </c>
      <c r="K21" s="321" t="s">
        <v>366</v>
      </c>
      <c r="L21" s="321" t="s">
        <v>366</v>
      </c>
      <c r="M21" s="321" t="s">
        <v>366</v>
      </c>
      <c r="N21" s="321" t="s">
        <v>366</v>
      </c>
      <c r="O21" s="321" t="s">
        <v>366</v>
      </c>
      <c r="P21" s="321" t="s">
        <v>366</v>
      </c>
      <c r="Q21" s="321" t="s">
        <v>366</v>
      </c>
      <c r="R21" s="319">
        <v>0.158334</v>
      </c>
      <c r="S21" s="104">
        <v>0.26300400000000002</v>
      </c>
      <c r="T21" s="104">
        <v>1.5580369999999999</v>
      </c>
      <c r="U21" s="31" t="s">
        <v>366</v>
      </c>
      <c r="V21" s="307" t="s">
        <v>366</v>
      </c>
      <c r="W21" s="412">
        <f>'All Insulation Data'!$AQ$5</f>
        <v>0.8036363636363637</v>
      </c>
      <c r="X21" s="324">
        <f>'All Insulation Data'!$AR$5+0.39</f>
        <v>1.3636363636363638</v>
      </c>
      <c r="Y21" s="319">
        <v>999</v>
      </c>
      <c r="Z21" s="104" t="s">
        <v>5329</v>
      </c>
      <c r="AA21" s="104" t="s">
        <v>3406</v>
      </c>
      <c r="AB21" s="104" t="s">
        <v>5404</v>
      </c>
      <c r="AC21" s="49" t="s">
        <v>5449</v>
      </c>
    </row>
    <row r="22" spans="1:29" x14ac:dyDescent="0.2">
      <c r="A22" s="18" t="s">
        <v>15</v>
      </c>
      <c r="B22" t="s">
        <v>76</v>
      </c>
      <c r="C22" s="16" t="s">
        <v>364</v>
      </c>
      <c r="D22">
        <v>8.6960000000000006E-3</v>
      </c>
      <c r="E22">
        <v>1.7857000000000001E-2</v>
      </c>
      <c r="F22">
        <v>1.1494000000000001E-2</v>
      </c>
      <c r="G22" s="1" t="s">
        <v>31</v>
      </c>
      <c r="H22" s="1" t="s">
        <v>365</v>
      </c>
      <c r="I22" s="1">
        <v>2.78</v>
      </c>
      <c r="J22" s="17">
        <v>49</v>
      </c>
      <c r="K22" s="1" t="s">
        <v>366</v>
      </c>
      <c r="L22" s="1" t="s">
        <v>366</v>
      </c>
      <c r="M22" s="1" t="s">
        <v>366</v>
      </c>
      <c r="N22" s="1" t="s">
        <v>366</v>
      </c>
      <c r="O22" s="1" t="s">
        <v>366</v>
      </c>
      <c r="P22" s="1" t="s">
        <v>366</v>
      </c>
      <c r="Q22" s="1" t="s">
        <v>366</v>
      </c>
      <c r="R22" s="18">
        <v>0.13695599999999999</v>
      </c>
      <c r="S22">
        <v>0.135715</v>
      </c>
      <c r="T22">
        <v>0.61674600000000002</v>
      </c>
      <c r="U22" s="31">
        <v>1.71</v>
      </c>
      <c r="V22" s="307">
        <v>1.81</v>
      </c>
      <c r="W22" s="31" t="s">
        <v>366</v>
      </c>
      <c r="X22" s="307" t="s">
        <v>366</v>
      </c>
      <c r="Y22" s="18">
        <v>999</v>
      </c>
      <c r="Z22" t="s">
        <v>5327</v>
      </c>
      <c r="AA22" t="s">
        <v>3406</v>
      </c>
      <c r="AB22" t="s">
        <v>5404</v>
      </c>
      <c r="AC22" s="49"/>
    </row>
    <row r="23" spans="1:29" x14ac:dyDescent="0.2">
      <c r="A23" s="18" t="s">
        <v>51</v>
      </c>
      <c r="B23" t="s">
        <v>369</v>
      </c>
      <c r="C23" s="16" t="s">
        <v>364</v>
      </c>
      <c r="D23">
        <v>0.209286</v>
      </c>
      <c r="E23">
        <v>0.30105500000000002</v>
      </c>
      <c r="F23">
        <v>0.61853499999999995</v>
      </c>
      <c r="G23" s="1" t="s">
        <v>31</v>
      </c>
      <c r="H23" s="1" t="s">
        <v>365</v>
      </c>
      <c r="I23" s="1">
        <v>5.5</v>
      </c>
      <c r="J23" s="17">
        <v>42</v>
      </c>
      <c r="K23" s="1" t="s">
        <v>366</v>
      </c>
      <c r="L23" s="1" t="s">
        <v>366</v>
      </c>
      <c r="M23" s="1" t="s">
        <v>366</v>
      </c>
      <c r="N23" s="1" t="s">
        <v>366</v>
      </c>
      <c r="O23" s="1" t="s">
        <v>366</v>
      </c>
      <c r="P23" s="1" t="s">
        <v>366</v>
      </c>
      <c r="Q23" s="1" t="s">
        <v>366</v>
      </c>
      <c r="R23" s="18">
        <v>3.9999999999999998E-6</v>
      </c>
      <c r="S23">
        <v>3.1016999999999999E-2</v>
      </c>
      <c r="T23">
        <v>-3.0620000000000001E-3</v>
      </c>
      <c r="U23" s="31">
        <f>'All Insulation Data'!$AS$11</f>
        <v>1.1366795366795368</v>
      </c>
      <c r="V23" s="307">
        <f>'All Insulation Data'!$AT$11</f>
        <v>1.2849420849420852</v>
      </c>
      <c r="W23" s="31" t="s">
        <v>366</v>
      </c>
      <c r="X23" s="307" t="s">
        <v>366</v>
      </c>
      <c r="Y23" s="18">
        <v>999</v>
      </c>
      <c r="Z23" s="104" t="s">
        <v>5329</v>
      </c>
      <c r="AA23" t="s">
        <v>3406</v>
      </c>
      <c r="AB23" t="s">
        <v>5402</v>
      </c>
      <c r="AC23" s="49"/>
    </row>
    <row r="24" spans="1:29" x14ac:dyDescent="0.2">
      <c r="A24" s="18" t="s">
        <v>51</v>
      </c>
      <c r="B24" t="s">
        <v>368</v>
      </c>
      <c r="C24" s="16" t="s">
        <v>364</v>
      </c>
      <c r="D24">
        <v>0.146427</v>
      </c>
      <c r="E24">
        <v>0.27345000000000003</v>
      </c>
      <c r="F24">
        <v>0.42841000000000001</v>
      </c>
      <c r="G24" s="1" t="s">
        <v>31</v>
      </c>
      <c r="H24" s="1" t="s">
        <v>365</v>
      </c>
      <c r="I24" s="1">
        <v>3.7</v>
      </c>
      <c r="J24" s="17">
        <v>25.8</v>
      </c>
      <c r="K24" s="1" t="s">
        <v>366</v>
      </c>
      <c r="L24" s="1" t="s">
        <v>366</v>
      </c>
      <c r="M24" s="1" t="s">
        <v>366</v>
      </c>
      <c r="N24" s="1" t="s">
        <v>366</v>
      </c>
      <c r="O24" s="1" t="s">
        <v>366</v>
      </c>
      <c r="P24" s="1" t="s">
        <v>366</v>
      </c>
      <c r="Q24" s="1" t="s">
        <v>366</v>
      </c>
      <c r="R24" s="18">
        <v>0.13695599999999999</v>
      </c>
      <c r="S24">
        <v>0.135715</v>
      </c>
      <c r="T24">
        <v>0.61674600000000002</v>
      </c>
      <c r="U24" s="31">
        <f>'All Insulation Data'!$AS$12</f>
        <v>1.1366795366795368</v>
      </c>
      <c r="V24" s="307">
        <f>'All Insulation Data'!$AT$12</f>
        <v>1.2853438804658319</v>
      </c>
      <c r="W24" s="31" t="s">
        <v>366</v>
      </c>
      <c r="X24" s="307" t="s">
        <v>366</v>
      </c>
      <c r="Y24" s="18">
        <v>999</v>
      </c>
      <c r="Z24" s="104" t="s">
        <v>5329</v>
      </c>
      <c r="AA24" t="s">
        <v>3406</v>
      </c>
      <c r="AB24" t="s">
        <v>5476</v>
      </c>
      <c r="AC24" s="49"/>
    </row>
    <row r="25" spans="1:29" x14ac:dyDescent="0.2">
      <c r="A25" s="18" t="s">
        <v>50</v>
      </c>
      <c r="B25" t="s">
        <v>73</v>
      </c>
      <c r="C25" s="16" t="s">
        <v>364</v>
      </c>
      <c r="D25">
        <v>3.1667000000000001E-2</v>
      </c>
      <c r="E25">
        <v>4.1599999999999998E-2</v>
      </c>
      <c r="F25">
        <v>4.9167000000000002E-2</v>
      </c>
      <c r="G25" s="1" t="s">
        <v>31</v>
      </c>
      <c r="H25" s="1" t="s">
        <v>365</v>
      </c>
      <c r="I25" s="1">
        <v>6</v>
      </c>
      <c r="J25" s="17">
        <v>49</v>
      </c>
      <c r="K25" s="1" t="s">
        <v>366</v>
      </c>
      <c r="L25" s="1" t="s">
        <v>366</v>
      </c>
      <c r="M25" s="1" t="s">
        <v>366</v>
      </c>
      <c r="N25" s="1" t="s">
        <v>366</v>
      </c>
      <c r="O25" s="1" t="s">
        <v>366</v>
      </c>
      <c r="P25" s="1" t="s">
        <v>366</v>
      </c>
      <c r="Q25" s="1" t="s">
        <v>366</v>
      </c>
      <c r="R25" s="18">
        <v>0.158332</v>
      </c>
      <c r="S25">
        <v>0.2392</v>
      </c>
      <c r="T25">
        <v>1.5749979999999999</v>
      </c>
      <c r="U25" s="31" t="s">
        <v>366</v>
      </c>
      <c r="V25" s="307" t="s">
        <v>366</v>
      </c>
      <c r="W25" s="31">
        <f>'All Insulation Data'!$AQ$4</f>
        <v>0.58609756097560994</v>
      </c>
      <c r="X25" s="307">
        <f>'All Insulation Data'!$AR$4+0.39</f>
        <v>1.1460975609756101</v>
      </c>
      <c r="Y25" s="18">
        <v>999</v>
      </c>
      <c r="Z25" s="104" t="s">
        <v>5329</v>
      </c>
      <c r="AA25" t="s">
        <v>3406</v>
      </c>
      <c r="AB25" t="s">
        <v>5402</v>
      </c>
      <c r="AC25" s="49" t="s">
        <v>5449</v>
      </c>
    </row>
    <row r="26" spans="1:29" x14ac:dyDescent="0.2">
      <c r="A26" s="18" t="s">
        <v>53</v>
      </c>
      <c r="B26" t="s">
        <v>76</v>
      </c>
      <c r="C26" s="16" t="s">
        <v>364</v>
      </c>
      <c r="D26">
        <v>8.6960000000000006E-3</v>
      </c>
      <c r="E26">
        <v>1.7857000000000001E-2</v>
      </c>
      <c r="F26">
        <v>1.1494000000000001E-2</v>
      </c>
      <c r="G26" s="1" t="s">
        <v>31</v>
      </c>
      <c r="H26" s="1" t="s">
        <v>365</v>
      </c>
      <c r="I26" s="1">
        <v>2.78</v>
      </c>
      <c r="J26" s="17">
        <v>49</v>
      </c>
      <c r="K26" s="1" t="s">
        <v>366</v>
      </c>
      <c r="L26" s="1" t="s">
        <v>366</v>
      </c>
      <c r="M26" s="1" t="s">
        <v>366</v>
      </c>
      <c r="N26" s="1" t="s">
        <v>366</v>
      </c>
      <c r="O26" s="1" t="s">
        <v>366</v>
      </c>
      <c r="P26" s="1" t="s">
        <v>366</v>
      </c>
      <c r="Q26" s="1" t="s">
        <v>366</v>
      </c>
      <c r="R26" s="18">
        <v>0.13695599999999999</v>
      </c>
      <c r="S26">
        <v>0.135715</v>
      </c>
      <c r="T26">
        <v>0.61674600000000002</v>
      </c>
      <c r="U26" s="31">
        <v>1.71</v>
      </c>
      <c r="V26" s="307">
        <v>1.81</v>
      </c>
      <c r="W26" s="31" t="s">
        <v>366</v>
      </c>
      <c r="X26" s="307" t="s">
        <v>366</v>
      </c>
      <c r="Y26" s="18">
        <v>999</v>
      </c>
      <c r="Z26" t="s">
        <v>5328</v>
      </c>
      <c r="AA26" t="s">
        <v>3406</v>
      </c>
      <c r="AB26" t="s">
        <v>5404</v>
      </c>
      <c r="AC26" s="49"/>
    </row>
    <row r="27" spans="1:29" x14ac:dyDescent="0.2">
      <c r="A27" s="18" t="s">
        <v>17</v>
      </c>
      <c r="B27" t="s">
        <v>79</v>
      </c>
      <c r="C27" s="16" t="s">
        <v>364</v>
      </c>
      <c r="D27">
        <v>6.8807999999999994E-2</v>
      </c>
      <c r="E27">
        <v>0.13142799999999999</v>
      </c>
      <c r="F27">
        <v>0.29178500000000002</v>
      </c>
      <c r="G27" s="1" t="s">
        <v>31</v>
      </c>
      <c r="H27" s="1" t="s">
        <v>365</v>
      </c>
      <c r="I27" s="1">
        <v>1.44</v>
      </c>
      <c r="J27" s="17">
        <v>10</v>
      </c>
      <c r="K27" s="1" t="s">
        <v>366</v>
      </c>
      <c r="L27" s="1" t="s">
        <v>366</v>
      </c>
      <c r="M27" s="1" t="s">
        <v>366</v>
      </c>
      <c r="N27" s="1" t="s">
        <v>366</v>
      </c>
      <c r="O27" s="1" t="s">
        <v>366</v>
      </c>
      <c r="P27" s="1" t="s">
        <v>366</v>
      </c>
      <c r="Q27" s="1" t="s">
        <v>366</v>
      </c>
      <c r="R27" s="18">
        <v>0.13047400000000001</v>
      </c>
      <c r="S27">
        <v>7.2905999999999999E-2</v>
      </c>
      <c r="T27">
        <v>4.2856999999999999E-2</v>
      </c>
      <c r="U27" s="31" t="s">
        <v>366</v>
      </c>
      <c r="V27" s="307" t="s">
        <v>366</v>
      </c>
      <c r="W27" s="31">
        <f>'All Insulation Data'!$AQ$10</f>
        <v>0.45500000000000002</v>
      </c>
      <c r="X27" s="307">
        <f>'All Insulation Data'!$AR$10</f>
        <v>0.52500000000000002</v>
      </c>
      <c r="Y27" s="18">
        <v>999</v>
      </c>
      <c r="Z27" t="s">
        <v>5451</v>
      </c>
      <c r="AA27" t="s">
        <v>3406</v>
      </c>
      <c r="AB27" t="s">
        <v>5405</v>
      </c>
      <c r="AC27" s="49"/>
    </row>
    <row r="28" spans="1:29" x14ac:dyDescent="0.2">
      <c r="A28" s="18" t="s">
        <v>48</v>
      </c>
      <c r="B28" t="s">
        <v>79</v>
      </c>
      <c r="C28" s="16" t="s">
        <v>364</v>
      </c>
      <c r="D28">
        <v>6.8807999999999994E-2</v>
      </c>
      <c r="E28">
        <v>0.13142799999999999</v>
      </c>
      <c r="F28">
        <v>0.29178500000000002</v>
      </c>
      <c r="G28" s="1" t="s">
        <v>31</v>
      </c>
      <c r="H28" s="1" t="s">
        <v>365</v>
      </c>
      <c r="I28" s="1">
        <v>1.44</v>
      </c>
      <c r="J28" s="17">
        <v>10</v>
      </c>
      <c r="K28" s="1" t="s">
        <v>366</v>
      </c>
      <c r="L28" s="1" t="s">
        <v>366</v>
      </c>
      <c r="M28" s="1" t="s">
        <v>366</v>
      </c>
      <c r="N28" s="1" t="s">
        <v>366</v>
      </c>
      <c r="O28" s="1" t="s">
        <v>366</v>
      </c>
      <c r="P28" s="1" t="s">
        <v>366</v>
      </c>
      <c r="Q28" s="1" t="s">
        <v>366</v>
      </c>
      <c r="R28" s="18">
        <v>0.13047400000000001</v>
      </c>
      <c r="S28">
        <v>7.2905999999999999E-2</v>
      </c>
      <c r="T28">
        <v>4.2856999999999999E-2</v>
      </c>
      <c r="U28" s="31" t="s">
        <v>366</v>
      </c>
      <c r="V28" s="307" t="s">
        <v>366</v>
      </c>
      <c r="W28" s="31">
        <f>'All Insulation Data'!$AQ$10</f>
        <v>0.45500000000000002</v>
      </c>
      <c r="X28" s="307">
        <f>'All Insulation Data'!$AR$10</f>
        <v>0.52500000000000002</v>
      </c>
      <c r="Y28" s="18">
        <v>999</v>
      </c>
      <c r="Z28" s="104" t="s">
        <v>5329</v>
      </c>
      <c r="AA28" t="s">
        <v>3406</v>
      </c>
      <c r="AB28" t="s">
        <v>5405</v>
      </c>
      <c r="AC28" s="49"/>
    </row>
    <row r="29" spans="1:29" x14ac:dyDescent="0.2">
      <c r="A29" s="18" t="s">
        <v>50</v>
      </c>
      <c r="B29" t="s">
        <v>78</v>
      </c>
      <c r="C29" s="16" t="s">
        <v>364</v>
      </c>
      <c r="D29">
        <v>0.12371699999999999</v>
      </c>
      <c r="E29">
        <v>0.17549999999999999</v>
      </c>
      <c r="F29">
        <v>0.22850000000000001</v>
      </c>
      <c r="G29" s="1" t="s">
        <v>31</v>
      </c>
      <c r="H29" s="1" t="s">
        <v>365</v>
      </c>
      <c r="I29" s="1">
        <v>1</v>
      </c>
      <c r="J29" s="17">
        <v>20</v>
      </c>
      <c r="K29" s="1" t="s">
        <v>366</v>
      </c>
      <c r="L29" s="1" t="s">
        <v>366</v>
      </c>
      <c r="M29" s="1" t="s">
        <v>366</v>
      </c>
      <c r="N29" s="1" t="s">
        <v>366</v>
      </c>
      <c r="O29" s="1" t="s">
        <v>366</v>
      </c>
      <c r="P29" s="1" t="s">
        <v>366</v>
      </c>
      <c r="Q29" s="1" t="s">
        <v>366</v>
      </c>
      <c r="R29" s="18">
        <v>6.5725000000000006E-2</v>
      </c>
      <c r="S29">
        <v>0.10125199999999999</v>
      </c>
      <c r="T29">
        <v>2.7075</v>
      </c>
      <c r="U29" s="31" t="s">
        <v>366</v>
      </c>
      <c r="V29" s="307" t="s">
        <v>366</v>
      </c>
      <c r="W29" s="31">
        <f>'All Insulation Data'!$AQ$9</f>
        <v>0.45500000000000002</v>
      </c>
      <c r="X29" s="307">
        <f>'All Insulation Data'!$AR$9+0.39</f>
        <v>0.91500000000000004</v>
      </c>
      <c r="Y29" s="18">
        <v>999</v>
      </c>
      <c r="Z29" s="104" t="s">
        <v>5329</v>
      </c>
      <c r="AA29" t="s">
        <v>3406</v>
      </c>
      <c r="AB29" t="s">
        <v>5404</v>
      </c>
      <c r="AC29" s="49" t="s">
        <v>5449</v>
      </c>
    </row>
    <row r="30" spans="1:29" x14ac:dyDescent="0.2">
      <c r="A30" s="18" t="s">
        <v>50</v>
      </c>
      <c r="B30" t="s">
        <v>369</v>
      </c>
      <c r="C30" s="16" t="s">
        <v>364</v>
      </c>
      <c r="D30">
        <v>0.209286</v>
      </c>
      <c r="E30">
        <v>0.30105500000000002</v>
      </c>
      <c r="F30">
        <v>0.61853499999999995</v>
      </c>
      <c r="G30" s="1" t="s">
        <v>31</v>
      </c>
      <c r="H30" s="1" t="s">
        <v>365</v>
      </c>
      <c r="I30" s="1">
        <v>5.5</v>
      </c>
      <c r="J30" s="17">
        <v>42</v>
      </c>
      <c r="K30" s="1" t="s">
        <v>366</v>
      </c>
      <c r="L30" s="1" t="s">
        <v>366</v>
      </c>
      <c r="M30" s="1" t="s">
        <v>366</v>
      </c>
      <c r="N30" s="1" t="s">
        <v>366</v>
      </c>
      <c r="O30" s="1" t="s">
        <v>366</v>
      </c>
      <c r="P30" s="1" t="s">
        <v>366</v>
      </c>
      <c r="Q30" s="1" t="s">
        <v>366</v>
      </c>
      <c r="R30" s="18">
        <v>3.9999999999999998E-6</v>
      </c>
      <c r="S30">
        <v>3.1016999999999999E-2</v>
      </c>
      <c r="T30">
        <v>-3.0620000000000001E-3</v>
      </c>
      <c r="U30" s="31">
        <f>'All Insulation Data'!$AS$11</f>
        <v>1.1366795366795368</v>
      </c>
      <c r="V30" s="307">
        <f>'All Insulation Data'!$AT$11</f>
        <v>1.2849420849420852</v>
      </c>
      <c r="W30" s="31" t="s">
        <v>366</v>
      </c>
      <c r="X30" s="307" t="s">
        <v>366</v>
      </c>
      <c r="Y30" s="18">
        <v>999</v>
      </c>
      <c r="Z30" s="104" t="s">
        <v>5329</v>
      </c>
      <c r="AA30" t="s">
        <v>3406</v>
      </c>
      <c r="AB30" t="s">
        <v>5402</v>
      </c>
      <c r="AC30" s="49"/>
    </row>
    <row r="31" spans="1:29" x14ac:dyDescent="0.2">
      <c r="A31" s="18" t="s">
        <v>50</v>
      </c>
      <c r="B31" t="s">
        <v>368</v>
      </c>
      <c r="C31" s="16" t="s">
        <v>364</v>
      </c>
      <c r="D31">
        <v>0.146427</v>
      </c>
      <c r="E31">
        <v>0.27345000000000003</v>
      </c>
      <c r="F31">
        <v>0.42841000000000001</v>
      </c>
      <c r="G31" s="1" t="s">
        <v>31</v>
      </c>
      <c r="H31" s="1" t="s">
        <v>365</v>
      </c>
      <c r="I31" s="1">
        <v>3.7</v>
      </c>
      <c r="J31" s="17">
        <v>25.8</v>
      </c>
      <c r="K31" s="1" t="s">
        <v>366</v>
      </c>
      <c r="L31" s="1" t="s">
        <v>366</v>
      </c>
      <c r="M31" s="1" t="s">
        <v>366</v>
      </c>
      <c r="N31" s="1" t="s">
        <v>366</v>
      </c>
      <c r="O31" s="1" t="s">
        <v>366</v>
      </c>
      <c r="P31" s="1" t="s">
        <v>366</v>
      </c>
      <c r="Q31" s="1" t="s">
        <v>366</v>
      </c>
      <c r="R31" s="18">
        <v>0.10636900000000001</v>
      </c>
      <c r="S31">
        <v>-5.6141999999999997E-2</v>
      </c>
      <c r="T31">
        <v>-0.192549</v>
      </c>
      <c r="U31" s="31">
        <f>'All Insulation Data'!$AS$12</f>
        <v>1.1366795366795368</v>
      </c>
      <c r="V31" s="307">
        <f>'All Insulation Data'!$AT$12</f>
        <v>1.2853438804658319</v>
      </c>
      <c r="W31" s="31" t="s">
        <v>366</v>
      </c>
      <c r="X31" s="307" t="s">
        <v>366</v>
      </c>
      <c r="Y31" s="18">
        <v>999</v>
      </c>
      <c r="Z31" s="104" t="s">
        <v>5329</v>
      </c>
      <c r="AA31" t="s">
        <v>3406</v>
      </c>
      <c r="AB31" t="s">
        <v>5476</v>
      </c>
      <c r="AC31" s="49"/>
    </row>
    <row r="32" spans="1:29" x14ac:dyDescent="0.2">
      <c r="A32" s="18" t="s">
        <v>11</v>
      </c>
      <c r="B32" t="s">
        <v>76</v>
      </c>
      <c r="C32" s="16" t="s">
        <v>364</v>
      </c>
      <c r="D32">
        <v>3.6189999999999998E-3</v>
      </c>
      <c r="E32">
        <v>7.0400000000000003E-3</v>
      </c>
      <c r="F32">
        <v>1.0169999999999999E-3</v>
      </c>
      <c r="G32" s="1" t="s">
        <v>31</v>
      </c>
      <c r="H32" s="1" t="s">
        <v>365</v>
      </c>
      <c r="I32" s="1">
        <v>2.78</v>
      </c>
      <c r="J32" s="17">
        <v>38</v>
      </c>
      <c r="K32" s="1" t="s">
        <v>366</v>
      </c>
      <c r="L32" s="1" t="s">
        <v>366</v>
      </c>
      <c r="M32" s="1" t="s">
        <v>366</v>
      </c>
      <c r="N32" s="1" t="s">
        <v>366</v>
      </c>
      <c r="O32" s="1" t="s">
        <v>366</v>
      </c>
      <c r="P32" s="1" t="s">
        <v>366</v>
      </c>
      <c r="Q32" s="1" t="s">
        <v>366</v>
      </c>
      <c r="R32" s="18">
        <v>0.156253</v>
      </c>
      <c r="S32">
        <v>0.27888200000000002</v>
      </c>
      <c r="T32">
        <v>0.95593399999999995</v>
      </c>
      <c r="U32" s="31">
        <v>1.7305785123966939</v>
      </c>
      <c r="V32" s="307">
        <v>1.8099173553719006</v>
      </c>
      <c r="W32" s="31" t="s">
        <v>366</v>
      </c>
      <c r="X32" s="307" t="s">
        <v>366</v>
      </c>
      <c r="Y32" s="18">
        <v>999</v>
      </c>
      <c r="Z32" s="104" t="s">
        <v>5329</v>
      </c>
      <c r="AA32" t="s">
        <v>3406</v>
      </c>
      <c r="AB32" t="s">
        <v>5475</v>
      </c>
      <c r="AC32" s="49"/>
    </row>
    <row r="33" spans="1:29" x14ac:dyDescent="0.2">
      <c r="A33" s="18" t="s">
        <v>15</v>
      </c>
      <c r="B33" t="s">
        <v>369</v>
      </c>
      <c r="C33" s="16" t="s">
        <v>364</v>
      </c>
      <c r="D33">
        <v>0.209286</v>
      </c>
      <c r="E33">
        <v>0.30105500000000002</v>
      </c>
      <c r="F33">
        <v>0.61853499999999995</v>
      </c>
      <c r="G33" s="1" t="s">
        <v>31</v>
      </c>
      <c r="H33" s="1" t="s">
        <v>365</v>
      </c>
      <c r="I33" s="1">
        <v>5.5</v>
      </c>
      <c r="J33" s="17">
        <v>42</v>
      </c>
      <c r="K33" s="1" t="s">
        <v>366</v>
      </c>
      <c r="L33" s="1" t="s">
        <v>366</v>
      </c>
      <c r="M33" s="1" t="s">
        <v>366</v>
      </c>
      <c r="N33" s="1" t="s">
        <v>366</v>
      </c>
      <c r="O33" s="1" t="s">
        <v>366</v>
      </c>
      <c r="P33" s="1" t="s">
        <v>366</v>
      </c>
      <c r="Q33" s="1" t="s">
        <v>366</v>
      </c>
      <c r="R33" s="18">
        <v>3.9999999999999998E-6</v>
      </c>
      <c r="S33">
        <v>3.1016999999999999E-2</v>
      </c>
      <c r="T33">
        <v>-3.0620000000000001E-3</v>
      </c>
      <c r="U33" s="31">
        <f>'All Insulation Data'!$AS$11</f>
        <v>1.1366795366795368</v>
      </c>
      <c r="V33" s="307">
        <f>'All Insulation Data'!$AT$11</f>
        <v>1.2849420849420852</v>
      </c>
      <c r="W33" s="31" t="s">
        <v>366</v>
      </c>
      <c r="X33" s="307" t="s">
        <v>366</v>
      </c>
      <c r="Y33" s="18">
        <v>999</v>
      </c>
      <c r="Z33" t="s">
        <v>5327</v>
      </c>
      <c r="AA33" t="s">
        <v>3406</v>
      </c>
      <c r="AB33" t="s">
        <v>5402</v>
      </c>
      <c r="AC33" s="49"/>
    </row>
    <row r="34" spans="1:29" x14ac:dyDescent="0.2">
      <c r="A34" s="18" t="s">
        <v>15</v>
      </c>
      <c r="B34" t="s">
        <v>368</v>
      </c>
      <c r="C34" s="16" t="s">
        <v>364</v>
      </c>
      <c r="D34">
        <v>0.146427</v>
      </c>
      <c r="E34">
        <v>0.27345000000000003</v>
      </c>
      <c r="F34">
        <v>0.42841000000000001</v>
      </c>
      <c r="G34" s="1" t="s">
        <v>31</v>
      </c>
      <c r="H34" s="1" t="s">
        <v>365</v>
      </c>
      <c r="I34" s="1">
        <v>3.7</v>
      </c>
      <c r="J34" s="17">
        <v>25.8</v>
      </c>
      <c r="K34" s="1" t="s">
        <v>366</v>
      </c>
      <c r="L34" s="1" t="s">
        <v>366</v>
      </c>
      <c r="M34" s="1" t="s">
        <v>366</v>
      </c>
      <c r="N34" s="1" t="s">
        <v>366</v>
      </c>
      <c r="O34" s="1" t="s">
        <v>366</v>
      </c>
      <c r="P34" s="1" t="s">
        <v>366</v>
      </c>
      <c r="Q34" s="1" t="s">
        <v>366</v>
      </c>
      <c r="R34" s="18">
        <v>0.10636900000000001</v>
      </c>
      <c r="S34">
        <v>-5.6141999999999997E-2</v>
      </c>
      <c r="T34">
        <v>-0.192549</v>
      </c>
      <c r="U34" s="31">
        <f>'All Insulation Data'!$AS$12</f>
        <v>1.1366795366795368</v>
      </c>
      <c r="V34" s="307">
        <f>'All Insulation Data'!$AT$12</f>
        <v>1.2853438804658319</v>
      </c>
      <c r="W34" s="31" t="s">
        <v>366</v>
      </c>
      <c r="X34" s="307" t="s">
        <v>366</v>
      </c>
      <c r="Y34" s="18">
        <v>999</v>
      </c>
      <c r="Z34" t="s">
        <v>5327</v>
      </c>
      <c r="AA34" t="s">
        <v>3406</v>
      </c>
      <c r="AB34" t="s">
        <v>5476</v>
      </c>
      <c r="AC34" s="49"/>
    </row>
    <row r="35" spans="1:29" x14ac:dyDescent="0.2">
      <c r="A35" s="18" t="s">
        <v>18</v>
      </c>
      <c r="B35" t="s">
        <v>73</v>
      </c>
      <c r="C35" s="16" t="s">
        <v>364</v>
      </c>
      <c r="D35">
        <v>3.1667000000000001E-2</v>
      </c>
      <c r="E35">
        <v>4.1599999999999998E-2</v>
      </c>
      <c r="F35">
        <v>4.9167000000000002E-2</v>
      </c>
      <c r="G35" s="1" t="s">
        <v>31</v>
      </c>
      <c r="H35" s="1" t="s">
        <v>365</v>
      </c>
      <c r="I35" s="1">
        <v>6</v>
      </c>
      <c r="J35" s="17">
        <v>49</v>
      </c>
      <c r="K35" s="1" t="s">
        <v>366</v>
      </c>
      <c r="L35" s="1" t="s">
        <v>366</v>
      </c>
      <c r="M35" s="1" t="s">
        <v>366</v>
      </c>
      <c r="N35" s="1" t="s">
        <v>366</v>
      </c>
      <c r="O35" s="1" t="s">
        <v>366</v>
      </c>
      <c r="P35" s="1" t="s">
        <v>366</v>
      </c>
      <c r="Q35" s="1" t="s">
        <v>366</v>
      </c>
      <c r="R35" s="18">
        <v>0.158332</v>
      </c>
      <c r="S35">
        <v>0.2392</v>
      </c>
      <c r="T35">
        <v>1.5749979999999999</v>
      </c>
      <c r="U35" s="31" t="s">
        <v>366</v>
      </c>
      <c r="V35" s="307" t="s">
        <v>366</v>
      </c>
      <c r="W35" s="31">
        <f>'All Insulation Data'!$AQ$4</f>
        <v>0.58609756097560994</v>
      </c>
      <c r="X35" s="307">
        <f>'All Insulation Data'!$AR$4</f>
        <v>0.75609756097560998</v>
      </c>
      <c r="Y35" s="18">
        <v>999</v>
      </c>
      <c r="Z35" s="104" t="s">
        <v>5329</v>
      </c>
      <c r="AA35" t="s">
        <v>3406</v>
      </c>
      <c r="AB35" t="s">
        <v>5402</v>
      </c>
      <c r="AC35" s="49"/>
    </row>
    <row r="36" spans="1:29" x14ac:dyDescent="0.2">
      <c r="A36" s="18" t="s">
        <v>20</v>
      </c>
      <c r="B36" t="s">
        <v>79</v>
      </c>
      <c r="C36" s="16" t="s">
        <v>364</v>
      </c>
      <c r="D36">
        <v>6.8807999999999994E-2</v>
      </c>
      <c r="E36">
        <v>0.13142799999999999</v>
      </c>
      <c r="F36">
        <v>0.29178500000000002</v>
      </c>
      <c r="G36" s="1" t="s">
        <v>31</v>
      </c>
      <c r="H36" s="1" t="s">
        <v>365</v>
      </c>
      <c r="I36" s="1">
        <v>1.44</v>
      </c>
      <c r="J36" s="17">
        <v>10</v>
      </c>
      <c r="K36" s="1" t="s">
        <v>366</v>
      </c>
      <c r="L36" s="1" t="s">
        <v>366</v>
      </c>
      <c r="M36" s="1" t="s">
        <v>366</v>
      </c>
      <c r="N36" s="1" t="s">
        <v>366</v>
      </c>
      <c r="O36" s="1" t="s">
        <v>366</v>
      </c>
      <c r="P36" s="1" t="s">
        <v>366</v>
      </c>
      <c r="Q36" s="1" t="s">
        <v>366</v>
      </c>
      <c r="R36" s="18">
        <v>0.13047400000000001</v>
      </c>
      <c r="S36">
        <v>7.2905999999999999E-2</v>
      </c>
      <c r="T36">
        <v>4.2856999999999999E-2</v>
      </c>
      <c r="U36" s="31" t="s">
        <v>366</v>
      </c>
      <c r="V36" s="307" t="s">
        <v>366</v>
      </c>
      <c r="W36" s="31">
        <f>'All Insulation Data'!$AQ$10</f>
        <v>0.45500000000000002</v>
      </c>
      <c r="X36" s="307">
        <f>'All Insulation Data'!$AR$10</f>
        <v>0.52500000000000002</v>
      </c>
      <c r="Y36" s="18">
        <v>999</v>
      </c>
      <c r="Z36" s="104" t="s">
        <v>5329</v>
      </c>
      <c r="AA36" t="s">
        <v>3406</v>
      </c>
      <c r="AB36" t="s">
        <v>5405</v>
      </c>
      <c r="AC36" s="49"/>
    </row>
    <row r="37" spans="1:29" x14ac:dyDescent="0.2">
      <c r="A37" s="18" t="s">
        <v>363</v>
      </c>
      <c r="B37" t="s">
        <v>79</v>
      </c>
      <c r="C37" s="16" t="s">
        <v>364</v>
      </c>
      <c r="D37">
        <v>6.8807999999999994E-2</v>
      </c>
      <c r="E37">
        <v>0.13142799999999999</v>
      </c>
      <c r="F37">
        <v>0.29178500000000002</v>
      </c>
      <c r="G37" s="1" t="s">
        <v>31</v>
      </c>
      <c r="H37" s="1" t="s">
        <v>365</v>
      </c>
      <c r="I37" s="1">
        <v>1.44</v>
      </c>
      <c r="J37" s="17">
        <v>10</v>
      </c>
      <c r="K37" s="1" t="s">
        <v>366</v>
      </c>
      <c r="L37" s="1" t="s">
        <v>366</v>
      </c>
      <c r="M37" s="1" t="s">
        <v>366</v>
      </c>
      <c r="N37" s="1" t="s">
        <v>366</v>
      </c>
      <c r="O37" s="1" t="s">
        <v>366</v>
      </c>
      <c r="P37" s="1" t="s">
        <v>366</v>
      </c>
      <c r="Q37" s="1" t="s">
        <v>366</v>
      </c>
      <c r="R37" s="18">
        <v>0.13047400000000001</v>
      </c>
      <c r="S37">
        <v>7.2905999999999999E-2</v>
      </c>
      <c r="T37">
        <v>4.2856999999999999E-2</v>
      </c>
      <c r="U37" s="31" t="s">
        <v>366</v>
      </c>
      <c r="V37" s="307" t="s">
        <v>366</v>
      </c>
      <c r="W37" s="31">
        <f>'All Insulation Data'!$AQ$10</f>
        <v>0.45500000000000002</v>
      </c>
      <c r="X37" s="307">
        <f>'All Insulation Data'!$AR$10</f>
        <v>0.52500000000000002</v>
      </c>
      <c r="Y37" s="18">
        <v>999</v>
      </c>
      <c r="Z37" s="104" t="s">
        <v>5329</v>
      </c>
      <c r="AA37" t="s">
        <v>3406</v>
      </c>
      <c r="AB37" t="s">
        <v>5405</v>
      </c>
      <c r="AC37" s="49"/>
    </row>
    <row r="38" spans="1:29" x14ac:dyDescent="0.2">
      <c r="A38" s="18" t="s">
        <v>18</v>
      </c>
      <c r="B38" t="s">
        <v>78</v>
      </c>
      <c r="C38" s="16" t="s">
        <v>364</v>
      </c>
      <c r="D38">
        <v>0.12371699999999999</v>
      </c>
      <c r="E38">
        <v>0.17549999999999999</v>
      </c>
      <c r="F38">
        <v>0.22850000000000001</v>
      </c>
      <c r="G38" s="1" t="s">
        <v>31</v>
      </c>
      <c r="H38" s="1" t="s">
        <v>365</v>
      </c>
      <c r="I38" s="1">
        <v>1</v>
      </c>
      <c r="J38" s="17">
        <v>20</v>
      </c>
      <c r="K38" s="1" t="s">
        <v>366</v>
      </c>
      <c r="L38" s="1" t="s">
        <v>366</v>
      </c>
      <c r="M38" s="1" t="s">
        <v>366</v>
      </c>
      <c r="N38" s="1" t="s">
        <v>366</v>
      </c>
      <c r="O38" s="1" t="s">
        <v>366</v>
      </c>
      <c r="P38" s="1" t="s">
        <v>366</v>
      </c>
      <c r="Q38" s="1" t="s">
        <v>366</v>
      </c>
      <c r="R38" s="18">
        <v>6.5725000000000006E-2</v>
      </c>
      <c r="S38">
        <v>0.10125199999999999</v>
      </c>
      <c r="T38">
        <v>2.7075</v>
      </c>
      <c r="U38" s="31" t="s">
        <v>366</v>
      </c>
      <c r="V38" s="307" t="s">
        <v>366</v>
      </c>
      <c r="W38" s="31">
        <f>'All Insulation Data'!$AQ$9</f>
        <v>0.45500000000000002</v>
      </c>
      <c r="X38" s="307">
        <f>'All Insulation Data'!$AR$9</f>
        <v>0.52500000000000002</v>
      </c>
      <c r="Y38" s="18">
        <v>999</v>
      </c>
      <c r="Z38" s="104" t="s">
        <v>5329</v>
      </c>
      <c r="AA38" t="s">
        <v>3406</v>
      </c>
      <c r="AB38" t="s">
        <v>5404</v>
      </c>
      <c r="AC38" s="49"/>
    </row>
    <row r="39" spans="1:29" x14ac:dyDescent="0.2">
      <c r="A39" s="18" t="s">
        <v>56</v>
      </c>
      <c r="B39" t="s">
        <v>77</v>
      </c>
      <c r="C39" s="16" t="s">
        <v>364</v>
      </c>
      <c r="D39" s="1">
        <v>2.6870999999999999E-2</v>
      </c>
      <c r="E39" s="1">
        <v>0.101739</v>
      </c>
      <c r="F39" s="1">
        <v>0.144589</v>
      </c>
      <c r="G39" s="1" t="s">
        <v>31</v>
      </c>
      <c r="H39" s="1" t="s">
        <v>365</v>
      </c>
      <c r="I39" s="1">
        <v>2.7</v>
      </c>
      <c r="J39" s="17">
        <v>31</v>
      </c>
      <c r="K39" s="1" t="s">
        <v>366</v>
      </c>
      <c r="L39" s="1" t="s">
        <v>366</v>
      </c>
      <c r="M39" s="1" t="s">
        <v>366</v>
      </c>
      <c r="N39" s="1" t="s">
        <v>366</v>
      </c>
      <c r="O39" s="1" t="s">
        <v>366</v>
      </c>
      <c r="P39" s="1" t="s">
        <v>366</v>
      </c>
      <c r="Q39" s="1" t="s">
        <v>366</v>
      </c>
      <c r="R39" s="338">
        <v>0.53651300000000002</v>
      </c>
      <c r="S39" s="339">
        <v>0.49099100000000001</v>
      </c>
      <c r="T39" s="339">
        <v>0.67023500000000003</v>
      </c>
      <c r="U39" s="31" t="s">
        <v>366</v>
      </c>
      <c r="V39" s="307" t="s">
        <v>366</v>
      </c>
      <c r="W39" s="31">
        <f>'All Insulation Data'!$AQ$8</f>
        <v>0.40875</v>
      </c>
      <c r="X39" s="307">
        <f>'All Insulation Data'!$AR$8</f>
        <v>0.47875000000000001</v>
      </c>
      <c r="Y39" s="18">
        <v>999</v>
      </c>
      <c r="Z39" t="s">
        <v>5442</v>
      </c>
      <c r="AA39" t="s">
        <v>3406</v>
      </c>
      <c r="AB39" t="s">
        <v>5403</v>
      </c>
      <c r="AC39" s="49"/>
    </row>
    <row r="40" spans="1:29" x14ac:dyDescent="0.2">
      <c r="A40" s="18" t="s">
        <v>54</v>
      </c>
      <c r="B40" t="s">
        <v>77</v>
      </c>
      <c r="C40" s="16" t="s">
        <v>364</v>
      </c>
      <c r="D40" s="1">
        <v>2.6870999999999999E-2</v>
      </c>
      <c r="E40" s="1">
        <v>0.101739</v>
      </c>
      <c r="F40" s="1">
        <v>0.144589</v>
      </c>
      <c r="G40" s="1" t="s">
        <v>31</v>
      </c>
      <c r="H40" s="1" t="s">
        <v>365</v>
      </c>
      <c r="I40" s="1">
        <v>2.7</v>
      </c>
      <c r="J40" s="17">
        <v>31</v>
      </c>
      <c r="K40" s="1" t="s">
        <v>366</v>
      </c>
      <c r="L40" s="1" t="s">
        <v>366</v>
      </c>
      <c r="M40" s="1" t="s">
        <v>366</v>
      </c>
      <c r="N40" s="1" t="s">
        <v>366</v>
      </c>
      <c r="O40" s="1" t="s">
        <v>366</v>
      </c>
      <c r="P40" s="1" t="s">
        <v>366</v>
      </c>
      <c r="Q40" s="1" t="s">
        <v>366</v>
      </c>
      <c r="R40" s="338">
        <v>0.53651300000000002</v>
      </c>
      <c r="S40" s="339">
        <v>0.49099100000000001</v>
      </c>
      <c r="T40" s="339">
        <v>0.67023500000000003</v>
      </c>
      <c r="U40" s="31" t="s">
        <v>366</v>
      </c>
      <c r="V40" s="307" t="s">
        <v>366</v>
      </c>
      <c r="W40" s="31">
        <f>'All Insulation Data'!$AQ$8*(1+'Envelope Labor Premium'!$B$2)</f>
        <v>0.53102467872401737</v>
      </c>
      <c r="X40" s="307">
        <f>'All Insulation Data'!$AR$8*(1+'Envelope Labor Premium'!$B$2)</f>
        <v>0.62196468486635681</v>
      </c>
      <c r="Y40" s="18">
        <v>999</v>
      </c>
      <c r="Z40" t="s">
        <v>5450</v>
      </c>
      <c r="AA40" t="s">
        <v>3406</v>
      </c>
      <c r="AB40" t="s">
        <v>5403</v>
      </c>
      <c r="AC40" s="49"/>
    </row>
    <row r="41" spans="1:29" x14ac:dyDescent="0.2">
      <c r="A41" s="18" t="s">
        <v>17</v>
      </c>
      <c r="B41" t="s">
        <v>78</v>
      </c>
      <c r="C41" s="16" t="s">
        <v>364</v>
      </c>
      <c r="D41">
        <v>0.12371699999999999</v>
      </c>
      <c r="E41">
        <v>0.17549999999999999</v>
      </c>
      <c r="F41">
        <v>0.22850000000000001</v>
      </c>
      <c r="G41" s="1" t="s">
        <v>31</v>
      </c>
      <c r="H41" s="1" t="s">
        <v>365</v>
      </c>
      <c r="I41" s="1">
        <v>1</v>
      </c>
      <c r="J41" s="17">
        <v>20</v>
      </c>
      <c r="K41" s="1" t="s">
        <v>366</v>
      </c>
      <c r="L41" s="1" t="s">
        <v>366</v>
      </c>
      <c r="M41" s="1" t="s">
        <v>366</v>
      </c>
      <c r="N41" s="1" t="s">
        <v>366</v>
      </c>
      <c r="O41" s="1" t="s">
        <v>366</v>
      </c>
      <c r="P41" s="1" t="s">
        <v>366</v>
      </c>
      <c r="Q41" s="1" t="s">
        <v>366</v>
      </c>
      <c r="R41" s="18">
        <v>6.5725000000000006E-2</v>
      </c>
      <c r="S41">
        <v>0.10125199999999999</v>
      </c>
      <c r="T41">
        <v>2.7075</v>
      </c>
      <c r="U41" s="31" t="s">
        <v>366</v>
      </c>
      <c r="V41" s="307" t="s">
        <v>366</v>
      </c>
      <c r="W41" s="31">
        <f>'All Insulation Data'!$AQ$9</f>
        <v>0.45500000000000002</v>
      </c>
      <c r="X41" s="307">
        <f>'All Insulation Data'!$AR$9</f>
        <v>0.52500000000000002</v>
      </c>
      <c r="Y41" s="18">
        <v>999</v>
      </c>
      <c r="Z41" t="s">
        <v>5451</v>
      </c>
      <c r="AA41" t="s">
        <v>3406</v>
      </c>
      <c r="AB41" t="s">
        <v>5404</v>
      </c>
      <c r="AC41" s="49"/>
    </row>
    <row r="42" spans="1:29" s="104" customFormat="1" x14ac:dyDescent="0.2">
      <c r="A42" s="319" t="s">
        <v>53</v>
      </c>
      <c r="B42" s="104" t="s">
        <v>73</v>
      </c>
      <c r="C42" s="320" t="s">
        <v>364</v>
      </c>
      <c r="D42" s="104">
        <v>3.1667000000000001E-2</v>
      </c>
      <c r="E42" s="104">
        <v>4.2999999999999997E-2</v>
      </c>
      <c r="F42" s="104">
        <v>5.1999999999999998E-2</v>
      </c>
      <c r="G42" s="321" t="s">
        <v>31</v>
      </c>
      <c r="H42" s="321" t="s">
        <v>365</v>
      </c>
      <c r="I42" s="321">
        <v>6</v>
      </c>
      <c r="J42" s="322">
        <v>49</v>
      </c>
      <c r="K42" s="321" t="s">
        <v>366</v>
      </c>
      <c r="L42" s="321" t="s">
        <v>366</v>
      </c>
      <c r="M42" s="321" t="s">
        <v>366</v>
      </c>
      <c r="N42" s="321" t="s">
        <v>366</v>
      </c>
      <c r="O42" s="321" t="s">
        <v>366</v>
      </c>
      <c r="P42" s="321" t="s">
        <v>366</v>
      </c>
      <c r="Q42" s="321" t="s">
        <v>366</v>
      </c>
      <c r="R42" s="319">
        <v>0.158334</v>
      </c>
      <c r="S42" s="104">
        <v>0.26300400000000002</v>
      </c>
      <c r="T42" s="104">
        <v>1.5580369999999999</v>
      </c>
      <c r="U42" s="412" t="s">
        <v>366</v>
      </c>
      <c r="V42" s="324" t="s">
        <v>366</v>
      </c>
      <c r="W42" s="412">
        <f>'All Insulation Data'!$AQ$5*(1+'Envelope Labor Premium'!$B$3)</f>
        <v>0.82687226726941454</v>
      </c>
      <c r="X42" s="324">
        <f>'All Insulation Data'!$AR$5*(1+'Envelope Labor Premium'!$B$3)</f>
        <v>1.0017875545764061</v>
      </c>
      <c r="Y42" s="319">
        <v>999</v>
      </c>
      <c r="Z42" s="104" t="s">
        <v>5328</v>
      </c>
      <c r="AA42" s="104" t="s">
        <v>3406</v>
      </c>
      <c r="AB42" s="104" t="s">
        <v>5404</v>
      </c>
      <c r="AC42" s="323"/>
    </row>
    <row r="43" spans="1:29" x14ac:dyDescent="0.2">
      <c r="A43" s="18" t="s">
        <v>50</v>
      </c>
      <c r="B43" t="s">
        <v>76</v>
      </c>
      <c r="C43" s="16" t="s">
        <v>364</v>
      </c>
      <c r="D43">
        <v>3.6189999999999998E-3</v>
      </c>
      <c r="E43">
        <v>7.0400000000000003E-3</v>
      </c>
      <c r="F43">
        <v>1.0169999999999999E-3</v>
      </c>
      <c r="G43" s="1" t="s">
        <v>31</v>
      </c>
      <c r="H43" s="1" t="s">
        <v>365</v>
      </c>
      <c r="I43" s="1">
        <v>2.78</v>
      </c>
      <c r="J43" s="17">
        <v>38</v>
      </c>
      <c r="K43" s="1" t="s">
        <v>366</v>
      </c>
      <c r="L43" s="1" t="s">
        <v>366</v>
      </c>
      <c r="M43" s="1" t="s">
        <v>366</v>
      </c>
      <c r="N43" s="1" t="s">
        <v>366</v>
      </c>
      <c r="O43" s="1" t="s">
        <v>366</v>
      </c>
      <c r="P43" s="1" t="s">
        <v>366</v>
      </c>
      <c r="Q43" s="1" t="s">
        <v>366</v>
      </c>
      <c r="R43" s="18">
        <v>0.156253</v>
      </c>
      <c r="S43">
        <v>0.27888200000000002</v>
      </c>
      <c r="T43">
        <v>0.95593399999999995</v>
      </c>
      <c r="U43" s="31">
        <v>1.7305785123966939</v>
      </c>
      <c r="V43" s="307">
        <v>1.8099173553719006</v>
      </c>
      <c r="W43" s="31" t="s">
        <v>366</v>
      </c>
      <c r="X43" s="307" t="s">
        <v>366</v>
      </c>
      <c r="Y43" s="18">
        <v>999</v>
      </c>
      <c r="Z43" s="104" t="s">
        <v>5329</v>
      </c>
      <c r="AA43" t="s">
        <v>3406</v>
      </c>
      <c r="AB43" t="s">
        <v>5475</v>
      </c>
      <c r="AC43" s="49"/>
    </row>
    <row r="44" spans="1:29" x14ac:dyDescent="0.2">
      <c r="A44" s="18" t="s">
        <v>53</v>
      </c>
      <c r="B44" t="s">
        <v>369</v>
      </c>
      <c r="C44" s="16" t="s">
        <v>364</v>
      </c>
      <c r="D44">
        <v>0.209286</v>
      </c>
      <c r="E44">
        <v>0.30105500000000002</v>
      </c>
      <c r="F44">
        <v>0.61853499999999995</v>
      </c>
      <c r="G44" s="1" t="s">
        <v>31</v>
      </c>
      <c r="H44" s="1" t="s">
        <v>365</v>
      </c>
      <c r="I44" s="1">
        <v>5.5</v>
      </c>
      <c r="J44" s="17">
        <v>42</v>
      </c>
      <c r="K44" s="1" t="s">
        <v>366</v>
      </c>
      <c r="L44" s="1" t="s">
        <v>366</v>
      </c>
      <c r="M44" s="1" t="s">
        <v>366</v>
      </c>
      <c r="N44" s="1" t="s">
        <v>366</v>
      </c>
      <c r="O44" s="1" t="s">
        <v>366</v>
      </c>
      <c r="P44" s="1" t="s">
        <v>366</v>
      </c>
      <c r="Q44" s="1" t="s">
        <v>366</v>
      </c>
      <c r="R44" s="18">
        <v>3.9999999999999998E-6</v>
      </c>
      <c r="S44">
        <v>3.1016999999999999E-2</v>
      </c>
      <c r="T44">
        <v>-3.0620000000000001E-3</v>
      </c>
      <c r="U44" s="31">
        <f>'All Insulation Data'!$AS$11</f>
        <v>1.1366795366795368</v>
      </c>
      <c r="V44" s="307">
        <f>'All Insulation Data'!$AT$11</f>
        <v>1.2849420849420852</v>
      </c>
      <c r="W44" s="31" t="s">
        <v>366</v>
      </c>
      <c r="X44" s="307" t="s">
        <v>366</v>
      </c>
      <c r="Y44" s="18">
        <v>999</v>
      </c>
      <c r="Z44" t="s">
        <v>5328</v>
      </c>
      <c r="AA44" t="s">
        <v>3406</v>
      </c>
      <c r="AB44" t="s">
        <v>5402</v>
      </c>
      <c r="AC44" s="49"/>
    </row>
    <row r="45" spans="1:29" x14ac:dyDescent="0.2">
      <c r="A45" s="18" t="s">
        <v>53</v>
      </c>
      <c r="B45" t="s">
        <v>368</v>
      </c>
      <c r="C45" s="16" t="s">
        <v>364</v>
      </c>
      <c r="D45">
        <v>0.146427</v>
      </c>
      <c r="E45">
        <v>0.27345000000000003</v>
      </c>
      <c r="F45">
        <v>0.42841000000000001</v>
      </c>
      <c r="G45" s="1" t="s">
        <v>31</v>
      </c>
      <c r="H45" s="1" t="s">
        <v>365</v>
      </c>
      <c r="I45" s="1">
        <v>3.7</v>
      </c>
      <c r="J45" s="17">
        <v>25.8</v>
      </c>
      <c r="K45" s="1" t="s">
        <v>366</v>
      </c>
      <c r="L45" s="1" t="s">
        <v>366</v>
      </c>
      <c r="M45" s="1" t="s">
        <v>366</v>
      </c>
      <c r="N45" s="1" t="s">
        <v>366</v>
      </c>
      <c r="O45" s="1" t="s">
        <v>366</v>
      </c>
      <c r="P45" s="1" t="s">
        <v>366</v>
      </c>
      <c r="Q45" s="1" t="s">
        <v>366</v>
      </c>
      <c r="R45" s="18">
        <v>0.10636900000000001</v>
      </c>
      <c r="S45">
        <v>-5.6141999999999997E-2</v>
      </c>
      <c r="T45">
        <v>-0.192549</v>
      </c>
      <c r="U45" s="31">
        <f>'All Insulation Data'!$AS$12</f>
        <v>1.1366795366795368</v>
      </c>
      <c r="V45" s="307">
        <f>'All Insulation Data'!$AT$12</f>
        <v>1.2853438804658319</v>
      </c>
      <c r="W45" s="31" t="s">
        <v>366</v>
      </c>
      <c r="X45" s="307" t="s">
        <v>366</v>
      </c>
      <c r="Y45" s="18">
        <v>999</v>
      </c>
      <c r="Z45" t="s">
        <v>5328</v>
      </c>
      <c r="AA45" t="s">
        <v>3406</v>
      </c>
      <c r="AB45" t="s">
        <v>5476</v>
      </c>
      <c r="AC45" s="49"/>
    </row>
    <row r="46" spans="1:29" s="104" customFormat="1" x14ac:dyDescent="0.2">
      <c r="A46" s="319" t="s">
        <v>52</v>
      </c>
      <c r="B46" s="104" t="s">
        <v>73</v>
      </c>
      <c r="C46" s="320" t="s">
        <v>364</v>
      </c>
      <c r="D46">
        <v>3.1667000000000001E-2</v>
      </c>
      <c r="E46">
        <v>4.1599999999999998E-2</v>
      </c>
      <c r="F46">
        <v>4.9167000000000002E-2</v>
      </c>
      <c r="G46" s="1" t="s">
        <v>31</v>
      </c>
      <c r="H46" s="1" t="s">
        <v>365</v>
      </c>
      <c r="I46" s="1">
        <v>6</v>
      </c>
      <c r="J46" s="17">
        <v>49</v>
      </c>
      <c r="K46" s="1" t="s">
        <v>366</v>
      </c>
      <c r="L46" s="1" t="s">
        <v>366</v>
      </c>
      <c r="M46" s="1" t="s">
        <v>366</v>
      </c>
      <c r="N46" s="1" t="s">
        <v>366</v>
      </c>
      <c r="O46" s="1" t="s">
        <v>366</v>
      </c>
      <c r="P46" s="1" t="s">
        <v>366</v>
      </c>
      <c r="Q46" s="1" t="s">
        <v>366</v>
      </c>
      <c r="R46" s="18">
        <v>0.158332</v>
      </c>
      <c r="S46">
        <v>0.2392</v>
      </c>
      <c r="T46">
        <v>1.5749979999999999</v>
      </c>
      <c r="U46" s="412" t="s">
        <v>366</v>
      </c>
      <c r="V46" s="324" t="s">
        <v>366</v>
      </c>
      <c r="W46" s="412">
        <f>'All Insulation Data'!$AQ$5*(1+'Envelope Labor Premium'!$B$3)</f>
        <v>0.82687226726941454</v>
      </c>
      <c r="X46" s="324">
        <f>'All Insulation Data'!$AR$5*(1+'Envelope Labor Premium'!$B$3)</f>
        <v>1.0017875545764061</v>
      </c>
      <c r="Y46" s="319">
        <v>999</v>
      </c>
      <c r="Z46" s="104" t="s">
        <v>5328</v>
      </c>
      <c r="AA46" s="104" t="s">
        <v>3406</v>
      </c>
      <c r="AB46" s="104" t="s">
        <v>5404</v>
      </c>
      <c r="AC46" s="323"/>
    </row>
    <row r="47" spans="1:29" x14ac:dyDescent="0.2">
      <c r="A47" s="18" t="s">
        <v>52</v>
      </c>
      <c r="B47" t="s">
        <v>369</v>
      </c>
      <c r="C47" s="16" t="s">
        <v>364</v>
      </c>
      <c r="D47">
        <v>0.209286</v>
      </c>
      <c r="E47">
        <v>0.30105500000000002</v>
      </c>
      <c r="F47">
        <v>0.61853499999999995</v>
      </c>
      <c r="G47" s="1" t="s">
        <v>31</v>
      </c>
      <c r="H47" s="1" t="s">
        <v>365</v>
      </c>
      <c r="I47" s="1">
        <v>5.5</v>
      </c>
      <c r="J47" s="17">
        <v>42</v>
      </c>
      <c r="K47" s="1" t="s">
        <v>366</v>
      </c>
      <c r="L47" s="1" t="s">
        <v>366</v>
      </c>
      <c r="M47" s="1" t="s">
        <v>366</v>
      </c>
      <c r="N47" s="1" t="s">
        <v>366</v>
      </c>
      <c r="O47" s="1" t="s">
        <v>366</v>
      </c>
      <c r="P47" s="1" t="s">
        <v>366</v>
      </c>
      <c r="Q47" s="1" t="s">
        <v>366</v>
      </c>
      <c r="R47" s="18">
        <v>3.9999999999999998E-6</v>
      </c>
      <c r="S47">
        <v>3.1016999999999999E-2</v>
      </c>
      <c r="T47">
        <v>-3.0620000000000001E-3</v>
      </c>
      <c r="U47" s="31">
        <f>'All Insulation Data'!$AS$11</f>
        <v>1.1366795366795368</v>
      </c>
      <c r="V47" s="307">
        <f>'All Insulation Data'!$AT$11</f>
        <v>1.2849420849420852</v>
      </c>
      <c r="W47" s="31" t="s">
        <v>366</v>
      </c>
      <c r="X47" s="307" t="s">
        <v>366</v>
      </c>
      <c r="Y47" s="18">
        <v>999</v>
      </c>
      <c r="Z47" t="s">
        <v>5328</v>
      </c>
      <c r="AA47" t="s">
        <v>3406</v>
      </c>
      <c r="AB47" t="s">
        <v>5402</v>
      </c>
      <c r="AC47" s="49"/>
    </row>
    <row r="48" spans="1:29" x14ac:dyDescent="0.2">
      <c r="A48" s="18" t="s">
        <v>52</v>
      </c>
      <c r="B48" t="s">
        <v>368</v>
      </c>
      <c r="C48" s="16" t="s">
        <v>364</v>
      </c>
      <c r="D48">
        <v>0.146427</v>
      </c>
      <c r="E48">
        <v>0.27345000000000003</v>
      </c>
      <c r="F48">
        <v>0.42841000000000001</v>
      </c>
      <c r="G48" s="1" t="s">
        <v>31</v>
      </c>
      <c r="H48" s="1" t="s">
        <v>365</v>
      </c>
      <c r="I48" s="1">
        <v>3.7</v>
      </c>
      <c r="J48" s="17">
        <v>25.8</v>
      </c>
      <c r="K48" s="1" t="s">
        <v>366</v>
      </c>
      <c r="L48" s="1" t="s">
        <v>366</v>
      </c>
      <c r="M48" s="1" t="s">
        <v>366</v>
      </c>
      <c r="N48" s="1" t="s">
        <v>366</v>
      </c>
      <c r="O48" s="1" t="s">
        <v>366</v>
      </c>
      <c r="P48" s="1" t="s">
        <v>366</v>
      </c>
      <c r="Q48" s="1" t="s">
        <v>366</v>
      </c>
      <c r="R48" s="18">
        <v>0.10636900000000001</v>
      </c>
      <c r="S48">
        <v>-5.6141999999999997E-2</v>
      </c>
      <c r="T48">
        <v>-0.192549</v>
      </c>
      <c r="U48" s="31">
        <f>'All Insulation Data'!$AS$12</f>
        <v>1.1366795366795368</v>
      </c>
      <c r="V48" s="307">
        <f>'All Insulation Data'!$AT$12</f>
        <v>1.2853438804658319</v>
      </c>
      <c r="W48" s="31" t="s">
        <v>366</v>
      </c>
      <c r="X48" s="307" t="s">
        <v>366</v>
      </c>
      <c r="Y48" s="18">
        <v>999</v>
      </c>
      <c r="Z48" t="s">
        <v>5328</v>
      </c>
      <c r="AA48" t="s">
        <v>3406</v>
      </c>
      <c r="AB48" t="s">
        <v>5476</v>
      </c>
      <c r="AC48" s="49"/>
    </row>
    <row r="49" spans="1:29" s="104" customFormat="1" x14ac:dyDescent="0.2">
      <c r="A49" s="319" t="s">
        <v>49</v>
      </c>
      <c r="B49" s="104" t="s">
        <v>73</v>
      </c>
      <c r="C49" s="320" t="s">
        <v>364</v>
      </c>
      <c r="D49" s="104">
        <v>3.1667000000000001E-2</v>
      </c>
      <c r="E49" s="104">
        <v>4.2999999999999997E-2</v>
      </c>
      <c r="F49" s="104">
        <v>5.1999999999999998E-2</v>
      </c>
      <c r="G49" s="321" t="s">
        <v>31</v>
      </c>
      <c r="H49" s="321" t="s">
        <v>365</v>
      </c>
      <c r="I49" s="321">
        <v>6</v>
      </c>
      <c r="J49" s="322">
        <v>49</v>
      </c>
      <c r="K49" s="321" t="s">
        <v>366</v>
      </c>
      <c r="L49" s="321" t="s">
        <v>366</v>
      </c>
      <c r="M49" s="321" t="s">
        <v>366</v>
      </c>
      <c r="N49" s="321" t="s">
        <v>366</v>
      </c>
      <c r="O49" s="321" t="s">
        <v>366</v>
      </c>
      <c r="P49" s="321" t="s">
        <v>366</v>
      </c>
      <c r="Q49" s="321" t="s">
        <v>366</v>
      </c>
      <c r="R49" s="319">
        <v>0.158334</v>
      </c>
      <c r="S49" s="104">
        <v>0.26300400000000002</v>
      </c>
      <c r="T49" s="104">
        <v>1.5580369999999999</v>
      </c>
      <c r="U49" s="412" t="s">
        <v>366</v>
      </c>
      <c r="V49" s="324" t="s">
        <v>366</v>
      </c>
      <c r="W49" s="412">
        <f>'All Insulation Data'!$AQ$5</f>
        <v>0.8036363636363637</v>
      </c>
      <c r="X49" s="324">
        <f>'All Insulation Data'!$AR$5</f>
        <v>0.97363636363636374</v>
      </c>
      <c r="Y49" s="319">
        <v>999</v>
      </c>
      <c r="Z49" s="104" t="s">
        <v>5329</v>
      </c>
      <c r="AA49" s="104" t="s">
        <v>3406</v>
      </c>
      <c r="AB49" s="104" t="s">
        <v>5404</v>
      </c>
      <c r="AC49" s="323"/>
    </row>
    <row r="50" spans="1:29" x14ac:dyDescent="0.2">
      <c r="A50" s="18" t="s">
        <v>49</v>
      </c>
      <c r="B50" t="s">
        <v>369</v>
      </c>
      <c r="C50" s="16" t="s">
        <v>364</v>
      </c>
      <c r="D50">
        <v>0.209286</v>
      </c>
      <c r="E50">
        <v>0.30105500000000002</v>
      </c>
      <c r="F50">
        <v>0.61853499999999995</v>
      </c>
      <c r="G50" s="1" t="s">
        <v>31</v>
      </c>
      <c r="H50" s="1" t="s">
        <v>365</v>
      </c>
      <c r="I50" s="1">
        <v>5.5</v>
      </c>
      <c r="J50" s="17">
        <v>42</v>
      </c>
      <c r="K50" s="1" t="s">
        <v>366</v>
      </c>
      <c r="L50" s="1" t="s">
        <v>366</v>
      </c>
      <c r="M50" s="1" t="s">
        <v>366</v>
      </c>
      <c r="N50" s="1" t="s">
        <v>366</v>
      </c>
      <c r="O50" s="1" t="s">
        <v>366</v>
      </c>
      <c r="P50" s="1" t="s">
        <v>366</v>
      </c>
      <c r="Q50" s="1" t="s">
        <v>366</v>
      </c>
      <c r="R50" s="18">
        <v>3.9999999999999998E-6</v>
      </c>
      <c r="S50">
        <v>3.1016999999999999E-2</v>
      </c>
      <c r="T50">
        <v>-3.0620000000000001E-3</v>
      </c>
      <c r="U50" s="31">
        <f>'All Insulation Data'!$AS$11</f>
        <v>1.1366795366795368</v>
      </c>
      <c r="V50" s="307">
        <f>'All Insulation Data'!$AT$11</f>
        <v>1.2849420849420852</v>
      </c>
      <c r="W50" s="31" t="s">
        <v>366</v>
      </c>
      <c r="X50" s="307" t="s">
        <v>366</v>
      </c>
      <c r="Y50" s="18">
        <v>999</v>
      </c>
      <c r="Z50" s="104" t="s">
        <v>5329</v>
      </c>
      <c r="AA50" t="s">
        <v>3406</v>
      </c>
      <c r="AB50" t="s">
        <v>5402</v>
      </c>
      <c r="AC50" s="49"/>
    </row>
    <row r="51" spans="1:29" x14ac:dyDescent="0.2">
      <c r="A51" s="18" t="s">
        <v>49</v>
      </c>
      <c r="B51" t="s">
        <v>368</v>
      </c>
      <c r="C51" s="16" t="s">
        <v>364</v>
      </c>
      <c r="D51">
        <v>0.146427</v>
      </c>
      <c r="E51">
        <v>0.27345000000000003</v>
      </c>
      <c r="F51">
        <v>0.42841000000000001</v>
      </c>
      <c r="G51" s="1" t="s">
        <v>31</v>
      </c>
      <c r="H51" s="1" t="s">
        <v>365</v>
      </c>
      <c r="I51" s="1">
        <v>3.7</v>
      </c>
      <c r="J51" s="17">
        <v>25.8</v>
      </c>
      <c r="K51" s="1" t="s">
        <v>366</v>
      </c>
      <c r="L51" s="1" t="s">
        <v>366</v>
      </c>
      <c r="M51" s="1" t="s">
        <v>366</v>
      </c>
      <c r="N51" s="1" t="s">
        <v>366</v>
      </c>
      <c r="O51" s="1" t="s">
        <v>366</v>
      </c>
      <c r="P51" s="1" t="s">
        <v>366</v>
      </c>
      <c r="Q51" s="1" t="s">
        <v>366</v>
      </c>
      <c r="R51" s="18">
        <v>0.10636900000000001</v>
      </c>
      <c r="S51">
        <v>-5.6141999999999997E-2</v>
      </c>
      <c r="T51">
        <v>-0.192549</v>
      </c>
      <c r="U51" s="31">
        <f>'All Insulation Data'!$AS$12</f>
        <v>1.1366795366795368</v>
      </c>
      <c r="V51" s="307">
        <f>'All Insulation Data'!$AT$12</f>
        <v>1.2853438804658319</v>
      </c>
      <c r="W51" s="31" t="s">
        <v>366</v>
      </c>
      <c r="X51" s="307" t="s">
        <v>366</v>
      </c>
      <c r="Y51" s="18">
        <v>999</v>
      </c>
      <c r="Z51" s="104" t="s">
        <v>5329</v>
      </c>
      <c r="AA51" t="s">
        <v>3406</v>
      </c>
      <c r="AB51" t="s">
        <v>5476</v>
      </c>
      <c r="AC51" s="49"/>
    </row>
    <row r="52" spans="1:29" x14ac:dyDescent="0.2">
      <c r="A52" s="18" t="s">
        <v>48</v>
      </c>
      <c r="B52" t="s">
        <v>73</v>
      </c>
      <c r="C52" s="16" t="s">
        <v>364</v>
      </c>
      <c r="D52">
        <v>3.1667000000000001E-2</v>
      </c>
      <c r="E52">
        <v>4.1599999999999998E-2</v>
      </c>
      <c r="F52">
        <v>4.9167000000000002E-2</v>
      </c>
      <c r="G52" s="1" t="s">
        <v>31</v>
      </c>
      <c r="H52" s="1" t="s">
        <v>365</v>
      </c>
      <c r="I52" s="1">
        <v>6</v>
      </c>
      <c r="J52" s="17">
        <v>49</v>
      </c>
      <c r="K52" s="1" t="s">
        <v>366</v>
      </c>
      <c r="L52" s="1" t="s">
        <v>366</v>
      </c>
      <c r="M52" s="1" t="s">
        <v>366</v>
      </c>
      <c r="N52" s="1" t="s">
        <v>366</v>
      </c>
      <c r="O52" s="1" t="s">
        <v>366</v>
      </c>
      <c r="P52" s="1" t="s">
        <v>366</v>
      </c>
      <c r="Q52" s="1" t="s">
        <v>366</v>
      </c>
      <c r="R52" s="18">
        <v>0.158332</v>
      </c>
      <c r="S52">
        <v>0.2392</v>
      </c>
      <c r="T52">
        <v>1.5749979999999999</v>
      </c>
      <c r="U52" s="31" t="s">
        <v>366</v>
      </c>
      <c r="V52" s="307" t="s">
        <v>366</v>
      </c>
      <c r="W52" s="31">
        <f>'All Insulation Data'!$AQ$4</f>
        <v>0.58609756097560994</v>
      </c>
      <c r="X52" s="307">
        <f>'All Insulation Data'!$AR$4</f>
        <v>0.75609756097560998</v>
      </c>
      <c r="Y52" s="18">
        <v>999</v>
      </c>
      <c r="Z52" s="104" t="s">
        <v>5329</v>
      </c>
      <c r="AA52" t="s">
        <v>3406</v>
      </c>
      <c r="AB52" t="s">
        <v>5402</v>
      </c>
      <c r="AC52" s="49"/>
    </row>
    <row r="53" spans="1:29" x14ac:dyDescent="0.2">
      <c r="A53" s="18" t="s">
        <v>50</v>
      </c>
      <c r="B53" t="s">
        <v>77</v>
      </c>
      <c r="C53" s="16" t="s">
        <v>364</v>
      </c>
      <c r="D53" s="1">
        <v>2.6870999999999999E-2</v>
      </c>
      <c r="E53" s="1">
        <v>0.101739</v>
      </c>
      <c r="F53" s="1">
        <v>0.144589</v>
      </c>
      <c r="G53" s="1" t="s">
        <v>31</v>
      </c>
      <c r="H53" s="1" t="s">
        <v>365</v>
      </c>
      <c r="I53" s="1">
        <v>2.7</v>
      </c>
      <c r="J53" s="17">
        <v>31</v>
      </c>
      <c r="K53" s="1" t="s">
        <v>366</v>
      </c>
      <c r="L53" s="1" t="s">
        <v>366</v>
      </c>
      <c r="M53" s="1" t="s">
        <v>366</v>
      </c>
      <c r="N53" s="1" t="s">
        <v>366</v>
      </c>
      <c r="O53" s="1" t="s">
        <v>366</v>
      </c>
      <c r="P53" s="1" t="s">
        <v>366</v>
      </c>
      <c r="Q53" s="1" t="s">
        <v>366</v>
      </c>
      <c r="R53" s="338">
        <v>0.53651300000000002</v>
      </c>
      <c r="S53" s="339">
        <v>0.49099100000000001</v>
      </c>
      <c r="T53" s="339">
        <v>0.67023500000000003</v>
      </c>
      <c r="U53" s="31" t="s">
        <v>366</v>
      </c>
      <c r="V53" s="307" t="s">
        <v>366</v>
      </c>
      <c r="W53" s="31">
        <f>'All Insulation Data'!$AQ$8</f>
        <v>0.40875</v>
      </c>
      <c r="X53" s="307">
        <f>'All Insulation Data'!$AR$8+0.39</f>
        <v>0.86875000000000002</v>
      </c>
      <c r="Y53" s="18">
        <v>999</v>
      </c>
      <c r="Z53" s="104" t="s">
        <v>5329</v>
      </c>
      <c r="AA53" t="s">
        <v>3406</v>
      </c>
      <c r="AB53" t="s">
        <v>5403</v>
      </c>
      <c r="AC53" s="49" t="s">
        <v>5449</v>
      </c>
    </row>
    <row r="54" spans="1:29" x14ac:dyDescent="0.2">
      <c r="A54" s="18" t="s">
        <v>18</v>
      </c>
      <c r="B54" t="s">
        <v>77</v>
      </c>
      <c r="C54" s="16" t="s">
        <v>364</v>
      </c>
      <c r="D54" s="1">
        <v>2.6870999999999999E-2</v>
      </c>
      <c r="E54" s="1">
        <v>0.101739</v>
      </c>
      <c r="F54" s="1">
        <v>0.144589</v>
      </c>
      <c r="G54" s="1" t="s">
        <v>31</v>
      </c>
      <c r="H54" s="1" t="s">
        <v>365</v>
      </c>
      <c r="I54" s="1">
        <v>2.7</v>
      </c>
      <c r="J54" s="17">
        <v>31</v>
      </c>
      <c r="K54" s="1" t="s">
        <v>366</v>
      </c>
      <c r="L54" s="1" t="s">
        <v>366</v>
      </c>
      <c r="M54" s="1" t="s">
        <v>366</v>
      </c>
      <c r="N54" s="1" t="s">
        <v>366</v>
      </c>
      <c r="O54" s="1" t="s">
        <v>366</v>
      </c>
      <c r="P54" s="1" t="s">
        <v>366</v>
      </c>
      <c r="Q54" s="1" t="s">
        <v>366</v>
      </c>
      <c r="R54" s="338">
        <v>0.53651300000000002</v>
      </c>
      <c r="S54" s="339">
        <v>0.49099100000000001</v>
      </c>
      <c r="T54" s="339">
        <v>0.67023500000000003</v>
      </c>
      <c r="U54" s="31" t="s">
        <v>366</v>
      </c>
      <c r="V54" s="307" t="s">
        <v>366</v>
      </c>
      <c r="W54" s="31">
        <f>'All Insulation Data'!$AQ$8</f>
        <v>0.40875</v>
      </c>
      <c r="X54" s="307">
        <f>'All Insulation Data'!$AR$8</f>
        <v>0.47875000000000001</v>
      </c>
      <c r="Y54" s="18">
        <v>999</v>
      </c>
      <c r="Z54" s="104" t="s">
        <v>5329</v>
      </c>
      <c r="AA54" t="s">
        <v>3406</v>
      </c>
      <c r="AB54" t="s">
        <v>5403</v>
      </c>
      <c r="AC54" s="49"/>
    </row>
    <row r="55" spans="1:29" x14ac:dyDescent="0.2">
      <c r="A55" s="18" t="s">
        <v>48</v>
      </c>
      <c r="B55" t="s">
        <v>78</v>
      </c>
      <c r="C55" s="16" t="s">
        <v>364</v>
      </c>
      <c r="D55">
        <v>0.12371699999999999</v>
      </c>
      <c r="E55">
        <v>0.17549999999999999</v>
      </c>
      <c r="F55">
        <v>0.22850000000000001</v>
      </c>
      <c r="G55" s="1" t="s">
        <v>31</v>
      </c>
      <c r="H55" s="1" t="s">
        <v>365</v>
      </c>
      <c r="I55" s="1">
        <v>1</v>
      </c>
      <c r="J55" s="17">
        <v>20</v>
      </c>
      <c r="K55" s="1" t="s">
        <v>366</v>
      </c>
      <c r="L55" s="1" t="s">
        <v>366</v>
      </c>
      <c r="M55" s="1" t="s">
        <v>366</v>
      </c>
      <c r="N55" s="1" t="s">
        <v>366</v>
      </c>
      <c r="O55" s="1" t="s">
        <v>366</v>
      </c>
      <c r="P55" s="1" t="s">
        <v>366</v>
      </c>
      <c r="Q55" s="1" t="s">
        <v>366</v>
      </c>
      <c r="R55" s="18">
        <v>6.5725000000000006E-2</v>
      </c>
      <c r="S55">
        <v>0.10125199999999999</v>
      </c>
      <c r="T55">
        <v>2.7075</v>
      </c>
      <c r="U55" s="31" t="s">
        <v>366</v>
      </c>
      <c r="V55" s="307" t="s">
        <v>366</v>
      </c>
      <c r="W55" s="31">
        <f>'All Insulation Data'!$AQ$9</f>
        <v>0.45500000000000002</v>
      </c>
      <c r="X55" s="307">
        <f>'All Insulation Data'!$AR$9</f>
        <v>0.52500000000000002</v>
      </c>
      <c r="Y55" s="18">
        <v>999</v>
      </c>
      <c r="Z55" s="104" t="s">
        <v>5329</v>
      </c>
      <c r="AA55" t="s">
        <v>3406</v>
      </c>
      <c r="AB55" t="s">
        <v>5404</v>
      </c>
      <c r="AC55" s="49"/>
    </row>
    <row r="56" spans="1:29" x14ac:dyDescent="0.2">
      <c r="A56" s="18" t="s">
        <v>17</v>
      </c>
      <c r="B56" t="s">
        <v>77</v>
      </c>
      <c r="C56" s="16" t="s">
        <v>364</v>
      </c>
      <c r="D56" s="1">
        <v>2.6870999999999999E-2</v>
      </c>
      <c r="E56" s="1">
        <v>0.101739</v>
      </c>
      <c r="F56" s="1">
        <v>0.144589</v>
      </c>
      <c r="G56" s="1" t="s">
        <v>31</v>
      </c>
      <c r="H56" s="1" t="s">
        <v>365</v>
      </c>
      <c r="I56" s="1">
        <v>2.7</v>
      </c>
      <c r="J56" s="17">
        <v>31</v>
      </c>
      <c r="K56" s="1" t="s">
        <v>366</v>
      </c>
      <c r="L56" s="1" t="s">
        <v>366</v>
      </c>
      <c r="M56" s="1" t="s">
        <v>366</v>
      </c>
      <c r="N56" s="1" t="s">
        <v>366</v>
      </c>
      <c r="O56" s="1" t="s">
        <v>366</v>
      </c>
      <c r="P56" s="1" t="s">
        <v>366</v>
      </c>
      <c r="Q56" s="1" t="s">
        <v>366</v>
      </c>
      <c r="R56" s="338">
        <v>0.53651300000000002</v>
      </c>
      <c r="S56" s="339">
        <v>0.49099100000000001</v>
      </c>
      <c r="T56" s="339">
        <v>0.67023500000000003</v>
      </c>
      <c r="U56" s="31" t="s">
        <v>366</v>
      </c>
      <c r="V56" s="307" t="s">
        <v>366</v>
      </c>
      <c r="W56" s="31">
        <f>'All Insulation Data'!$AQ$8</f>
        <v>0.40875</v>
      </c>
      <c r="X56" s="307">
        <f>'All Insulation Data'!$AR$8</f>
        <v>0.47875000000000001</v>
      </c>
      <c r="Y56" s="18">
        <v>999</v>
      </c>
      <c r="Z56" t="s">
        <v>5451</v>
      </c>
      <c r="AA56" t="s">
        <v>3406</v>
      </c>
      <c r="AB56" t="s">
        <v>5403</v>
      </c>
      <c r="AC56" s="49"/>
    </row>
    <row r="57" spans="1:29" x14ac:dyDescent="0.2">
      <c r="A57" s="18" t="s">
        <v>48</v>
      </c>
      <c r="B57" t="s">
        <v>77</v>
      </c>
      <c r="C57" s="16" t="s">
        <v>364</v>
      </c>
      <c r="D57" s="1">
        <v>2.6870999999999999E-2</v>
      </c>
      <c r="E57" s="1">
        <v>0.101739</v>
      </c>
      <c r="F57" s="1">
        <v>0.144589</v>
      </c>
      <c r="G57" s="1" t="s">
        <v>31</v>
      </c>
      <c r="H57" s="1" t="s">
        <v>365</v>
      </c>
      <c r="I57" s="1">
        <v>2.7</v>
      </c>
      <c r="J57" s="17">
        <v>31</v>
      </c>
      <c r="K57" s="1" t="s">
        <v>366</v>
      </c>
      <c r="L57" s="1" t="s">
        <v>366</v>
      </c>
      <c r="M57" s="1" t="s">
        <v>366</v>
      </c>
      <c r="N57" s="1" t="s">
        <v>366</v>
      </c>
      <c r="O57" s="1" t="s">
        <v>366</v>
      </c>
      <c r="P57" s="1" t="s">
        <v>366</v>
      </c>
      <c r="Q57" s="1" t="s">
        <v>366</v>
      </c>
      <c r="R57" s="338">
        <v>0.53651300000000002</v>
      </c>
      <c r="S57" s="339">
        <v>0.49099100000000001</v>
      </c>
      <c r="T57" s="339">
        <v>0.67023500000000003</v>
      </c>
      <c r="U57" s="31" t="s">
        <v>366</v>
      </c>
      <c r="V57" s="307" t="s">
        <v>366</v>
      </c>
      <c r="W57" s="31">
        <f>'All Insulation Data'!$AQ$8</f>
        <v>0.40875</v>
      </c>
      <c r="X57" s="307">
        <f>'All Insulation Data'!$AR$8</f>
        <v>0.47875000000000001</v>
      </c>
      <c r="Y57" s="18">
        <v>999</v>
      </c>
      <c r="Z57" s="104" t="s">
        <v>5329</v>
      </c>
      <c r="AA57" t="s">
        <v>3406</v>
      </c>
      <c r="AB57" t="s">
        <v>5403</v>
      </c>
      <c r="AC57" s="49"/>
    </row>
    <row r="58" spans="1:29" x14ac:dyDescent="0.2">
      <c r="A58" s="18" t="s">
        <v>20</v>
      </c>
      <c r="B58" t="s">
        <v>78</v>
      </c>
      <c r="C58" s="16" t="s">
        <v>364</v>
      </c>
      <c r="D58">
        <v>0.12371699999999999</v>
      </c>
      <c r="E58">
        <v>0.17549999999999999</v>
      </c>
      <c r="F58">
        <v>0.22850000000000001</v>
      </c>
      <c r="G58" s="1" t="s">
        <v>31</v>
      </c>
      <c r="H58" s="1" t="s">
        <v>365</v>
      </c>
      <c r="I58" s="1">
        <v>1</v>
      </c>
      <c r="J58" s="17">
        <v>20</v>
      </c>
      <c r="K58" s="1" t="s">
        <v>366</v>
      </c>
      <c r="L58" s="1" t="s">
        <v>366</v>
      </c>
      <c r="M58" s="1" t="s">
        <v>366</v>
      </c>
      <c r="N58" s="1" t="s">
        <v>366</v>
      </c>
      <c r="O58" s="1" t="s">
        <v>366</v>
      </c>
      <c r="P58" s="1" t="s">
        <v>366</v>
      </c>
      <c r="Q58" s="1" t="s">
        <v>366</v>
      </c>
      <c r="R58" s="18">
        <v>6.5725000000000006E-2</v>
      </c>
      <c r="S58">
        <v>0.10125199999999999</v>
      </c>
      <c r="T58">
        <v>2.7075</v>
      </c>
      <c r="U58" s="31" t="s">
        <v>366</v>
      </c>
      <c r="V58" s="307" t="s">
        <v>366</v>
      </c>
      <c r="W58" s="31">
        <f>'All Insulation Data'!$AQ$9</f>
        <v>0.45500000000000002</v>
      </c>
      <c r="X58" s="307">
        <f>'All Insulation Data'!$AR$9</f>
        <v>0.52500000000000002</v>
      </c>
      <c r="Y58" s="18">
        <v>999</v>
      </c>
      <c r="Z58" s="104" t="s">
        <v>5329</v>
      </c>
      <c r="AA58" t="s">
        <v>3406</v>
      </c>
      <c r="AB58" t="s">
        <v>5404</v>
      </c>
      <c r="AC58" s="49"/>
    </row>
    <row r="59" spans="1:29" x14ac:dyDescent="0.2">
      <c r="A59" s="18" t="s">
        <v>363</v>
      </c>
      <c r="B59" t="s">
        <v>73</v>
      </c>
      <c r="C59" s="16" t="s">
        <v>364</v>
      </c>
      <c r="D59">
        <v>3.1667000000000001E-2</v>
      </c>
      <c r="E59">
        <v>4.1599999999999998E-2</v>
      </c>
      <c r="F59">
        <v>4.9167000000000002E-2</v>
      </c>
      <c r="G59" s="1" t="s">
        <v>31</v>
      </c>
      <c r="H59" s="1" t="s">
        <v>365</v>
      </c>
      <c r="I59" s="1">
        <v>6</v>
      </c>
      <c r="J59" s="17">
        <v>49</v>
      </c>
      <c r="K59" s="1" t="s">
        <v>366</v>
      </c>
      <c r="L59" s="1" t="s">
        <v>366</v>
      </c>
      <c r="M59" s="1" t="s">
        <v>366</v>
      </c>
      <c r="N59" s="1" t="s">
        <v>366</v>
      </c>
      <c r="O59" s="1" t="s">
        <v>366</v>
      </c>
      <c r="P59" s="1" t="s">
        <v>366</v>
      </c>
      <c r="Q59" s="1" t="s">
        <v>366</v>
      </c>
      <c r="R59" s="18">
        <v>0.158332</v>
      </c>
      <c r="S59">
        <v>0.2392</v>
      </c>
      <c r="T59">
        <v>1.5749979999999999</v>
      </c>
      <c r="U59" s="31" t="s">
        <v>366</v>
      </c>
      <c r="V59" s="307" t="s">
        <v>366</v>
      </c>
      <c r="W59" s="31">
        <f>'All Insulation Data'!$AQ$4</f>
        <v>0.58609756097560994</v>
      </c>
      <c r="X59" s="307">
        <f>'All Insulation Data'!$AR$4</f>
        <v>0.75609756097560998</v>
      </c>
      <c r="Y59" s="18">
        <v>999</v>
      </c>
      <c r="Z59" s="104" t="s">
        <v>5497</v>
      </c>
      <c r="AA59" t="s">
        <v>3406</v>
      </c>
      <c r="AB59" t="s">
        <v>5402</v>
      </c>
      <c r="AC59" s="49"/>
    </row>
    <row r="60" spans="1:29" x14ac:dyDescent="0.2">
      <c r="A60" s="18" t="s">
        <v>363</v>
      </c>
      <c r="B60" t="s">
        <v>76</v>
      </c>
      <c r="C60" s="16" t="s">
        <v>364</v>
      </c>
      <c r="D60">
        <v>3.6189999999999998E-3</v>
      </c>
      <c r="E60">
        <v>7.0400000000000003E-3</v>
      </c>
      <c r="F60">
        <v>1.0169999999999999E-3</v>
      </c>
      <c r="G60" s="1" t="s">
        <v>31</v>
      </c>
      <c r="H60" s="1" t="s">
        <v>365</v>
      </c>
      <c r="I60" s="1">
        <v>2.78</v>
      </c>
      <c r="J60" s="17">
        <v>38</v>
      </c>
      <c r="K60" s="1" t="s">
        <v>366</v>
      </c>
      <c r="L60" s="1" t="s">
        <v>366</v>
      </c>
      <c r="M60" s="1" t="s">
        <v>366</v>
      </c>
      <c r="N60" s="1" t="s">
        <v>366</v>
      </c>
      <c r="O60" s="1" t="s">
        <v>366</v>
      </c>
      <c r="P60" s="1" t="s">
        <v>366</v>
      </c>
      <c r="Q60" s="1" t="s">
        <v>366</v>
      </c>
      <c r="R60" s="18">
        <v>0.156253</v>
      </c>
      <c r="S60">
        <v>0.27888200000000002</v>
      </c>
      <c r="T60">
        <v>0.95593399999999995</v>
      </c>
      <c r="U60" s="31">
        <v>1.7305785123966939</v>
      </c>
      <c r="V60" s="307">
        <v>1.8099173553719006</v>
      </c>
      <c r="W60" s="31" t="s">
        <v>366</v>
      </c>
      <c r="X60" s="307" t="s">
        <v>366</v>
      </c>
      <c r="Y60" s="18">
        <v>999</v>
      </c>
      <c r="Z60" s="104" t="s">
        <v>5497</v>
      </c>
      <c r="AA60" t="s">
        <v>3406</v>
      </c>
      <c r="AB60" t="s">
        <v>5475</v>
      </c>
      <c r="AC60" s="49"/>
    </row>
    <row r="61" spans="1:29" x14ac:dyDescent="0.2">
      <c r="A61" s="18" t="s">
        <v>20</v>
      </c>
      <c r="B61" t="s">
        <v>77</v>
      </c>
      <c r="C61" s="16" t="s">
        <v>364</v>
      </c>
      <c r="D61" s="1">
        <v>2.6870999999999999E-2</v>
      </c>
      <c r="E61" s="1">
        <v>0.101739</v>
      </c>
      <c r="F61" s="1">
        <v>0.144589</v>
      </c>
      <c r="G61" s="1" t="s">
        <v>31</v>
      </c>
      <c r="H61" s="1" t="s">
        <v>365</v>
      </c>
      <c r="I61" s="1">
        <v>2.7</v>
      </c>
      <c r="J61" s="17">
        <v>31</v>
      </c>
      <c r="K61" s="1" t="s">
        <v>366</v>
      </c>
      <c r="L61" s="1" t="s">
        <v>366</v>
      </c>
      <c r="M61" s="1" t="s">
        <v>366</v>
      </c>
      <c r="N61" s="1" t="s">
        <v>366</v>
      </c>
      <c r="O61" s="1" t="s">
        <v>366</v>
      </c>
      <c r="P61" s="1" t="s">
        <v>366</v>
      </c>
      <c r="Q61" s="1" t="s">
        <v>366</v>
      </c>
      <c r="R61" s="338">
        <v>0.53651300000000002</v>
      </c>
      <c r="S61" s="339">
        <v>0.49099100000000001</v>
      </c>
      <c r="T61" s="339">
        <v>0.67023500000000003</v>
      </c>
      <c r="U61" s="31" t="s">
        <v>366</v>
      </c>
      <c r="V61" s="307" t="s">
        <v>366</v>
      </c>
      <c r="W61" s="31">
        <f>'All Insulation Data'!$AQ$8</f>
        <v>0.40875</v>
      </c>
      <c r="X61" s="307">
        <f>'All Insulation Data'!$AR$8</f>
        <v>0.47875000000000001</v>
      </c>
      <c r="Y61" s="18">
        <v>999</v>
      </c>
      <c r="Z61" s="104" t="s">
        <v>5497</v>
      </c>
      <c r="AA61" t="s">
        <v>3406</v>
      </c>
      <c r="AB61" t="s">
        <v>5403</v>
      </c>
      <c r="AC61" s="49"/>
    </row>
    <row r="62" spans="1:29" x14ac:dyDescent="0.2">
      <c r="A62" s="18" t="s">
        <v>363</v>
      </c>
      <c r="B62" t="s">
        <v>77</v>
      </c>
      <c r="C62" s="16" t="s">
        <v>364</v>
      </c>
      <c r="D62" s="1">
        <v>2.6870999999999999E-2</v>
      </c>
      <c r="E62" s="1">
        <v>0.101739</v>
      </c>
      <c r="F62" s="1">
        <v>0.144589</v>
      </c>
      <c r="G62" s="1" t="s">
        <v>31</v>
      </c>
      <c r="H62" s="1" t="s">
        <v>365</v>
      </c>
      <c r="I62" s="1">
        <v>2.7</v>
      </c>
      <c r="J62" s="17">
        <v>31</v>
      </c>
      <c r="K62" s="1" t="s">
        <v>366</v>
      </c>
      <c r="L62" s="1" t="s">
        <v>366</v>
      </c>
      <c r="M62" s="1" t="s">
        <v>366</v>
      </c>
      <c r="N62" s="1" t="s">
        <v>366</v>
      </c>
      <c r="O62" s="1" t="s">
        <v>366</v>
      </c>
      <c r="P62" s="1" t="s">
        <v>366</v>
      </c>
      <c r="Q62" s="1" t="s">
        <v>366</v>
      </c>
      <c r="R62" s="338">
        <v>0.53651300000000002</v>
      </c>
      <c r="S62" s="339">
        <v>0.49099100000000001</v>
      </c>
      <c r="T62" s="339">
        <v>0.67023500000000003</v>
      </c>
      <c r="U62" s="31" t="s">
        <v>366</v>
      </c>
      <c r="V62" s="307" t="s">
        <v>366</v>
      </c>
      <c r="W62" s="31">
        <f>'All Insulation Data'!$AQ$8</f>
        <v>0.40875</v>
      </c>
      <c r="X62" s="307">
        <f>'All Insulation Data'!$AR$8</f>
        <v>0.47875000000000001</v>
      </c>
      <c r="Y62" s="18">
        <v>999</v>
      </c>
      <c r="Z62" s="104" t="s">
        <v>5497</v>
      </c>
      <c r="AA62" t="s">
        <v>3406</v>
      </c>
      <c r="AB62" t="s">
        <v>5403</v>
      </c>
      <c r="AC62" s="49"/>
    </row>
    <row r="63" spans="1:29" x14ac:dyDescent="0.2">
      <c r="A63" s="18" t="s">
        <v>363</v>
      </c>
      <c r="B63" t="s">
        <v>78</v>
      </c>
      <c r="C63" s="16" t="s">
        <v>364</v>
      </c>
      <c r="D63">
        <v>0.12371699999999999</v>
      </c>
      <c r="E63">
        <v>0.17549999999999999</v>
      </c>
      <c r="F63">
        <v>0.22850000000000001</v>
      </c>
      <c r="G63" s="1" t="s">
        <v>31</v>
      </c>
      <c r="H63" s="1" t="s">
        <v>365</v>
      </c>
      <c r="I63" s="1">
        <v>1</v>
      </c>
      <c r="J63" s="17">
        <v>20</v>
      </c>
      <c r="K63" s="1" t="s">
        <v>366</v>
      </c>
      <c r="L63" s="1" t="s">
        <v>366</v>
      </c>
      <c r="M63" s="1" t="s">
        <v>366</v>
      </c>
      <c r="N63" s="1" t="s">
        <v>366</v>
      </c>
      <c r="O63" s="1" t="s">
        <v>366</v>
      </c>
      <c r="P63" s="1" t="s">
        <v>366</v>
      </c>
      <c r="Q63" s="1" t="s">
        <v>366</v>
      </c>
      <c r="R63" s="18">
        <v>6.5725000000000006E-2</v>
      </c>
      <c r="S63">
        <v>0.10125199999999999</v>
      </c>
      <c r="T63">
        <v>2.7075</v>
      </c>
      <c r="U63" s="31" t="s">
        <v>366</v>
      </c>
      <c r="V63" s="307" t="s">
        <v>366</v>
      </c>
      <c r="W63" s="31">
        <f>'All Insulation Data'!$AQ$9</f>
        <v>0.45500000000000002</v>
      </c>
      <c r="X63" s="307">
        <f>'All Insulation Data'!$AR$9</f>
        <v>0.52500000000000002</v>
      </c>
      <c r="Y63" s="18">
        <v>999</v>
      </c>
      <c r="Z63" s="104" t="s">
        <v>5497</v>
      </c>
      <c r="AA63" t="s">
        <v>3406</v>
      </c>
      <c r="AB63" t="s">
        <v>5404</v>
      </c>
      <c r="AC63" s="49"/>
    </row>
    <row r="64" spans="1:29" x14ac:dyDescent="0.2">
      <c r="A64" s="18" t="s">
        <v>363</v>
      </c>
      <c r="B64" t="s">
        <v>369</v>
      </c>
      <c r="C64" s="16" t="s">
        <v>364</v>
      </c>
      <c r="D64">
        <v>0.209286</v>
      </c>
      <c r="E64">
        <v>0.30105500000000002</v>
      </c>
      <c r="F64">
        <v>0.61853499999999995</v>
      </c>
      <c r="G64" s="1" t="s">
        <v>31</v>
      </c>
      <c r="H64" s="1" t="s">
        <v>365</v>
      </c>
      <c r="I64" s="1">
        <v>5.5</v>
      </c>
      <c r="J64" s="17">
        <v>42</v>
      </c>
      <c r="K64" s="1" t="s">
        <v>366</v>
      </c>
      <c r="L64" s="1" t="s">
        <v>366</v>
      </c>
      <c r="M64" s="1" t="s">
        <v>366</v>
      </c>
      <c r="N64" s="1" t="s">
        <v>366</v>
      </c>
      <c r="O64" s="1" t="s">
        <v>366</v>
      </c>
      <c r="P64" s="1" t="s">
        <v>366</v>
      </c>
      <c r="Q64" s="1" t="s">
        <v>366</v>
      </c>
      <c r="R64" s="18">
        <v>3.9999999999999998E-6</v>
      </c>
      <c r="S64">
        <v>3.1016999999999999E-2</v>
      </c>
      <c r="T64">
        <v>-3.0620000000000001E-3</v>
      </c>
      <c r="U64" s="31">
        <f>'All Insulation Data'!$AS$11</f>
        <v>1.1366795366795368</v>
      </c>
      <c r="V64" s="307">
        <f>'All Insulation Data'!$AT$11</f>
        <v>1.2849420849420852</v>
      </c>
      <c r="W64" s="31" t="s">
        <v>366</v>
      </c>
      <c r="X64" s="307" t="s">
        <v>366</v>
      </c>
      <c r="Y64" s="18">
        <v>999</v>
      </c>
      <c r="Z64" s="104" t="s">
        <v>5329</v>
      </c>
      <c r="AA64" t="s">
        <v>3406</v>
      </c>
      <c r="AB64" t="s">
        <v>5402</v>
      </c>
      <c r="AC64" s="49"/>
    </row>
    <row r="65" spans="1:29" ht="16" thickBot="1" x14ac:dyDescent="0.25">
      <c r="A65" s="23" t="s">
        <v>363</v>
      </c>
      <c r="B65" s="15" t="s">
        <v>368</v>
      </c>
      <c r="C65" s="20" t="s">
        <v>364</v>
      </c>
      <c r="D65" s="15">
        <v>0.146427</v>
      </c>
      <c r="E65" s="15">
        <v>0.27345000000000003</v>
      </c>
      <c r="F65" s="15">
        <v>0.42841000000000001</v>
      </c>
      <c r="G65" s="21" t="s">
        <v>31</v>
      </c>
      <c r="H65" s="21" t="s">
        <v>365</v>
      </c>
      <c r="I65" s="21">
        <v>3.7</v>
      </c>
      <c r="J65" s="22">
        <v>25.8</v>
      </c>
      <c r="K65" s="21" t="s">
        <v>366</v>
      </c>
      <c r="L65" s="21" t="s">
        <v>366</v>
      </c>
      <c r="M65" s="21" t="s">
        <v>366</v>
      </c>
      <c r="N65" s="21" t="s">
        <v>366</v>
      </c>
      <c r="O65" s="21" t="s">
        <v>366</v>
      </c>
      <c r="P65" s="21" t="s">
        <v>366</v>
      </c>
      <c r="Q65" s="21" t="s">
        <v>366</v>
      </c>
      <c r="R65" s="23">
        <v>0.10636900000000001</v>
      </c>
      <c r="S65" s="15">
        <v>-5.6141999999999997E-2</v>
      </c>
      <c r="T65" s="15">
        <v>-0.192549</v>
      </c>
      <c r="U65" s="32">
        <f>'All Insulation Data'!$AS$12</f>
        <v>1.1366795366795368</v>
      </c>
      <c r="V65" s="326">
        <f>'All Insulation Data'!$AT$12</f>
        <v>1.2853438804658319</v>
      </c>
      <c r="W65" s="32" t="s">
        <v>366</v>
      </c>
      <c r="X65" s="326" t="s">
        <v>366</v>
      </c>
      <c r="Y65" s="23">
        <v>999</v>
      </c>
      <c r="Z65" s="105" t="s">
        <v>5329</v>
      </c>
      <c r="AA65" s="15" t="s">
        <v>3406</v>
      </c>
      <c r="AB65" s="15" t="s">
        <v>5476</v>
      </c>
      <c r="AC65" s="50"/>
    </row>
    <row r="71" spans="1:29" x14ac:dyDescent="0.2">
      <c r="A71" s="34" t="s">
        <v>372</v>
      </c>
    </row>
    <row r="72" spans="1:29" s="15" customFormat="1" ht="16" thickBot="1" x14ac:dyDescent="0.25"/>
    <row r="73" spans="1:29" x14ac:dyDescent="0.2">
      <c r="A73" s="34" t="s">
        <v>373</v>
      </c>
    </row>
    <row r="74" spans="1:29" x14ac:dyDescent="0.2">
      <c r="A74" s="37" t="s">
        <v>374</v>
      </c>
      <c r="B74" s="281" t="s">
        <v>5115</v>
      </c>
      <c r="C74" s="308"/>
      <c r="J74" s="41" t="s">
        <v>4810</v>
      </c>
    </row>
    <row r="75" spans="1:29" x14ac:dyDescent="0.2">
      <c r="A75" s="37" t="s">
        <v>375</v>
      </c>
      <c r="B75" s="38">
        <v>101</v>
      </c>
      <c r="H75" s="243" t="s">
        <v>5031</v>
      </c>
      <c r="J75" t="s">
        <v>4806</v>
      </c>
      <c r="K75">
        <f>VALUE(TRIM(RIGHT(TEXT(H77,),LEN(H77)-LEN("Metric_1")-4)))</f>
        <v>3.1667000000000001E-2</v>
      </c>
      <c r="L75">
        <f>VALUE(TRIM(RIGHT(TEXT(H82,),LEN(H82)-LEN("Metric_1")-4)))</f>
        <v>4.1599999999999998E-2</v>
      </c>
      <c r="M75">
        <f>VALUE(TRIM(RIGHT(TEXT(H87,),LEN(H87)-LEN("Metric_1")-4)))</f>
        <v>4.9167000000000002E-2</v>
      </c>
    </row>
    <row r="76" spans="1:29" ht="17" x14ac:dyDescent="0.2">
      <c r="A76" s="37" t="s">
        <v>376</v>
      </c>
      <c r="B76" s="38">
        <v>0.2114</v>
      </c>
      <c r="H76" t="s">
        <v>5123</v>
      </c>
      <c r="J76" t="s">
        <v>4807</v>
      </c>
      <c r="K76">
        <f>VALUE(TRIM(RIGHT(TEXT(H78,),LEN(H78)-LEN("Metric_2")-4)))</f>
        <v>0</v>
      </c>
      <c r="L76">
        <f>VALUE(TRIM(RIGHT(TEXT(H83,),LEN(H83)-LEN("Metric_2")-4)))</f>
        <v>0</v>
      </c>
      <c r="M76">
        <f>VALUE(TRIM(RIGHT(TEXT(H88,),LEN(H88)-LEN("Metric_2")-4)))</f>
        <v>0</v>
      </c>
    </row>
    <row r="77" spans="1:29" x14ac:dyDescent="0.2">
      <c r="B77" s="38"/>
      <c r="H77" s="266" t="s">
        <v>5118</v>
      </c>
      <c r="J77" t="s">
        <v>4809</v>
      </c>
      <c r="K77">
        <f>VALUE(TRIM(RIGHT(H76,LEN(H76)-LEN("Intercept")-4)))</f>
        <v>0.158332</v>
      </c>
      <c r="L77">
        <f>VALUE(TRIM(RIGHT(H81,LEN(H81)-LEN("Intercept")-4)))</f>
        <v>0.2392</v>
      </c>
      <c r="M77">
        <f>VALUE(TRIM(RIGHT(H86,LEN(H86)-LEN("Intercept")-4)))</f>
        <v>1.5749979999999999</v>
      </c>
    </row>
    <row r="78" spans="1:29" x14ac:dyDescent="0.2">
      <c r="B78" s="38"/>
      <c r="H78" t="s">
        <v>5116</v>
      </c>
    </row>
    <row r="79" spans="1:29" x14ac:dyDescent="0.2">
      <c r="B79" s="38"/>
      <c r="N79" t="str">
        <f>TEXT(H79,)</f>
        <v/>
      </c>
    </row>
    <row r="80" spans="1:29" x14ac:dyDescent="0.2">
      <c r="B80" s="38"/>
      <c r="H80" t="s">
        <v>5032</v>
      </c>
    </row>
    <row r="81" spans="1:13" x14ac:dyDescent="0.2">
      <c r="B81" s="38"/>
      <c r="H81" t="s">
        <v>5124</v>
      </c>
    </row>
    <row r="82" spans="1:13" x14ac:dyDescent="0.2">
      <c r="B82" s="38"/>
      <c r="H82" t="s">
        <v>5125</v>
      </c>
    </row>
    <row r="83" spans="1:13" x14ac:dyDescent="0.2">
      <c r="B83" s="38"/>
      <c r="H83" t="s">
        <v>5126</v>
      </c>
    </row>
    <row r="84" spans="1:13" x14ac:dyDescent="0.2">
      <c r="B84" s="38"/>
    </row>
    <row r="85" spans="1:13" x14ac:dyDescent="0.2">
      <c r="B85" s="38"/>
      <c r="H85" t="s">
        <v>5033</v>
      </c>
    </row>
    <row r="86" spans="1:13" x14ac:dyDescent="0.2">
      <c r="B86" s="38"/>
      <c r="H86" t="s">
        <v>5127</v>
      </c>
    </row>
    <row r="87" spans="1:13" x14ac:dyDescent="0.2">
      <c r="B87" s="38"/>
      <c r="H87" t="s">
        <v>5128</v>
      </c>
    </row>
    <row r="88" spans="1:13" x14ac:dyDescent="0.2">
      <c r="B88" s="38"/>
      <c r="H88" t="s">
        <v>5116</v>
      </c>
    </row>
    <row r="89" spans="1:13" ht="16" thickBot="1" x14ac:dyDescent="0.25">
      <c r="B89" s="38"/>
    </row>
    <row r="90" spans="1:13" s="36" customFormat="1" x14ac:dyDescent="0.2">
      <c r="A90" s="35" t="s">
        <v>377</v>
      </c>
      <c r="B90" s="228"/>
    </row>
    <row r="91" spans="1:13" x14ac:dyDescent="0.2">
      <c r="A91" s="37" t="s">
        <v>374</v>
      </c>
      <c r="B91" s="229" t="s">
        <v>5115</v>
      </c>
      <c r="C91" s="308"/>
      <c r="J91" s="41" t="s">
        <v>4810</v>
      </c>
    </row>
    <row r="92" spans="1:13" x14ac:dyDescent="0.2">
      <c r="A92" s="37" t="s">
        <v>375</v>
      </c>
      <c r="B92" s="38">
        <v>93</v>
      </c>
      <c r="H92" s="243" t="s">
        <v>5031</v>
      </c>
      <c r="J92" t="s">
        <v>4806</v>
      </c>
      <c r="K92">
        <f>VALUE(TRIM(RIGHT(TEXT(H94,),LEN(H94)-LEN("Metric_1")-4)))</f>
        <v>3.1667000000000001E-2</v>
      </c>
      <c r="L92">
        <f>VALUE(TRIM(RIGHT(TEXT(H99,),LEN(H99)-LEN("Metric_1")-4)))</f>
        <v>4.2999999999999997E-2</v>
      </c>
      <c r="M92">
        <f>VALUE(TRIM(RIGHT(TEXT(H104,),LEN(H104)-LEN("Metric_1")-4)))</f>
        <v>5.1993999999999999E-2</v>
      </c>
    </row>
    <row r="93" spans="1:13" ht="17" x14ac:dyDescent="0.2">
      <c r="A93" s="37" t="s">
        <v>376</v>
      </c>
      <c r="B93" s="38">
        <v>0.18940000000000001</v>
      </c>
      <c r="H93" t="s">
        <v>5117</v>
      </c>
      <c r="J93" t="s">
        <v>4807</v>
      </c>
      <c r="K93">
        <f>VALUE(TRIM(RIGHT(TEXT(H95,),LEN(H95)-LEN("Metric_2")-4)))</f>
        <v>0</v>
      </c>
      <c r="L93">
        <f>VALUE(TRIM(RIGHT(TEXT(H100,),LEN(H100)-LEN("Metric_2")-4)))</f>
        <v>0</v>
      </c>
      <c r="M93">
        <f>VALUE(TRIM(RIGHT(TEXT(H105,),LEN(H105)-LEN("Metric_2")-4)))</f>
        <v>0</v>
      </c>
    </row>
    <row r="94" spans="1:13" x14ac:dyDescent="0.2">
      <c r="A94" s="18"/>
      <c r="B94" s="38"/>
      <c r="H94" t="s">
        <v>5118</v>
      </c>
      <c r="J94" t="s">
        <v>4808</v>
      </c>
      <c r="K94">
        <f>VALUE(TRIM(RIGHT(H93,LEN(H93)-LEN("Intercept")-4)))</f>
        <v>0.158334</v>
      </c>
      <c r="L94">
        <f>VALUE(TRIM(RIGHT(H98,LEN(H98)-LEN("Intercept")-4)))</f>
        <v>0.26300400000000002</v>
      </c>
      <c r="M94">
        <f>VALUE(TRIM(RIGHT(H103,LEN(H103)-LEN("Intercept")-4)))</f>
        <v>1.5580369999999999</v>
      </c>
    </row>
    <row r="95" spans="1:13" x14ac:dyDescent="0.2">
      <c r="A95" s="18"/>
      <c r="B95" s="38"/>
      <c r="H95" t="s">
        <v>5116</v>
      </c>
    </row>
    <row r="96" spans="1:13" x14ac:dyDescent="0.2">
      <c r="A96" s="18"/>
      <c r="B96" s="38"/>
    </row>
    <row r="97" spans="1:13" x14ac:dyDescent="0.2">
      <c r="A97" s="18"/>
      <c r="B97" s="38"/>
      <c r="H97" t="s">
        <v>5032</v>
      </c>
    </row>
    <row r="98" spans="1:13" x14ac:dyDescent="0.2">
      <c r="A98" s="18"/>
      <c r="B98" s="38"/>
      <c r="H98" t="s">
        <v>5119</v>
      </c>
    </row>
    <row r="99" spans="1:13" x14ac:dyDescent="0.2">
      <c r="A99" s="18"/>
      <c r="B99" s="38"/>
      <c r="H99" t="s">
        <v>5120</v>
      </c>
    </row>
    <row r="100" spans="1:13" x14ac:dyDescent="0.2">
      <c r="A100" s="18"/>
      <c r="B100" s="38"/>
      <c r="H100" t="s">
        <v>5116</v>
      </c>
    </row>
    <row r="101" spans="1:13" x14ac:dyDescent="0.2">
      <c r="A101" s="18"/>
      <c r="B101" s="38"/>
    </row>
    <row r="102" spans="1:13" x14ac:dyDescent="0.2">
      <c r="A102" s="18"/>
      <c r="B102" s="38"/>
      <c r="H102" t="s">
        <v>5033</v>
      </c>
    </row>
    <row r="103" spans="1:13" x14ac:dyDescent="0.2">
      <c r="A103" s="18"/>
      <c r="B103" s="38"/>
      <c r="H103" t="s">
        <v>5121</v>
      </c>
    </row>
    <row r="104" spans="1:13" ht="16.25" customHeight="1" x14ac:dyDescent="0.2">
      <c r="A104" s="18"/>
      <c r="B104" s="38"/>
      <c r="H104" t="s">
        <v>5122</v>
      </c>
    </row>
    <row r="105" spans="1:13" x14ac:dyDescent="0.2">
      <c r="A105" s="18"/>
      <c r="B105" s="38"/>
      <c r="H105" t="s">
        <v>5116</v>
      </c>
    </row>
    <row r="106" spans="1:13" x14ac:dyDescent="0.2">
      <c r="A106" s="18"/>
      <c r="B106" s="38"/>
    </row>
    <row r="107" spans="1:13" s="15" customFormat="1" ht="16" thickBot="1" x14ac:dyDescent="0.25">
      <c r="A107" s="23"/>
      <c r="B107" s="19"/>
    </row>
    <row r="108" spans="1:13" x14ac:dyDescent="0.2">
      <c r="A108" s="224" t="s">
        <v>378</v>
      </c>
      <c r="B108" s="38"/>
    </row>
    <row r="109" spans="1:13" x14ac:dyDescent="0.2">
      <c r="A109" s="37" t="s">
        <v>374</v>
      </c>
      <c r="B109" s="38" t="s">
        <v>3403</v>
      </c>
      <c r="C109" s="308"/>
    </row>
    <row r="110" spans="1:13" x14ac:dyDescent="0.2">
      <c r="A110" s="37" t="s">
        <v>375</v>
      </c>
      <c r="B110" s="38">
        <v>66</v>
      </c>
      <c r="H110" s="243" t="s">
        <v>5031</v>
      </c>
    </row>
    <row r="111" spans="1:13" ht="17" x14ac:dyDescent="0.2">
      <c r="A111" s="37" t="s">
        <v>376</v>
      </c>
      <c r="B111" s="38">
        <v>0.19270000000000001</v>
      </c>
      <c r="H111" t="s">
        <v>5133</v>
      </c>
      <c r="J111" s="41" t="s">
        <v>4810</v>
      </c>
    </row>
    <row r="112" spans="1:13" x14ac:dyDescent="0.2">
      <c r="A112" s="18"/>
      <c r="B112" s="38"/>
      <c r="H112" t="s">
        <v>5134</v>
      </c>
      <c r="J112" t="s">
        <v>4806</v>
      </c>
      <c r="K112">
        <f>VALUE(TRIM(RIGHT(TEXT(H112,),LEN(H112)-LEN("Metric_1")-4)))</f>
        <v>8.6960000000000006E-3</v>
      </c>
      <c r="L112">
        <f>VALUE(TRIM(RIGHT(TEXT(H117,),LEN(H117)-LEN("Metric_1")-4)))</f>
        <v>1.7857000000000001E-2</v>
      </c>
      <c r="M112">
        <f>VALUE(TRIM(RIGHT(TEXT(H122,),LEN(H122)-LEN("Metric_1")-4)))</f>
        <v>1.1494000000000001E-2</v>
      </c>
    </row>
    <row r="113" spans="1:13" x14ac:dyDescent="0.2">
      <c r="A113" s="18"/>
      <c r="B113" s="38"/>
      <c r="H113" t="s">
        <v>5116</v>
      </c>
      <c r="J113" t="s">
        <v>4807</v>
      </c>
      <c r="K113">
        <f>VALUE(TRIM(RIGHT(TEXT(H113,),LEN(H113)-LEN("Metric_2")-4)))</f>
        <v>0</v>
      </c>
      <c r="L113">
        <f>VALUE(TRIM(RIGHT(TEXT(H118,),LEN(H118)-LEN("Metric_2")-4)))</f>
        <v>0</v>
      </c>
      <c r="M113">
        <f>VALUE(TRIM(RIGHT(TEXT(H123,),LEN(H123)-LEN("Metric_2")-4)))</f>
        <v>0</v>
      </c>
    </row>
    <row r="114" spans="1:13" x14ac:dyDescent="0.2">
      <c r="A114" s="18"/>
      <c r="B114" s="38"/>
      <c r="J114" t="s">
        <v>4808</v>
      </c>
      <c r="K114">
        <f>VALUE(TRIM(RIGHT(H111,LEN(H111)-LEN("Intercept")-4)))</f>
        <v>0.13695599999999999</v>
      </c>
      <c r="L114">
        <f>VALUE(TRIM(RIGHT(H116,LEN(H116)-LEN("Intercept")-4)))</f>
        <v>0.135715</v>
      </c>
      <c r="M114">
        <f>VALUE(TRIM(RIGHT(H121,LEN(H121)-LEN("Intercept")-4)))</f>
        <v>0.61674600000000002</v>
      </c>
    </row>
    <row r="115" spans="1:13" x14ac:dyDescent="0.2">
      <c r="A115" s="18"/>
      <c r="B115" s="38"/>
      <c r="H115" t="s">
        <v>5032</v>
      </c>
    </row>
    <row r="116" spans="1:13" x14ac:dyDescent="0.2">
      <c r="A116" s="18"/>
      <c r="B116" s="38"/>
      <c r="H116" t="s">
        <v>5131</v>
      </c>
    </row>
    <row r="117" spans="1:13" x14ac:dyDescent="0.2">
      <c r="A117" s="18"/>
      <c r="B117" s="38"/>
      <c r="H117" t="s">
        <v>5132</v>
      </c>
    </row>
    <row r="118" spans="1:13" x14ac:dyDescent="0.2">
      <c r="A118" s="18"/>
      <c r="B118" s="38"/>
      <c r="H118" t="s">
        <v>5116</v>
      </c>
    </row>
    <row r="119" spans="1:13" x14ac:dyDescent="0.2">
      <c r="A119" s="18"/>
      <c r="B119" s="38"/>
    </row>
    <row r="120" spans="1:13" x14ac:dyDescent="0.2">
      <c r="A120" s="18"/>
      <c r="B120" s="38"/>
      <c r="H120" t="s">
        <v>5033</v>
      </c>
    </row>
    <row r="121" spans="1:13" x14ac:dyDescent="0.2">
      <c r="A121" s="18"/>
      <c r="B121" s="38"/>
      <c r="H121" t="s">
        <v>5129</v>
      </c>
    </row>
    <row r="122" spans="1:13" x14ac:dyDescent="0.2">
      <c r="A122" s="18"/>
      <c r="B122" s="38"/>
      <c r="H122" t="s">
        <v>5130</v>
      </c>
    </row>
    <row r="123" spans="1:13" x14ac:dyDescent="0.2">
      <c r="A123" s="18"/>
      <c r="B123" s="38"/>
      <c r="H123" t="s">
        <v>5116</v>
      </c>
    </row>
    <row r="124" spans="1:13" s="15" customFormat="1" ht="16" thickBot="1" x14ac:dyDescent="0.25">
      <c r="A124" s="23"/>
      <c r="B124" s="19"/>
    </row>
    <row r="125" spans="1:13" x14ac:dyDescent="0.2">
      <c r="A125" s="224" t="s">
        <v>379</v>
      </c>
      <c r="B125" s="38"/>
    </row>
    <row r="126" spans="1:13" x14ac:dyDescent="0.2">
      <c r="A126" s="37" t="s">
        <v>374</v>
      </c>
      <c r="B126" s="38" t="s">
        <v>5135</v>
      </c>
      <c r="C126" s="308"/>
    </row>
    <row r="127" spans="1:13" x14ac:dyDescent="0.2">
      <c r="A127" s="37" t="s">
        <v>375</v>
      </c>
      <c r="B127" s="38">
        <v>48</v>
      </c>
    </row>
    <row r="128" spans="1:13" ht="17" x14ac:dyDescent="0.2">
      <c r="A128" s="37" t="s">
        <v>376</v>
      </c>
      <c r="B128" s="38">
        <v>1.3129999999999999E-2</v>
      </c>
      <c r="H128" s="243" t="s">
        <v>5031</v>
      </c>
    </row>
    <row r="129" spans="1:13" x14ac:dyDescent="0.2">
      <c r="A129" s="18"/>
      <c r="B129" s="38"/>
      <c r="H129" t="s">
        <v>5136</v>
      </c>
    </row>
    <row r="130" spans="1:13" x14ac:dyDescent="0.2">
      <c r="A130" s="18"/>
      <c r="B130" s="38"/>
      <c r="H130" t="s">
        <v>5137</v>
      </c>
      <c r="J130" s="41" t="s">
        <v>4810</v>
      </c>
    </row>
    <row r="131" spans="1:13" x14ac:dyDescent="0.2">
      <c r="A131" s="18"/>
      <c r="B131" s="38"/>
      <c r="H131" t="s">
        <v>5116</v>
      </c>
      <c r="J131" t="s">
        <v>4806</v>
      </c>
      <c r="K131">
        <f>VALUE(TRIM(RIGHT(TEXT(H130,),LEN(H130)-LEN("Metric_1")-4)))</f>
        <v>3.6189999999999998E-3</v>
      </c>
      <c r="L131">
        <f>VALUE(TRIM(RIGHT(TEXT(H135,),LEN(H135)-LEN("Metric_1")-4)))</f>
        <v>7.0400000000000003E-3</v>
      </c>
      <c r="M131">
        <f>VALUE(TRIM(RIGHT(TEXT(H140,),LEN(H140)-LEN("Metric_1")-4)))</f>
        <v>1.0169999999999999E-3</v>
      </c>
    </row>
    <row r="132" spans="1:13" x14ac:dyDescent="0.2">
      <c r="A132" s="18"/>
      <c r="B132" s="38"/>
      <c r="J132" t="s">
        <v>4807</v>
      </c>
      <c r="K132">
        <f>VALUE(TRIM(RIGHT(TEXT(H131,),LEN(H131)-LEN("Metric_2")-4)))</f>
        <v>0</v>
      </c>
      <c r="L132">
        <f>VALUE(TRIM(RIGHT(TEXT(H136,),LEN(H136)-LEN("Metric_2")-4)))</f>
        <v>0</v>
      </c>
      <c r="M132">
        <f>VALUE(TRIM(RIGHT(TEXT(H141,),LEN(H141)-LEN("Metric_2")-4)))</f>
        <v>0</v>
      </c>
    </row>
    <row r="133" spans="1:13" x14ac:dyDescent="0.2">
      <c r="A133" s="18"/>
      <c r="B133" s="38"/>
      <c r="H133" t="s">
        <v>5032</v>
      </c>
      <c r="J133" t="s">
        <v>4808</v>
      </c>
      <c r="K133">
        <f>VALUE(TRIM(RIGHT(H129,LEN(H129)-LEN("Intercept")-4)))</f>
        <v>0.156253</v>
      </c>
      <c r="L133">
        <f>VALUE(TRIM(RIGHT(H134,LEN(H134)-LEN("Intercept")-4)))</f>
        <v>0.27888200000000002</v>
      </c>
      <c r="M133">
        <f>VALUE(TRIM(RIGHT(H139,LEN(H139)-LEN("Intercept")-4)))</f>
        <v>0.95593399999999995</v>
      </c>
    </row>
    <row r="134" spans="1:13" x14ac:dyDescent="0.2">
      <c r="A134" s="18"/>
      <c r="B134" s="38"/>
      <c r="H134" t="s">
        <v>5138</v>
      </c>
    </row>
    <row r="135" spans="1:13" x14ac:dyDescent="0.2">
      <c r="A135" s="18"/>
      <c r="B135" s="38"/>
      <c r="H135" t="s">
        <v>5139</v>
      </c>
    </row>
    <row r="136" spans="1:13" x14ac:dyDescent="0.2">
      <c r="A136" s="18"/>
      <c r="B136" s="38"/>
      <c r="H136" t="s">
        <v>5116</v>
      </c>
    </row>
    <row r="137" spans="1:13" x14ac:dyDescent="0.2">
      <c r="A137" s="18"/>
      <c r="B137" s="38"/>
    </row>
    <row r="138" spans="1:13" x14ac:dyDescent="0.2">
      <c r="A138" s="18"/>
      <c r="B138" s="38"/>
      <c r="H138" t="s">
        <v>5033</v>
      </c>
    </row>
    <row r="139" spans="1:13" x14ac:dyDescent="0.2">
      <c r="A139" s="18"/>
      <c r="B139" s="38"/>
      <c r="H139" t="s">
        <v>5140</v>
      </c>
    </row>
    <row r="140" spans="1:13" x14ac:dyDescent="0.2">
      <c r="A140" s="18"/>
      <c r="B140" s="38"/>
      <c r="H140" t="s">
        <v>5141</v>
      </c>
    </row>
    <row r="141" spans="1:13" x14ac:dyDescent="0.2">
      <c r="A141" s="18"/>
      <c r="B141" s="38"/>
      <c r="H141" t="s">
        <v>5116</v>
      </c>
    </row>
    <row r="142" spans="1:13" x14ac:dyDescent="0.2">
      <c r="A142" s="18"/>
      <c r="B142" s="38"/>
    </row>
    <row r="143" spans="1:13" s="15" customFormat="1" ht="16" thickBot="1" x14ac:dyDescent="0.25">
      <c r="A143" s="23"/>
      <c r="B143" s="19"/>
    </row>
    <row r="144" spans="1:13" x14ac:dyDescent="0.2">
      <c r="A144" s="224" t="s">
        <v>380</v>
      </c>
    </row>
    <row r="145" spans="1:13" x14ac:dyDescent="0.2">
      <c r="A145" s="37" t="s">
        <v>374</v>
      </c>
      <c r="B145" s="38" t="s">
        <v>5300</v>
      </c>
    </row>
    <row r="146" spans="1:13" x14ac:dyDescent="0.2">
      <c r="A146" s="37" t="s">
        <v>375</v>
      </c>
      <c r="B146" s="38">
        <v>36</v>
      </c>
      <c r="H146" s="243" t="s">
        <v>5031</v>
      </c>
    </row>
    <row r="147" spans="1:13" ht="17" x14ac:dyDescent="0.2">
      <c r="A147" s="37" t="s">
        <v>376</v>
      </c>
      <c r="B147" s="38">
        <v>0.46949999999999997</v>
      </c>
      <c r="H147" t="s">
        <v>5355</v>
      </c>
    </row>
    <row r="148" spans="1:13" x14ac:dyDescent="0.2">
      <c r="A148" s="18"/>
      <c r="B148" s="38"/>
      <c r="H148" t="s">
        <v>5356</v>
      </c>
    </row>
    <row r="149" spans="1:13" x14ac:dyDescent="0.2">
      <c r="A149" s="18"/>
      <c r="B149" s="38"/>
      <c r="H149" t="s">
        <v>5116</v>
      </c>
    </row>
    <row r="150" spans="1:13" x14ac:dyDescent="0.2">
      <c r="A150" s="18"/>
      <c r="B150" s="38"/>
      <c r="J150" s="41" t="s">
        <v>4810</v>
      </c>
    </row>
    <row r="151" spans="1:13" x14ac:dyDescent="0.2">
      <c r="A151" s="18"/>
      <c r="B151" s="38"/>
      <c r="H151" t="s">
        <v>5032</v>
      </c>
      <c r="J151" t="s">
        <v>4806</v>
      </c>
      <c r="K151">
        <f>VALUE(TRIM(RIGHT(TEXT(H148,),LEN(H148)-LEN("Metric_1")-4)))</f>
        <v>2.6870999999999999E-2</v>
      </c>
      <c r="L151">
        <f>VALUE(TRIM(RIGHT(TEXT(H153,),LEN(H153)-LEN("Metric_1")-4)))</f>
        <v>0.101739</v>
      </c>
      <c r="M151">
        <f>VALUE(TRIM(RIGHT(TEXT(H158,),LEN(H158)-LEN("Metric_1")-4)))</f>
        <v>0.144589</v>
      </c>
    </row>
    <row r="152" spans="1:13" x14ac:dyDescent="0.2">
      <c r="A152" s="18"/>
      <c r="B152" s="38"/>
      <c r="H152" t="s">
        <v>5353</v>
      </c>
      <c r="J152" t="s">
        <v>4807</v>
      </c>
      <c r="K152">
        <f>VALUE(TRIM(RIGHT(TEXT(H149,),LEN(H149)-LEN("Metric_2")-4)))</f>
        <v>0</v>
      </c>
      <c r="L152">
        <f>VALUE(TRIM(RIGHT(TEXT(H154,),LEN(H154)-LEN("Metric_2")-4)))</f>
        <v>0</v>
      </c>
      <c r="M152">
        <f>VALUE(TRIM(RIGHT(TEXT(H159,),LEN(H159)-LEN("Metric_2")-4)))</f>
        <v>0</v>
      </c>
    </row>
    <row r="153" spans="1:13" x14ac:dyDescent="0.2">
      <c r="A153" s="18"/>
      <c r="B153" s="38"/>
      <c r="H153" t="s">
        <v>5354</v>
      </c>
      <c r="J153" t="s">
        <v>4808</v>
      </c>
      <c r="K153">
        <f>VALUE(TRIM(RIGHT(H147,LEN(H147)-LEN("Intercept")-4)))</f>
        <v>0.53651300000000002</v>
      </c>
      <c r="L153">
        <f>VALUE(TRIM(RIGHT(H152,LEN(H152)-LEN("Intercept")-4)))</f>
        <v>0.49099100000000001</v>
      </c>
      <c r="M153">
        <f>VALUE(TRIM(RIGHT(H157,LEN(H157)-LEN("Intercept")-4)))</f>
        <v>0.67023500000000003</v>
      </c>
    </row>
    <row r="154" spans="1:13" x14ac:dyDescent="0.2">
      <c r="A154" s="18"/>
      <c r="B154" s="38"/>
      <c r="H154" t="s">
        <v>5116</v>
      </c>
    </row>
    <row r="155" spans="1:13" x14ac:dyDescent="0.2">
      <c r="A155" s="18"/>
      <c r="B155" s="38"/>
    </row>
    <row r="156" spans="1:13" x14ac:dyDescent="0.2">
      <c r="A156" s="18"/>
      <c r="B156" s="38"/>
      <c r="H156" t="s">
        <v>5033</v>
      </c>
    </row>
    <row r="157" spans="1:13" x14ac:dyDescent="0.2">
      <c r="A157" s="18"/>
      <c r="B157" s="38"/>
      <c r="H157" t="s">
        <v>5351</v>
      </c>
    </row>
    <row r="158" spans="1:13" x14ac:dyDescent="0.2">
      <c r="A158" s="18"/>
      <c r="B158" s="38"/>
      <c r="H158" t="s">
        <v>5352</v>
      </c>
    </row>
    <row r="159" spans="1:13" x14ac:dyDescent="0.2">
      <c r="A159" s="18"/>
      <c r="B159" s="38"/>
      <c r="H159" t="s">
        <v>5116</v>
      </c>
    </row>
    <row r="160" spans="1:13" x14ac:dyDescent="0.2">
      <c r="A160" s="18"/>
      <c r="B160" s="38"/>
    </row>
    <row r="161" spans="1:13" x14ac:dyDescent="0.2">
      <c r="A161" s="18"/>
      <c r="B161" s="38"/>
    </row>
    <row r="162" spans="1:13" s="15" customFormat="1" ht="16" thickBot="1" x14ac:dyDescent="0.25">
      <c r="A162" s="23"/>
      <c r="B162" s="19"/>
    </row>
    <row r="163" spans="1:13" x14ac:dyDescent="0.2">
      <c r="A163" s="224" t="s">
        <v>381</v>
      </c>
    </row>
    <row r="164" spans="1:13" x14ac:dyDescent="0.2">
      <c r="A164" s="37" t="s">
        <v>374</v>
      </c>
      <c r="B164" s="325" t="s">
        <v>5301</v>
      </c>
    </row>
    <row r="165" spans="1:13" x14ac:dyDescent="0.2">
      <c r="A165" s="37" t="s">
        <v>375</v>
      </c>
      <c r="B165" s="38">
        <v>75</v>
      </c>
    </row>
    <row r="166" spans="1:13" ht="17" x14ac:dyDescent="0.2">
      <c r="A166" s="37" t="s">
        <v>376</v>
      </c>
      <c r="B166" s="38">
        <v>0.26679999999999998</v>
      </c>
      <c r="H166" s="243" t="s">
        <v>5031</v>
      </c>
    </row>
    <row r="167" spans="1:13" x14ac:dyDescent="0.2">
      <c r="A167" s="18"/>
      <c r="B167" s="38"/>
      <c r="H167" t="s">
        <v>5150</v>
      </c>
      <c r="J167" s="41" t="s">
        <v>4810</v>
      </c>
    </row>
    <row r="168" spans="1:13" x14ac:dyDescent="0.2">
      <c r="A168" s="18"/>
      <c r="B168" s="38"/>
      <c r="H168" t="s">
        <v>5151</v>
      </c>
      <c r="J168" t="s">
        <v>4806</v>
      </c>
      <c r="K168">
        <f>VALUE(TRIM(RIGHT(TEXT(H168,),LEN(H168)-LEN("Metric_1")-4)))</f>
        <v>0.12371699999999999</v>
      </c>
      <c r="L168">
        <f>VALUE(TRIM(RIGHT(TEXT(H173,),LEN(H173)-LEN("Metric_1")-4)))</f>
        <v>0.17549999999999999</v>
      </c>
      <c r="M168">
        <f>VALUE(TRIM(RIGHT(TEXT(H178,),LEN(H178)-LEN("Metric_1")-4)))</f>
        <v>0.22850000000000001</v>
      </c>
    </row>
    <row r="169" spans="1:13" x14ac:dyDescent="0.2">
      <c r="A169" s="18"/>
      <c r="B169" s="38"/>
      <c r="H169" t="s">
        <v>5116</v>
      </c>
      <c r="J169" t="s">
        <v>4807</v>
      </c>
      <c r="K169">
        <f>VALUE(TRIM(RIGHT(TEXT(H169,),LEN(H169)-LEN("Metric_2")-4)))</f>
        <v>0</v>
      </c>
      <c r="L169">
        <f>VALUE(TRIM(RIGHT(TEXT(H174,),LEN(H174)-LEN("Metric_2")-4)))</f>
        <v>0</v>
      </c>
      <c r="M169">
        <f>VALUE(TRIM(RIGHT(TEXT(H179,),LEN(H179)-LEN("Metric_2")-4)))</f>
        <v>0</v>
      </c>
    </row>
    <row r="170" spans="1:13" x14ac:dyDescent="0.2">
      <c r="A170" s="18"/>
      <c r="B170" s="38"/>
      <c r="J170" t="s">
        <v>4808</v>
      </c>
      <c r="K170">
        <f>VALUE(TRIM(RIGHT(H167,LEN(H167)-LEN("Intercept")-4)))</f>
        <v>6.5725000000000006E-2</v>
      </c>
      <c r="L170">
        <f>VALUE(TRIM(RIGHT(H172,LEN(H172)-LEN("Intercept")-4)))</f>
        <v>0.10125199999999999</v>
      </c>
      <c r="M170">
        <f>VALUE(TRIM(RIGHT(H177,LEN(H177)-LEN("Intercept")-4)))</f>
        <v>2.7075</v>
      </c>
    </row>
    <row r="171" spans="1:13" x14ac:dyDescent="0.2">
      <c r="A171" s="18"/>
      <c r="B171" s="38"/>
      <c r="H171" t="s">
        <v>5032</v>
      </c>
    </row>
    <row r="172" spans="1:13" x14ac:dyDescent="0.2">
      <c r="A172" s="18"/>
      <c r="B172" s="38"/>
      <c r="H172" t="s">
        <v>5152</v>
      </c>
    </row>
    <row r="173" spans="1:13" x14ac:dyDescent="0.2">
      <c r="A173" s="18"/>
      <c r="B173" s="38"/>
      <c r="H173" t="s">
        <v>5153</v>
      </c>
    </row>
    <row r="174" spans="1:13" x14ac:dyDescent="0.2">
      <c r="A174" s="18"/>
      <c r="B174" s="38"/>
      <c r="H174" t="s">
        <v>5116</v>
      </c>
    </row>
    <row r="175" spans="1:13" x14ac:dyDescent="0.2">
      <c r="A175" s="18"/>
      <c r="B175" s="38"/>
    </row>
    <row r="176" spans="1:13" x14ac:dyDescent="0.2">
      <c r="A176" s="18"/>
      <c r="B176" s="38"/>
      <c r="H176" t="s">
        <v>5033</v>
      </c>
    </row>
    <row r="177" spans="1:13" x14ac:dyDescent="0.2">
      <c r="A177" s="18"/>
      <c r="B177" s="38"/>
      <c r="H177" t="s">
        <v>5154</v>
      </c>
    </row>
    <row r="178" spans="1:13" x14ac:dyDescent="0.2">
      <c r="A178" s="18"/>
      <c r="B178" s="38"/>
      <c r="H178" t="s">
        <v>5155</v>
      </c>
    </row>
    <row r="179" spans="1:13" ht="16" thickBot="1" x14ac:dyDescent="0.25">
      <c r="A179" s="18"/>
      <c r="B179" s="38"/>
      <c r="H179" s="15" t="s">
        <v>5126</v>
      </c>
    </row>
    <row r="180" spans="1:13" x14ac:dyDescent="0.2">
      <c r="A180" s="18"/>
      <c r="B180" s="38"/>
    </row>
    <row r="181" spans="1:13" s="15" customFormat="1" ht="16" thickBot="1" x14ac:dyDescent="0.25">
      <c r="A181" s="23"/>
      <c r="B181" s="19"/>
    </row>
    <row r="182" spans="1:13" x14ac:dyDescent="0.2">
      <c r="A182" s="224" t="s">
        <v>382</v>
      </c>
      <c r="B182" s="38"/>
    </row>
    <row r="183" spans="1:13" x14ac:dyDescent="0.2">
      <c r="A183" s="37" t="s">
        <v>374</v>
      </c>
      <c r="B183" s="38" t="s">
        <v>5455</v>
      </c>
    </row>
    <row r="184" spans="1:13" x14ac:dyDescent="0.2">
      <c r="A184" s="37" t="s">
        <v>375</v>
      </c>
      <c r="B184" s="38">
        <v>40</v>
      </c>
      <c r="H184" s="243" t="s">
        <v>5031</v>
      </c>
    </row>
    <row r="185" spans="1:13" ht="17" x14ac:dyDescent="0.2">
      <c r="A185" s="37" t="s">
        <v>376</v>
      </c>
      <c r="B185" s="38">
        <v>0.1958</v>
      </c>
      <c r="H185" t="s">
        <v>5361</v>
      </c>
    </row>
    <row r="186" spans="1:13" x14ac:dyDescent="0.2">
      <c r="A186" s="18"/>
      <c r="B186" s="38"/>
      <c r="H186" t="s">
        <v>5362</v>
      </c>
      <c r="J186" s="41" t="s">
        <v>4810</v>
      </c>
    </row>
    <row r="187" spans="1:13" x14ac:dyDescent="0.2">
      <c r="A187" s="18"/>
      <c r="B187" s="38"/>
      <c r="H187" t="s">
        <v>5116</v>
      </c>
      <c r="J187" t="s">
        <v>4806</v>
      </c>
      <c r="K187">
        <f>VALUE(TRIM(RIGHT(TEXT(H186,),LEN(H186)-LEN("Metric_1")-4)))</f>
        <v>6.8807999999999994E-2</v>
      </c>
      <c r="L187">
        <f>VALUE(TRIM(RIGHT(TEXT(H191,),LEN(H191)-LEN("Metric_1")-4)))</f>
        <v>0.13142799999999999</v>
      </c>
      <c r="M187">
        <f>VALUE(TRIM(RIGHT(TEXT(H196,),LEN(H196)-LEN("Metric_1")-4)))</f>
        <v>0.29178500000000002</v>
      </c>
    </row>
    <row r="188" spans="1:13" x14ac:dyDescent="0.2">
      <c r="A188" s="18"/>
      <c r="B188" s="38"/>
      <c r="J188" t="s">
        <v>4807</v>
      </c>
      <c r="K188">
        <f>VALUE(TRIM(RIGHT(TEXT(H187,),LEN(H187)-LEN("Metric_2")-4)))</f>
        <v>0</v>
      </c>
      <c r="L188">
        <f>VALUE(TRIM(RIGHT(TEXT(H192,),LEN(H192)-LEN("Metric_2")-4)))</f>
        <v>0</v>
      </c>
      <c r="M188">
        <f>VALUE(TRIM(RIGHT(TEXT(H197,),LEN(H197)-LEN("Metric_2")-4)))</f>
        <v>0</v>
      </c>
    </row>
    <row r="189" spans="1:13" x14ac:dyDescent="0.2">
      <c r="A189" s="18"/>
      <c r="B189" s="38"/>
      <c r="H189" t="s">
        <v>5032</v>
      </c>
      <c r="J189" t="s">
        <v>4808</v>
      </c>
      <c r="K189">
        <f>VALUE(TRIM(RIGHT(H185,LEN(H185)-LEN("Intercept")-4)))</f>
        <v>0.13047400000000001</v>
      </c>
      <c r="L189">
        <f>VALUE(TRIM(RIGHT(H190,LEN(H190)-LEN("Intercept")-4)))</f>
        <v>7.2905999999999999E-2</v>
      </c>
      <c r="M189">
        <f>VALUE(TRIM(RIGHT(H195,LEN(H195)-LEN("Intercept")-4)))</f>
        <v>4.2856999999999999E-2</v>
      </c>
    </row>
    <row r="190" spans="1:13" x14ac:dyDescent="0.2">
      <c r="A190" s="18"/>
      <c r="B190" s="38"/>
      <c r="H190" t="s">
        <v>5359</v>
      </c>
    </row>
    <row r="191" spans="1:13" x14ac:dyDescent="0.2">
      <c r="A191" s="18"/>
      <c r="B191" s="38"/>
      <c r="H191" t="s">
        <v>5360</v>
      </c>
    </row>
    <row r="192" spans="1:13" x14ac:dyDescent="0.2">
      <c r="A192" s="18"/>
      <c r="B192" s="38"/>
      <c r="H192" t="s">
        <v>5116</v>
      </c>
    </row>
    <row r="193" spans="1:13" x14ac:dyDescent="0.2">
      <c r="A193" s="18"/>
      <c r="B193" s="38"/>
    </row>
    <row r="194" spans="1:13" x14ac:dyDescent="0.2">
      <c r="A194" s="18"/>
      <c r="B194" s="38"/>
      <c r="H194" t="s">
        <v>5033</v>
      </c>
    </row>
    <row r="195" spans="1:13" x14ac:dyDescent="0.2">
      <c r="A195" s="18"/>
      <c r="B195" s="38"/>
      <c r="H195" t="s">
        <v>5357</v>
      </c>
    </row>
    <row r="196" spans="1:13" x14ac:dyDescent="0.2">
      <c r="A196" s="18"/>
      <c r="B196" s="38"/>
      <c r="H196" t="s">
        <v>5358</v>
      </c>
    </row>
    <row r="197" spans="1:13" x14ac:dyDescent="0.2">
      <c r="A197" s="18"/>
      <c r="B197" s="38"/>
      <c r="H197" t="s">
        <v>5116</v>
      </c>
    </row>
    <row r="198" spans="1:13" x14ac:dyDescent="0.2">
      <c r="A198" s="18"/>
      <c r="B198" s="38"/>
    </row>
    <row r="199" spans="1:13" s="15" customFormat="1" ht="16" thickBot="1" x14ac:dyDescent="0.25">
      <c r="A199" s="23"/>
      <c r="B199" s="19"/>
    </row>
    <row r="200" spans="1:13" x14ac:dyDescent="0.2">
      <c r="A200" s="224" t="s">
        <v>383</v>
      </c>
    </row>
    <row r="201" spans="1:13" x14ac:dyDescent="0.2">
      <c r="A201" s="37" t="s">
        <v>374</v>
      </c>
      <c r="B201" t="s">
        <v>5165</v>
      </c>
    </row>
    <row r="202" spans="1:13" x14ac:dyDescent="0.2">
      <c r="A202" s="37" t="s">
        <v>375</v>
      </c>
      <c r="B202" s="38" t="s">
        <v>5429</v>
      </c>
      <c r="H202" s="243" t="s">
        <v>5031</v>
      </c>
    </row>
    <row r="203" spans="1:13" ht="17" x14ac:dyDescent="0.2">
      <c r="A203" s="37" t="s">
        <v>376</v>
      </c>
      <c r="B203" s="38">
        <v>0.4672</v>
      </c>
      <c r="H203" t="s">
        <v>5167</v>
      </c>
    </row>
    <row r="204" spans="1:13" x14ac:dyDescent="0.2">
      <c r="A204" s="18" t="s">
        <v>5430</v>
      </c>
      <c r="B204" s="38"/>
      <c r="H204" t="s">
        <v>5168</v>
      </c>
    </row>
    <row r="205" spans="1:13" x14ac:dyDescent="0.2">
      <c r="A205" s="18"/>
      <c r="B205" s="38"/>
      <c r="H205" t="s">
        <v>5116</v>
      </c>
      <c r="J205" s="41" t="s">
        <v>4810</v>
      </c>
    </row>
    <row r="206" spans="1:13" x14ac:dyDescent="0.2">
      <c r="A206" s="18"/>
      <c r="B206" s="38"/>
      <c r="J206" t="s">
        <v>4806</v>
      </c>
      <c r="K206">
        <v>0.146427</v>
      </c>
      <c r="L206">
        <v>0.27345000000000003</v>
      </c>
      <c r="M206">
        <v>0.42841000000000001</v>
      </c>
    </row>
    <row r="207" spans="1:13" x14ac:dyDescent="0.2">
      <c r="A207" s="18"/>
      <c r="B207" s="38"/>
      <c r="H207" t="s">
        <v>5032</v>
      </c>
      <c r="J207" t="s">
        <v>4807</v>
      </c>
      <c r="K207">
        <v>0</v>
      </c>
      <c r="L207">
        <v>0</v>
      </c>
      <c r="M207">
        <v>0</v>
      </c>
    </row>
    <row r="208" spans="1:13" x14ac:dyDescent="0.2">
      <c r="A208" s="18"/>
      <c r="B208" s="38"/>
      <c r="H208" t="s">
        <v>5170</v>
      </c>
      <c r="J208" t="s">
        <v>4808</v>
      </c>
      <c r="K208">
        <v>0.10636900000000001</v>
      </c>
      <c r="L208">
        <v>-5.6141999999999997E-2</v>
      </c>
      <c r="M208">
        <v>-0.192549</v>
      </c>
    </row>
    <row r="209" spans="1:13" x14ac:dyDescent="0.2">
      <c r="A209" s="18"/>
      <c r="B209" s="38"/>
      <c r="H209" t="s">
        <v>5171</v>
      </c>
    </row>
    <row r="210" spans="1:13" x14ac:dyDescent="0.2">
      <c r="A210" s="18"/>
      <c r="B210" s="38"/>
      <c r="H210" t="s">
        <v>5116</v>
      </c>
    </row>
    <row r="211" spans="1:13" x14ac:dyDescent="0.2">
      <c r="A211" s="18"/>
      <c r="B211" s="38"/>
    </row>
    <row r="212" spans="1:13" x14ac:dyDescent="0.2">
      <c r="A212" s="18"/>
      <c r="B212" s="38"/>
      <c r="H212" t="s">
        <v>5033</v>
      </c>
    </row>
    <row r="213" spans="1:13" x14ac:dyDescent="0.2">
      <c r="A213" s="18"/>
      <c r="B213" s="38"/>
      <c r="H213" t="s">
        <v>5172</v>
      </c>
    </row>
    <row r="214" spans="1:13" x14ac:dyDescent="0.2">
      <c r="A214" s="18"/>
      <c r="B214" s="38"/>
      <c r="H214" t="s">
        <v>5173</v>
      </c>
    </row>
    <row r="215" spans="1:13" x14ac:dyDescent="0.2">
      <c r="A215" s="18"/>
      <c r="B215" s="38"/>
      <c r="H215" t="s">
        <v>5116</v>
      </c>
    </row>
    <row r="216" spans="1:13" x14ac:dyDescent="0.2">
      <c r="A216" s="18"/>
      <c r="B216" s="38"/>
    </row>
    <row r="217" spans="1:13" x14ac:dyDescent="0.2">
      <c r="A217" s="18"/>
      <c r="B217" s="38"/>
    </row>
    <row r="218" spans="1:13" s="15" customFormat="1" ht="16" thickBot="1" x14ac:dyDescent="0.25">
      <c r="A218" s="23"/>
      <c r="B218" s="19"/>
    </row>
    <row r="219" spans="1:13" x14ac:dyDescent="0.2">
      <c r="A219" s="34" t="s">
        <v>384</v>
      </c>
    </row>
    <row r="220" spans="1:13" x14ac:dyDescent="0.2">
      <c r="A220" s="37" t="s">
        <v>374</v>
      </c>
      <c r="B220" s="38" t="s">
        <v>5456</v>
      </c>
    </row>
    <row r="221" spans="1:13" x14ac:dyDescent="0.2">
      <c r="A221" s="37" t="s">
        <v>375</v>
      </c>
      <c r="B221" s="38" t="s">
        <v>5441</v>
      </c>
    </row>
    <row r="222" spans="1:13" ht="17" x14ac:dyDescent="0.2">
      <c r="A222" s="37" t="s">
        <v>376</v>
      </c>
      <c r="B222" s="38">
        <v>0.38750000000000001</v>
      </c>
      <c r="J222" s="41" t="s">
        <v>4810</v>
      </c>
    </row>
    <row r="223" spans="1:13" x14ac:dyDescent="0.2">
      <c r="A223" s="18" t="s">
        <v>5431</v>
      </c>
      <c r="B223" s="38"/>
      <c r="H223" s="243" t="s">
        <v>5031</v>
      </c>
      <c r="J223" t="s">
        <v>4806</v>
      </c>
      <c r="K223">
        <f>VALUE(TRIM(RIGHT(TEXT(H225,),LEN(H225)-LEN("Metric_1")-4)))</f>
        <v>0.209286</v>
      </c>
      <c r="L223">
        <f>VALUE(TRIM(RIGHT(TEXT(H230,),LEN(H230)-LEN("Metric_1")-4)))</f>
        <v>0.30105500000000002</v>
      </c>
      <c r="M223">
        <f>VALUE(TRIM(RIGHT(TEXT(H235,),LEN(H235)-LEN("Metric_1")-4)))</f>
        <v>0.61853499999999995</v>
      </c>
    </row>
    <row r="224" spans="1:13" x14ac:dyDescent="0.2">
      <c r="B224" s="38"/>
      <c r="H224" t="s">
        <v>5439</v>
      </c>
      <c r="J224" t="s">
        <v>4807</v>
      </c>
      <c r="K224">
        <f>VALUE(TRIM(RIGHT(TEXT(H226,),LEN(H226)-LEN("Metric_2")-4)))</f>
        <v>0</v>
      </c>
      <c r="L224">
        <f>VALUE(TRIM(RIGHT(TEXT(H231,),LEN(H231)-LEN("Metric_2")-4)))</f>
        <v>0</v>
      </c>
      <c r="M224">
        <f>VALUE(TRIM(RIGHT(TEXT(H236,),LEN(H236)-LEN("Metric_2")-4)))</f>
        <v>0</v>
      </c>
    </row>
    <row r="225" spans="2:13" x14ac:dyDescent="0.2">
      <c r="B225" s="38"/>
      <c r="H225" t="s">
        <v>5440</v>
      </c>
      <c r="J225" t="s">
        <v>4808</v>
      </c>
      <c r="K225">
        <f>VALUE(TRIM(RIGHT(H224,LEN(H224)-LEN("Intercept")-4)))</f>
        <v>3.9999999999999998E-6</v>
      </c>
      <c r="L225">
        <f>VALUE(TRIM(RIGHT(H229,LEN(H229)-LEN("Intercept")-4)))</f>
        <v>3.1016999999999999E-2</v>
      </c>
      <c r="M225">
        <v>-3.0620000000000001E-3</v>
      </c>
    </row>
    <row r="226" spans="2:13" x14ac:dyDescent="0.2">
      <c r="B226" s="38"/>
      <c r="H226" t="s">
        <v>5116</v>
      </c>
    </row>
    <row r="227" spans="2:13" x14ac:dyDescent="0.2">
      <c r="B227" s="38"/>
    </row>
    <row r="228" spans="2:13" x14ac:dyDescent="0.2">
      <c r="B228" s="38"/>
      <c r="H228" t="s">
        <v>5032</v>
      </c>
    </row>
    <row r="229" spans="2:13" x14ac:dyDescent="0.2">
      <c r="B229" s="38"/>
      <c r="H229" t="s">
        <v>5437</v>
      </c>
    </row>
    <row r="230" spans="2:13" x14ac:dyDescent="0.2">
      <c r="B230" s="38"/>
      <c r="H230" t="s">
        <v>5438</v>
      </c>
    </row>
    <row r="231" spans="2:13" x14ac:dyDescent="0.2">
      <c r="B231" s="38"/>
      <c r="H231" t="s">
        <v>5116</v>
      </c>
    </row>
    <row r="232" spans="2:13" x14ac:dyDescent="0.2">
      <c r="B232" s="38"/>
    </row>
    <row r="233" spans="2:13" x14ac:dyDescent="0.2">
      <c r="B233" s="38"/>
      <c r="H233" t="s">
        <v>5033</v>
      </c>
    </row>
    <row r="234" spans="2:13" x14ac:dyDescent="0.2">
      <c r="B234" s="38"/>
      <c r="H234" t="s">
        <v>5435</v>
      </c>
    </row>
    <row r="235" spans="2:13" x14ac:dyDescent="0.2">
      <c r="B235" s="38"/>
      <c r="H235" t="s">
        <v>5436</v>
      </c>
    </row>
    <row r="236" spans="2:13" x14ac:dyDescent="0.2">
      <c r="B236" s="38"/>
      <c r="H236" t="s">
        <v>5116</v>
      </c>
    </row>
    <row r="237" spans="2:13" x14ac:dyDescent="0.2">
      <c r="B237" s="38"/>
    </row>
    <row r="238" spans="2:13" x14ac:dyDescent="0.2">
      <c r="B238" s="38"/>
    </row>
    <row r="239" spans="2:13" x14ac:dyDescent="0.2">
      <c r="B239" s="38"/>
    </row>
    <row r="240" spans="2:13" x14ac:dyDescent="0.2">
      <c r="B240" s="38"/>
    </row>
    <row r="241" spans="2:2" x14ac:dyDescent="0.2">
      <c r="B241" s="38"/>
    </row>
    <row r="242" spans="2:2" x14ac:dyDescent="0.2">
      <c r="B242" s="38"/>
    </row>
    <row r="243" spans="2:2" x14ac:dyDescent="0.2">
      <c r="B243" s="38"/>
    </row>
    <row r="244" spans="2:2" x14ac:dyDescent="0.2">
      <c r="B244" s="38"/>
    </row>
    <row r="245" spans="2:2" x14ac:dyDescent="0.2">
      <c r="B245" s="38"/>
    </row>
    <row r="246" spans="2:2" x14ac:dyDescent="0.2">
      <c r="B246" s="38"/>
    </row>
    <row r="247" spans="2:2" x14ac:dyDescent="0.2">
      <c r="B247" s="38"/>
    </row>
    <row r="248" spans="2:2" x14ac:dyDescent="0.2">
      <c r="B248" s="38"/>
    </row>
    <row r="249" spans="2:2" x14ac:dyDescent="0.2">
      <c r="B249" s="38"/>
    </row>
    <row r="250" spans="2:2" x14ac:dyDescent="0.2">
      <c r="B250" s="38"/>
    </row>
    <row r="251" spans="2:2" x14ac:dyDescent="0.2">
      <c r="B251" s="38"/>
    </row>
    <row r="252" spans="2:2" x14ac:dyDescent="0.2">
      <c r="B252" s="38"/>
    </row>
    <row r="253" spans="2:2" x14ac:dyDescent="0.2">
      <c r="B253" s="38"/>
    </row>
    <row r="254" spans="2:2" x14ac:dyDescent="0.2">
      <c r="B254" s="38"/>
    </row>
    <row r="255" spans="2:2" x14ac:dyDescent="0.2">
      <c r="B255" s="38"/>
    </row>
    <row r="256" spans="2:2" x14ac:dyDescent="0.2">
      <c r="B256" s="38"/>
    </row>
    <row r="257" spans="2:2" x14ac:dyDescent="0.2">
      <c r="B257" s="38"/>
    </row>
    <row r="258" spans="2:2" x14ac:dyDescent="0.2">
      <c r="B258" s="38"/>
    </row>
    <row r="259" spans="2:2" x14ac:dyDescent="0.2">
      <c r="B259" s="38"/>
    </row>
    <row r="260" spans="2:2" x14ac:dyDescent="0.2">
      <c r="B260" s="38"/>
    </row>
    <row r="261" spans="2:2" x14ac:dyDescent="0.2">
      <c r="B261" s="38"/>
    </row>
    <row r="262" spans="2:2" x14ac:dyDescent="0.2">
      <c r="B262" s="38"/>
    </row>
    <row r="263" spans="2:2" x14ac:dyDescent="0.2">
      <c r="B263" s="38"/>
    </row>
    <row r="264" spans="2:2" x14ac:dyDescent="0.2">
      <c r="B264" s="38"/>
    </row>
    <row r="265" spans="2:2" x14ac:dyDescent="0.2">
      <c r="B265" s="38"/>
    </row>
    <row r="266" spans="2:2" x14ac:dyDescent="0.2">
      <c r="B266" s="38"/>
    </row>
    <row r="267" spans="2:2" x14ac:dyDescent="0.2">
      <c r="B267" s="38"/>
    </row>
    <row r="268" spans="2:2" x14ac:dyDescent="0.2">
      <c r="B268" s="38"/>
    </row>
    <row r="269" spans="2:2" x14ac:dyDescent="0.2">
      <c r="B269" s="38"/>
    </row>
    <row r="270" spans="2:2" x14ac:dyDescent="0.2">
      <c r="B270" s="38"/>
    </row>
    <row r="271" spans="2:2" x14ac:dyDescent="0.2">
      <c r="B271" s="38"/>
    </row>
    <row r="272" spans="2:2" x14ac:dyDescent="0.2">
      <c r="B272" s="38"/>
    </row>
    <row r="273" spans="2:2" x14ac:dyDescent="0.2">
      <c r="B273" s="38"/>
    </row>
    <row r="274" spans="2:2" x14ac:dyDescent="0.2">
      <c r="B274" s="38"/>
    </row>
    <row r="275" spans="2:2" x14ac:dyDescent="0.2">
      <c r="B275" s="38"/>
    </row>
    <row r="276" spans="2:2" x14ac:dyDescent="0.2">
      <c r="B276" s="38"/>
    </row>
    <row r="277" spans="2:2" x14ac:dyDescent="0.2">
      <c r="B277" s="38"/>
    </row>
    <row r="278" spans="2:2" x14ac:dyDescent="0.2">
      <c r="B278" s="38"/>
    </row>
    <row r="279" spans="2:2" x14ac:dyDescent="0.2">
      <c r="B279" s="38"/>
    </row>
    <row r="280" spans="2:2" x14ac:dyDescent="0.2">
      <c r="B280" s="38"/>
    </row>
  </sheetData>
  <autoFilter ref="A4:AB65" xr:uid="{C470F925-71D6-4B99-82DB-ACDC7F2EA4B1}">
    <sortState xmlns:xlrd2="http://schemas.microsoft.com/office/spreadsheetml/2017/richdata2" ref="A18:AB60">
      <sortCondition ref="R4:R65"/>
    </sortState>
  </autoFilter>
  <mergeCells count="7">
    <mergeCell ref="W3:X3"/>
    <mergeCell ref="Y3:AC3"/>
    <mergeCell ref="A3:C3"/>
    <mergeCell ref="D3:J3"/>
    <mergeCell ref="K3:Q3"/>
    <mergeCell ref="R3:T3"/>
    <mergeCell ref="U3:V3"/>
  </mergeCells>
  <hyperlinks>
    <hyperlink ref="A1" location="'Table of Contents'!A1" display="Table of Contents" xr:uid="{48DC4C03-C64D-415B-93A5-1FDCA342A95D}"/>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BA6F2-4D7D-4BCA-8F35-C7D17664D7E7}">
  <dimension ref="A1:C33"/>
  <sheetViews>
    <sheetView workbookViewId="0"/>
  </sheetViews>
  <sheetFormatPr baseColWidth="10" defaultColWidth="8.83203125" defaultRowHeight="15" x14ac:dyDescent="0.2"/>
  <sheetData>
    <row r="1" spans="1:3" x14ac:dyDescent="0.2">
      <c r="A1" s="257" t="s">
        <v>5174</v>
      </c>
    </row>
    <row r="2" spans="1:3" ht="32" x14ac:dyDescent="0.2">
      <c r="A2" s="271" t="s">
        <v>40</v>
      </c>
      <c r="B2" s="271" t="s">
        <v>5175</v>
      </c>
      <c r="C2" s="287" t="s">
        <v>5176</v>
      </c>
    </row>
    <row r="3" spans="1:3" x14ac:dyDescent="0.2">
      <c r="A3" s="288">
        <v>1995</v>
      </c>
      <c r="B3" s="289">
        <v>152.4</v>
      </c>
      <c r="C3" s="290">
        <f t="shared" ref="C3:C30" si="0">B3/$B$31</f>
        <v>0.50115093719171322</v>
      </c>
    </row>
    <row r="4" spans="1:3" x14ac:dyDescent="0.2">
      <c r="A4" s="288">
        <v>1996</v>
      </c>
      <c r="B4" s="289">
        <v>156.9</v>
      </c>
      <c r="C4" s="290">
        <f t="shared" si="0"/>
        <v>0.51594870108516933</v>
      </c>
    </row>
    <row r="5" spans="1:3" x14ac:dyDescent="0.2">
      <c r="A5" s="288">
        <v>1997</v>
      </c>
      <c r="B5" s="289">
        <v>160.5</v>
      </c>
      <c r="C5" s="290">
        <f t="shared" si="0"/>
        <v>0.52778691219993423</v>
      </c>
    </row>
    <row r="6" spans="1:3" x14ac:dyDescent="0.2">
      <c r="A6" s="288">
        <v>1998</v>
      </c>
      <c r="B6" s="289">
        <v>163</v>
      </c>
      <c r="C6" s="290">
        <f t="shared" si="0"/>
        <v>0.53600789214074318</v>
      </c>
    </row>
    <row r="7" spans="1:3" x14ac:dyDescent="0.2">
      <c r="A7" s="288">
        <v>1999</v>
      </c>
      <c r="B7" s="289">
        <v>166.6</v>
      </c>
      <c r="C7" s="290">
        <f t="shared" si="0"/>
        <v>0.54784610325550798</v>
      </c>
    </row>
    <row r="8" spans="1:3" x14ac:dyDescent="0.2">
      <c r="A8" s="288">
        <v>2000</v>
      </c>
      <c r="B8" s="289">
        <v>172.2</v>
      </c>
      <c r="C8" s="290">
        <f t="shared" si="0"/>
        <v>0.56626109832292004</v>
      </c>
    </row>
    <row r="9" spans="1:3" x14ac:dyDescent="0.2">
      <c r="A9" s="288">
        <v>2001</v>
      </c>
      <c r="B9" s="289">
        <v>177.1</v>
      </c>
      <c r="C9" s="290">
        <f t="shared" si="0"/>
        <v>0.58237421900690556</v>
      </c>
    </row>
    <row r="10" spans="1:3" x14ac:dyDescent="0.2">
      <c r="A10" s="288">
        <v>2002</v>
      </c>
      <c r="B10" s="289">
        <v>179.9</v>
      </c>
      <c r="C10" s="290">
        <f t="shared" si="0"/>
        <v>0.59158171654061165</v>
      </c>
    </row>
    <row r="11" spans="1:3" x14ac:dyDescent="0.2">
      <c r="A11" s="288">
        <v>2003</v>
      </c>
      <c r="B11" s="289">
        <v>184</v>
      </c>
      <c r="C11" s="290">
        <f t="shared" si="0"/>
        <v>0.60506412364353823</v>
      </c>
    </row>
    <row r="12" spans="1:3" x14ac:dyDescent="0.2">
      <c r="A12" s="288">
        <v>2004</v>
      </c>
      <c r="B12" s="289">
        <v>188.9</v>
      </c>
      <c r="C12" s="290">
        <f t="shared" si="0"/>
        <v>0.62117724432752386</v>
      </c>
    </row>
    <row r="13" spans="1:3" x14ac:dyDescent="0.2">
      <c r="A13" s="288">
        <v>2005</v>
      </c>
      <c r="B13" s="289">
        <v>195.3</v>
      </c>
      <c r="C13" s="290">
        <f t="shared" si="0"/>
        <v>0.64222295297599474</v>
      </c>
    </row>
    <row r="14" spans="1:3" x14ac:dyDescent="0.2">
      <c r="A14" s="288">
        <v>2006</v>
      </c>
      <c r="B14" s="289">
        <v>201.6</v>
      </c>
      <c r="C14" s="290">
        <f t="shared" si="0"/>
        <v>0.66293982242683325</v>
      </c>
    </row>
    <row r="15" spans="1:3" x14ac:dyDescent="0.2">
      <c r="A15" s="288">
        <v>2007</v>
      </c>
      <c r="B15" s="289">
        <v>207.34200000000001</v>
      </c>
      <c r="C15" s="290">
        <f t="shared" si="0"/>
        <v>0.68182176915488324</v>
      </c>
    </row>
    <row r="16" spans="1:3" x14ac:dyDescent="0.2">
      <c r="A16" s="288">
        <v>2008</v>
      </c>
      <c r="B16" s="289">
        <v>215.303</v>
      </c>
      <c r="C16" s="290">
        <f t="shared" si="0"/>
        <v>0.70800065767839515</v>
      </c>
    </row>
    <row r="17" spans="1:3" x14ac:dyDescent="0.2">
      <c r="A17" s="288">
        <v>2009</v>
      </c>
      <c r="B17" s="289">
        <v>214.53700000000001</v>
      </c>
      <c r="C17" s="290">
        <f t="shared" si="0"/>
        <v>0.70548174942453135</v>
      </c>
    </row>
    <row r="18" spans="1:3" x14ac:dyDescent="0.2">
      <c r="A18" s="288">
        <v>2010</v>
      </c>
      <c r="B18" s="289">
        <v>218.05600000000001</v>
      </c>
      <c r="C18" s="290">
        <f t="shared" si="0"/>
        <v>0.7170536007892141</v>
      </c>
    </row>
    <row r="19" spans="1:3" x14ac:dyDescent="0.2">
      <c r="A19" s="288">
        <v>2011</v>
      </c>
      <c r="B19" s="289">
        <v>224.93899999999999</v>
      </c>
      <c r="C19" s="290">
        <f t="shared" si="0"/>
        <v>0.73968760276224921</v>
      </c>
    </row>
    <row r="20" spans="1:3" x14ac:dyDescent="0.2">
      <c r="A20" s="288">
        <v>2012</v>
      </c>
      <c r="B20" s="289">
        <v>229.59399999999999</v>
      </c>
      <c r="C20" s="290">
        <f t="shared" si="0"/>
        <v>0.75499506741203548</v>
      </c>
    </row>
    <row r="21" spans="1:3" x14ac:dyDescent="0.2">
      <c r="A21" s="288">
        <v>2013</v>
      </c>
      <c r="B21" s="289">
        <v>232.95699999999999</v>
      </c>
      <c r="C21" s="290">
        <f t="shared" si="0"/>
        <v>0.76605392962841168</v>
      </c>
    </row>
    <row r="22" spans="1:3" x14ac:dyDescent="0.2">
      <c r="A22" s="288">
        <v>2014</v>
      </c>
      <c r="B22" s="289">
        <v>236.73599999999999</v>
      </c>
      <c r="C22" s="290">
        <f t="shared" si="0"/>
        <v>0.77848076290693846</v>
      </c>
    </row>
    <row r="23" spans="1:3" x14ac:dyDescent="0.2">
      <c r="A23" s="288">
        <v>2015</v>
      </c>
      <c r="B23" s="289">
        <v>237.017</v>
      </c>
      <c r="C23" s="290">
        <f t="shared" si="0"/>
        <v>0.77940480105228538</v>
      </c>
    </row>
    <row r="24" spans="1:3" x14ac:dyDescent="0.2">
      <c r="A24" s="288">
        <v>2016</v>
      </c>
      <c r="B24" s="289">
        <v>240.00700000000001</v>
      </c>
      <c r="C24" s="290">
        <f t="shared" si="0"/>
        <v>0.78923709306149292</v>
      </c>
    </row>
    <row r="25" spans="1:3" x14ac:dyDescent="0.2">
      <c r="A25" s="288">
        <v>2017</v>
      </c>
      <c r="B25" s="289">
        <v>245.1</v>
      </c>
      <c r="C25" s="290">
        <f t="shared" si="0"/>
        <v>0.80598487339690883</v>
      </c>
    </row>
    <row r="26" spans="1:3" x14ac:dyDescent="0.2">
      <c r="A26" s="288">
        <v>2018</v>
      </c>
      <c r="B26" s="289">
        <v>251.1</v>
      </c>
      <c r="C26" s="290">
        <f t="shared" si="0"/>
        <v>0.8257152252548503</v>
      </c>
    </row>
    <row r="27" spans="1:3" x14ac:dyDescent="0.2">
      <c r="A27" s="288">
        <v>2019</v>
      </c>
      <c r="B27" s="289">
        <v>255.7</v>
      </c>
      <c r="C27" s="290">
        <f t="shared" si="0"/>
        <v>0.84084182834593879</v>
      </c>
    </row>
    <row r="28" spans="1:3" x14ac:dyDescent="0.2">
      <c r="A28" s="288">
        <v>2020</v>
      </c>
      <c r="B28" s="289">
        <v>258.8</v>
      </c>
      <c r="C28" s="290">
        <f t="shared" si="0"/>
        <v>0.85103584347254191</v>
      </c>
    </row>
    <row r="29" spans="1:3" x14ac:dyDescent="0.2">
      <c r="A29" s="288">
        <v>2021</v>
      </c>
      <c r="B29" s="289">
        <v>271</v>
      </c>
      <c r="C29" s="290">
        <f t="shared" si="0"/>
        <v>0.89115422558368951</v>
      </c>
    </row>
    <row r="30" spans="1:3" x14ac:dyDescent="0.2">
      <c r="A30" s="288">
        <v>2022</v>
      </c>
      <c r="B30" s="289">
        <v>292.7</v>
      </c>
      <c r="C30" s="290">
        <f t="shared" si="0"/>
        <v>0.96251233146991111</v>
      </c>
    </row>
    <row r="31" spans="1:3" x14ac:dyDescent="0.2">
      <c r="A31" s="288" t="s">
        <v>5177</v>
      </c>
      <c r="B31" s="289">
        <v>304.10000000000002</v>
      </c>
      <c r="C31" s="290">
        <v>1</v>
      </c>
    </row>
    <row r="32" spans="1:3" x14ac:dyDescent="0.2">
      <c r="A32" t="s">
        <v>5178</v>
      </c>
    </row>
    <row r="33" spans="1:1" x14ac:dyDescent="0.2">
      <c r="A33" t="s">
        <v>5179</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7CDB3-D48A-414F-B20C-1C95AB79C014}">
  <dimension ref="A2:I84"/>
  <sheetViews>
    <sheetView workbookViewId="0"/>
  </sheetViews>
  <sheetFormatPr baseColWidth="10" defaultColWidth="8.83203125" defaultRowHeight="15" x14ac:dyDescent="0.2"/>
  <cols>
    <col min="1" max="1" width="26" customWidth="1"/>
    <col min="2" max="2" width="15.33203125" customWidth="1"/>
    <col min="3" max="5" width="26.6640625" style="55" customWidth="1"/>
    <col min="6" max="6" width="22.6640625" style="352" customWidth="1"/>
    <col min="7" max="7" width="24.83203125" style="55" customWidth="1"/>
    <col min="8" max="8" width="26.5" customWidth="1"/>
    <col min="9" max="9" width="21.83203125" customWidth="1"/>
    <col min="10" max="10" width="22.1640625" customWidth="1"/>
  </cols>
  <sheetData>
    <row r="2" spans="1:6" ht="32" x14ac:dyDescent="0.2">
      <c r="A2" s="353" t="s">
        <v>5406</v>
      </c>
      <c r="B2" s="354">
        <f>AVERAGE(B5:C14)</f>
        <v>0.29914294489056259</v>
      </c>
    </row>
    <row r="3" spans="1:6" ht="32" x14ac:dyDescent="0.2">
      <c r="A3" s="353" t="s">
        <v>5407</v>
      </c>
      <c r="B3" s="354">
        <f>AVERAGE(B15:C24)</f>
        <v>2.8913454747008904E-2</v>
      </c>
      <c r="F3" s="55"/>
    </row>
    <row r="5" spans="1:6" x14ac:dyDescent="0.2">
      <c r="A5" s="457" t="s">
        <v>5408</v>
      </c>
      <c r="B5" s="198">
        <f t="shared" ref="B5:B14" si="0">(E40-E30)/E30</f>
        <v>0.29870129870129869</v>
      </c>
      <c r="C5" s="198">
        <f t="shared" ref="C5:C14" si="1">(F40-F30)/F30</f>
        <v>0.29946524064171126</v>
      </c>
    </row>
    <row r="6" spans="1:6" x14ac:dyDescent="0.2">
      <c r="A6" s="457"/>
      <c r="B6" s="198">
        <f t="shared" si="0"/>
        <v>0.30769230769230776</v>
      </c>
      <c r="C6" s="198">
        <f t="shared" si="1"/>
        <v>0.29133858267716528</v>
      </c>
    </row>
    <row r="7" spans="1:6" x14ac:dyDescent="0.2">
      <c r="A7" s="457"/>
      <c r="B7" s="198">
        <f t="shared" si="0"/>
        <v>0.30158730158730152</v>
      </c>
      <c r="C7" s="198">
        <f t="shared" si="1"/>
        <v>0.29605263157894735</v>
      </c>
    </row>
    <row r="8" spans="1:6" x14ac:dyDescent="0.2">
      <c r="A8" s="457"/>
      <c r="B8" s="198">
        <f t="shared" si="0"/>
        <v>0.29090909090909073</v>
      </c>
      <c r="C8" s="198">
        <f t="shared" si="1"/>
        <v>0.30303030303030293</v>
      </c>
    </row>
    <row r="9" spans="1:6" x14ac:dyDescent="0.2">
      <c r="A9" s="457"/>
      <c r="B9" s="198">
        <f t="shared" si="0"/>
        <v>0.31250000000000006</v>
      </c>
      <c r="C9" s="198">
        <f t="shared" si="1"/>
        <v>0.29914529914529925</v>
      </c>
    </row>
    <row r="10" spans="1:6" x14ac:dyDescent="0.2">
      <c r="A10" s="457"/>
      <c r="B10" s="198">
        <f t="shared" si="0"/>
        <v>0.31250000000000006</v>
      </c>
      <c r="C10" s="198">
        <f t="shared" si="1"/>
        <v>0.29059829059829068</v>
      </c>
    </row>
    <row r="11" spans="1:6" x14ac:dyDescent="0.2">
      <c r="A11" s="457"/>
      <c r="B11" s="198">
        <f t="shared" si="0"/>
        <v>0.3061224489795919</v>
      </c>
      <c r="C11" s="198">
        <f t="shared" si="1"/>
        <v>0.29411764705882359</v>
      </c>
    </row>
    <row r="12" spans="1:6" x14ac:dyDescent="0.2">
      <c r="A12" s="457"/>
      <c r="B12" s="198">
        <f t="shared" si="0"/>
        <v>0.28888888888888875</v>
      </c>
      <c r="C12" s="198">
        <f t="shared" si="1"/>
        <v>0.293577981651376</v>
      </c>
    </row>
    <row r="13" spans="1:6" x14ac:dyDescent="0.2">
      <c r="A13" s="457"/>
      <c r="B13" s="198">
        <f t="shared" si="0"/>
        <v>0.3000000000000001</v>
      </c>
      <c r="C13" s="198">
        <f t="shared" si="1"/>
        <v>0.30136986301369861</v>
      </c>
    </row>
    <row r="14" spans="1:6" x14ac:dyDescent="0.2">
      <c r="A14" s="457"/>
      <c r="B14" s="198">
        <f t="shared" si="0"/>
        <v>0.29310344827586216</v>
      </c>
      <c r="C14" s="198">
        <f t="shared" si="1"/>
        <v>0.30215827338129508</v>
      </c>
    </row>
    <row r="15" spans="1:6" x14ac:dyDescent="0.2">
      <c r="A15" s="457" t="s">
        <v>5409</v>
      </c>
      <c r="B15" s="198">
        <f t="shared" ref="B15:B24" si="2">(E50-E30)/E30</f>
        <v>0.37662337662337664</v>
      </c>
      <c r="C15" s="198">
        <f t="shared" ref="C15:C24" si="3">(F50-F30)/F30</f>
        <v>-0.31550802139037437</v>
      </c>
    </row>
    <row r="16" spans="1:6" x14ac:dyDescent="0.2">
      <c r="A16" s="457"/>
      <c r="B16" s="198">
        <f t="shared" si="2"/>
        <v>0.38461538461538453</v>
      </c>
      <c r="C16" s="198">
        <f t="shared" si="3"/>
        <v>-0.31496062992125984</v>
      </c>
    </row>
    <row r="17" spans="1:7" x14ac:dyDescent="0.2">
      <c r="A17" s="457"/>
      <c r="B17" s="198">
        <f t="shared" si="2"/>
        <v>0.36507936507936506</v>
      </c>
      <c r="C17" s="198">
        <f t="shared" si="3"/>
        <v>-0.31578947368421051</v>
      </c>
    </row>
    <row r="18" spans="1:7" x14ac:dyDescent="0.2">
      <c r="A18" s="457"/>
      <c r="B18" s="198">
        <f t="shared" si="2"/>
        <v>0.36363636363636354</v>
      </c>
      <c r="C18" s="198">
        <f t="shared" si="3"/>
        <v>-0.31060606060606061</v>
      </c>
    </row>
    <row r="19" spans="1:7" x14ac:dyDescent="0.2">
      <c r="A19" s="457"/>
      <c r="B19" s="198">
        <f t="shared" si="2"/>
        <v>0.37500000000000011</v>
      </c>
      <c r="C19" s="198">
        <f t="shared" si="3"/>
        <v>-0.31623931623931617</v>
      </c>
    </row>
    <row r="20" spans="1:7" x14ac:dyDescent="0.2">
      <c r="A20" s="457"/>
      <c r="B20" s="198">
        <f t="shared" si="2"/>
        <v>0.37500000000000011</v>
      </c>
      <c r="C20" s="198">
        <f t="shared" si="3"/>
        <v>-0.31623931623931617</v>
      </c>
      <c r="E20"/>
      <c r="F20" s="458" t="s">
        <v>5410</v>
      </c>
      <c r="G20" s="458"/>
    </row>
    <row r="21" spans="1:7" x14ac:dyDescent="0.2">
      <c r="A21" s="457"/>
      <c r="B21" s="198">
        <f t="shared" si="2"/>
        <v>0.36734693877551033</v>
      </c>
      <c r="C21" s="198">
        <f t="shared" si="3"/>
        <v>-0.3193277310924369</v>
      </c>
      <c r="E21"/>
      <c r="F21" s="26" t="s">
        <v>387</v>
      </c>
      <c r="G21" s="352" t="s">
        <v>367</v>
      </c>
    </row>
    <row r="22" spans="1:7" x14ac:dyDescent="0.2">
      <c r="A22" s="457"/>
      <c r="B22" s="198">
        <f t="shared" si="2"/>
        <v>0.37777777777777771</v>
      </c>
      <c r="C22" s="198">
        <f t="shared" si="3"/>
        <v>-0.31192660550458723</v>
      </c>
      <c r="E22" t="s">
        <v>311</v>
      </c>
      <c r="F22" s="54">
        <f>AVERAGE(E50:E59)</f>
        <v>0.76200000000000001</v>
      </c>
      <c r="G22" s="54">
        <f>AVERAGE(F50:F59)</f>
        <v>0.92099999999999993</v>
      </c>
    </row>
    <row r="23" spans="1:7" x14ac:dyDescent="0.2">
      <c r="A23" s="457"/>
      <c r="B23" s="198">
        <f t="shared" si="2"/>
        <v>0.3833333333333333</v>
      </c>
      <c r="C23" s="198">
        <f t="shared" si="3"/>
        <v>-0.31506849315068491</v>
      </c>
      <c r="E23" t="s">
        <v>16</v>
      </c>
      <c r="F23" s="54">
        <f>AVERAGE(E40:E49)</f>
        <v>0.72199999999999998</v>
      </c>
      <c r="G23" s="54">
        <f>AVERAGE(F40:F49)</f>
        <v>1.7449999999999999</v>
      </c>
    </row>
    <row r="24" spans="1:7" x14ac:dyDescent="0.2">
      <c r="A24" s="457"/>
      <c r="B24" s="198">
        <f t="shared" si="2"/>
        <v>0.36206896551724155</v>
      </c>
      <c r="C24" s="198">
        <f t="shared" si="3"/>
        <v>-0.31654676258992803</v>
      </c>
      <c r="E24" t="s">
        <v>69</v>
      </c>
      <c r="F24" s="54">
        <f>AVERAGE(E30:E39)</f>
        <v>0.55499999999999994</v>
      </c>
      <c r="G24" s="54">
        <f>AVERAGE(F30:F39)</f>
        <v>1.345</v>
      </c>
    </row>
    <row r="25" spans="1:7" x14ac:dyDescent="0.2">
      <c r="A25" t="s">
        <v>5411</v>
      </c>
    </row>
    <row r="28" spans="1:7" x14ac:dyDescent="0.2">
      <c r="C28" s="355" t="s">
        <v>5412</v>
      </c>
      <c r="D28" s="355" t="s">
        <v>5413</v>
      </c>
      <c r="E28" s="355" t="s">
        <v>5412</v>
      </c>
      <c r="F28" s="355" t="s">
        <v>5413</v>
      </c>
      <c r="G28"/>
    </row>
    <row r="29" spans="1:7" x14ac:dyDescent="0.2">
      <c r="A29" s="356" t="s">
        <v>5414</v>
      </c>
      <c r="B29" s="356" t="s">
        <v>5415</v>
      </c>
      <c r="C29" s="356" t="s">
        <v>5416</v>
      </c>
      <c r="D29" s="356" t="s">
        <v>5416</v>
      </c>
      <c r="E29" s="356" t="s">
        <v>5417</v>
      </c>
      <c r="F29" s="356" t="s">
        <v>5417</v>
      </c>
      <c r="G29"/>
    </row>
    <row r="30" spans="1:7" x14ac:dyDescent="0.2">
      <c r="A30" t="s">
        <v>339</v>
      </c>
      <c r="B30" s="79" t="s">
        <v>5418</v>
      </c>
      <c r="C30" s="88">
        <v>0.9</v>
      </c>
      <c r="D30" s="88">
        <v>1.24</v>
      </c>
      <c r="E30" s="88">
        <v>0.77</v>
      </c>
      <c r="F30" s="88">
        <v>1.87</v>
      </c>
      <c r="G30"/>
    </row>
    <row r="31" spans="1:7" x14ac:dyDescent="0.2">
      <c r="A31" t="s">
        <v>339</v>
      </c>
      <c r="B31" s="79" t="s">
        <v>5419</v>
      </c>
      <c r="C31" s="88">
        <v>0.84</v>
      </c>
      <c r="D31" s="88">
        <v>1.1599999999999999</v>
      </c>
      <c r="E31" s="88">
        <v>0.52</v>
      </c>
      <c r="F31" s="88">
        <v>1.27</v>
      </c>
      <c r="G31"/>
    </row>
    <row r="32" spans="1:7" x14ac:dyDescent="0.2">
      <c r="A32" t="s">
        <v>339</v>
      </c>
      <c r="B32" s="79" t="s">
        <v>5420</v>
      </c>
      <c r="C32" s="88">
        <v>0.86</v>
      </c>
      <c r="D32" s="88">
        <v>1.19</v>
      </c>
      <c r="E32" s="88">
        <v>0.63</v>
      </c>
      <c r="F32" s="88">
        <v>1.52</v>
      </c>
      <c r="G32"/>
    </row>
    <row r="33" spans="1:7" x14ac:dyDescent="0.2">
      <c r="A33" t="s">
        <v>339</v>
      </c>
      <c r="B33" s="79" t="s">
        <v>5421</v>
      </c>
      <c r="C33" s="88">
        <v>0.84</v>
      </c>
      <c r="D33" s="88">
        <v>1.17</v>
      </c>
      <c r="E33" s="88">
        <v>0.55000000000000004</v>
      </c>
      <c r="F33" s="88">
        <v>1.32</v>
      </c>
      <c r="G33"/>
    </row>
    <row r="34" spans="1:7" x14ac:dyDescent="0.2">
      <c r="A34" t="s">
        <v>339</v>
      </c>
      <c r="B34" s="79" t="s">
        <v>5422</v>
      </c>
      <c r="C34" s="88">
        <v>0.83</v>
      </c>
      <c r="D34" s="88">
        <v>1.1399999999999999</v>
      </c>
      <c r="E34" s="88">
        <v>0.48</v>
      </c>
      <c r="F34" s="88">
        <v>1.17</v>
      </c>
      <c r="G34"/>
    </row>
    <row r="35" spans="1:7" x14ac:dyDescent="0.2">
      <c r="A35" t="s">
        <v>339</v>
      </c>
      <c r="B35" s="79" t="s">
        <v>5423</v>
      </c>
      <c r="C35" s="88">
        <v>0.83</v>
      </c>
      <c r="D35" s="88">
        <v>1.1399999999999999</v>
      </c>
      <c r="E35" s="88">
        <v>0.48</v>
      </c>
      <c r="F35" s="88">
        <v>1.17</v>
      </c>
      <c r="G35"/>
    </row>
    <row r="36" spans="1:7" x14ac:dyDescent="0.2">
      <c r="A36" t="s">
        <v>339</v>
      </c>
      <c r="B36" s="79" t="s">
        <v>5424</v>
      </c>
      <c r="C36" s="88">
        <v>0.83</v>
      </c>
      <c r="D36" s="88">
        <v>1.1499999999999999</v>
      </c>
      <c r="E36" s="88">
        <v>0.49</v>
      </c>
      <c r="F36" s="88">
        <v>1.19</v>
      </c>
      <c r="G36"/>
    </row>
    <row r="37" spans="1:7" x14ac:dyDescent="0.2">
      <c r="A37" t="s">
        <v>339</v>
      </c>
      <c r="B37" s="79" t="s">
        <v>5425</v>
      </c>
      <c r="C37" s="88">
        <v>0.82</v>
      </c>
      <c r="D37" s="88">
        <v>1.1299999999999999</v>
      </c>
      <c r="E37" s="88">
        <v>0.45</v>
      </c>
      <c r="F37" s="88">
        <v>1.0900000000000001</v>
      </c>
      <c r="G37"/>
    </row>
    <row r="38" spans="1:7" x14ac:dyDescent="0.2">
      <c r="A38" t="s">
        <v>339</v>
      </c>
      <c r="B38" s="79" t="s">
        <v>5426</v>
      </c>
      <c r="C38" s="88">
        <v>0.86</v>
      </c>
      <c r="D38" s="88">
        <v>1.19</v>
      </c>
      <c r="E38" s="88">
        <v>0.6</v>
      </c>
      <c r="F38" s="88">
        <v>1.46</v>
      </c>
      <c r="G38"/>
    </row>
    <row r="39" spans="1:7" x14ac:dyDescent="0.2">
      <c r="A39" t="s">
        <v>339</v>
      </c>
      <c r="B39" s="79" t="s">
        <v>5427</v>
      </c>
      <c r="C39" s="88">
        <v>0.85</v>
      </c>
      <c r="D39" s="88">
        <v>1.18</v>
      </c>
      <c r="E39" s="88">
        <v>0.57999999999999996</v>
      </c>
      <c r="F39" s="88">
        <v>1.39</v>
      </c>
      <c r="G39"/>
    </row>
    <row r="40" spans="1:7" x14ac:dyDescent="0.2">
      <c r="A40" t="s">
        <v>341</v>
      </c>
      <c r="B40" s="79" t="s">
        <v>5418</v>
      </c>
      <c r="C40" s="88">
        <v>1.77</v>
      </c>
      <c r="D40" s="88">
        <v>4.1500000000000004</v>
      </c>
      <c r="E40" s="88">
        <v>1</v>
      </c>
      <c r="F40" s="88">
        <v>2.4300000000000002</v>
      </c>
      <c r="G40"/>
    </row>
    <row r="41" spans="1:7" x14ac:dyDescent="0.2">
      <c r="A41" t="s">
        <v>341</v>
      </c>
      <c r="B41" s="79" t="s">
        <v>5419</v>
      </c>
      <c r="C41" s="88">
        <v>1.66</v>
      </c>
      <c r="D41" s="88">
        <v>3.87</v>
      </c>
      <c r="E41" s="88">
        <v>0.68</v>
      </c>
      <c r="F41" s="88">
        <v>1.64</v>
      </c>
      <c r="G41"/>
    </row>
    <row r="42" spans="1:7" x14ac:dyDescent="0.2">
      <c r="A42" t="s">
        <v>341</v>
      </c>
      <c r="B42" s="79" t="s">
        <v>5420</v>
      </c>
      <c r="C42" s="88">
        <v>1.71</v>
      </c>
      <c r="D42" s="88">
        <v>3.99</v>
      </c>
      <c r="E42" s="88">
        <v>0.82</v>
      </c>
      <c r="F42" s="88">
        <v>1.97</v>
      </c>
      <c r="G42"/>
    </row>
    <row r="43" spans="1:7" x14ac:dyDescent="0.2">
      <c r="A43" t="s">
        <v>341</v>
      </c>
      <c r="B43" s="79" t="s">
        <v>5421</v>
      </c>
      <c r="C43" s="88">
        <v>1.67</v>
      </c>
      <c r="D43" s="88">
        <v>3.9</v>
      </c>
      <c r="E43" s="88">
        <v>0.71</v>
      </c>
      <c r="F43" s="88">
        <v>1.72</v>
      </c>
      <c r="G43"/>
    </row>
    <row r="44" spans="1:7" x14ac:dyDescent="0.2">
      <c r="A44" t="s">
        <v>341</v>
      </c>
      <c r="B44" s="79" t="s">
        <v>5422</v>
      </c>
      <c r="C44" s="88">
        <v>1.64</v>
      </c>
      <c r="D44" s="88">
        <v>3.83</v>
      </c>
      <c r="E44" s="88">
        <v>0.63</v>
      </c>
      <c r="F44" s="88">
        <v>1.52</v>
      </c>
      <c r="G44"/>
    </row>
    <row r="45" spans="1:7" x14ac:dyDescent="0.2">
      <c r="A45" t="s">
        <v>341</v>
      </c>
      <c r="B45" s="79" t="s">
        <v>5423</v>
      </c>
      <c r="C45" s="88">
        <v>1.64</v>
      </c>
      <c r="D45" s="88">
        <v>3.83</v>
      </c>
      <c r="E45" s="88">
        <v>0.63</v>
      </c>
      <c r="F45" s="88">
        <v>1.51</v>
      </c>
      <c r="G45"/>
    </row>
    <row r="46" spans="1:7" x14ac:dyDescent="0.2">
      <c r="A46" t="s">
        <v>341</v>
      </c>
      <c r="B46" s="79" t="s">
        <v>5424</v>
      </c>
      <c r="C46" s="88">
        <v>1.64</v>
      </c>
      <c r="D46" s="88">
        <v>3.84</v>
      </c>
      <c r="E46" s="88">
        <v>0.64</v>
      </c>
      <c r="F46" s="88">
        <v>1.54</v>
      </c>
      <c r="G46"/>
    </row>
    <row r="47" spans="1:7" x14ac:dyDescent="0.2">
      <c r="A47" t="s">
        <v>341</v>
      </c>
      <c r="B47" s="79" t="s">
        <v>5425</v>
      </c>
      <c r="C47" s="88">
        <v>1.62</v>
      </c>
      <c r="D47" s="88">
        <v>3.79</v>
      </c>
      <c r="E47" s="88">
        <v>0.57999999999999996</v>
      </c>
      <c r="F47" s="88">
        <v>1.41</v>
      </c>
      <c r="G47"/>
    </row>
    <row r="48" spans="1:7" x14ac:dyDescent="0.2">
      <c r="A48" t="s">
        <v>341</v>
      </c>
      <c r="B48" s="79" t="s">
        <v>5426</v>
      </c>
      <c r="C48" s="88">
        <v>1.69</v>
      </c>
      <c r="D48" s="88">
        <v>3.96</v>
      </c>
      <c r="E48" s="88">
        <v>0.78</v>
      </c>
      <c r="F48" s="88">
        <v>1.9</v>
      </c>
      <c r="G48"/>
    </row>
    <row r="49" spans="1:7" x14ac:dyDescent="0.2">
      <c r="A49" t="s">
        <v>341</v>
      </c>
      <c r="B49" s="79" t="s">
        <v>5427</v>
      </c>
      <c r="C49" s="88">
        <v>1.68</v>
      </c>
      <c r="D49" s="88">
        <v>3.93</v>
      </c>
      <c r="E49" s="88">
        <v>0.75</v>
      </c>
      <c r="F49" s="88">
        <v>1.81</v>
      </c>
      <c r="G49"/>
    </row>
    <row r="50" spans="1:7" x14ac:dyDescent="0.2">
      <c r="A50" t="s">
        <v>5396</v>
      </c>
      <c r="B50" s="79" t="s">
        <v>5418</v>
      </c>
      <c r="C50" s="88">
        <v>2.67</v>
      </c>
      <c r="D50" s="88">
        <v>6.25</v>
      </c>
      <c r="E50" s="88">
        <v>1.06</v>
      </c>
      <c r="F50" s="352">
        <v>1.28</v>
      </c>
      <c r="G50"/>
    </row>
    <row r="51" spans="1:7" x14ac:dyDescent="0.2">
      <c r="A51" t="s">
        <v>5396</v>
      </c>
      <c r="B51" s="79" t="s">
        <v>5419</v>
      </c>
      <c r="C51" s="88">
        <v>2.4900000000000002</v>
      </c>
      <c r="D51" s="88">
        <v>5.83</v>
      </c>
      <c r="E51" s="88">
        <v>0.72</v>
      </c>
      <c r="F51" s="352">
        <v>0.87</v>
      </c>
      <c r="G51"/>
    </row>
    <row r="52" spans="1:7" x14ac:dyDescent="0.2">
      <c r="A52" t="s">
        <v>5396</v>
      </c>
      <c r="B52" s="79" t="s">
        <v>5420</v>
      </c>
      <c r="C52" s="88">
        <v>2.57</v>
      </c>
      <c r="D52" s="88">
        <v>6.01</v>
      </c>
      <c r="E52" s="88">
        <v>0.86</v>
      </c>
      <c r="F52" s="352">
        <v>1.04</v>
      </c>
      <c r="G52"/>
    </row>
    <row r="53" spans="1:7" x14ac:dyDescent="0.2">
      <c r="A53" t="s">
        <v>5396</v>
      </c>
      <c r="B53" s="79" t="s">
        <v>5421</v>
      </c>
      <c r="C53" s="88">
        <v>2.5099999999999998</v>
      </c>
      <c r="D53" s="88">
        <v>5.87</v>
      </c>
      <c r="E53" s="88">
        <v>0.75</v>
      </c>
      <c r="F53" s="352">
        <v>0.91</v>
      </c>
      <c r="G53"/>
    </row>
    <row r="54" spans="1:7" x14ac:dyDescent="0.2">
      <c r="A54" t="s">
        <v>5396</v>
      </c>
      <c r="B54" s="79" t="s">
        <v>5422</v>
      </c>
      <c r="C54" s="88">
        <v>2.46</v>
      </c>
      <c r="D54" s="88">
        <v>5.77</v>
      </c>
      <c r="E54" s="88">
        <v>0.66</v>
      </c>
      <c r="F54" s="352">
        <v>0.8</v>
      </c>
      <c r="G54"/>
    </row>
    <row r="55" spans="1:7" x14ac:dyDescent="0.2">
      <c r="A55" t="s">
        <v>5396</v>
      </c>
      <c r="B55" s="79" t="s">
        <v>5423</v>
      </c>
      <c r="C55" s="88">
        <v>2.46</v>
      </c>
      <c r="D55" s="88">
        <v>5.76</v>
      </c>
      <c r="E55" s="88">
        <v>0.66</v>
      </c>
      <c r="F55" s="352">
        <v>0.8</v>
      </c>
      <c r="G55"/>
    </row>
    <row r="56" spans="1:7" x14ac:dyDescent="0.2">
      <c r="A56" t="s">
        <v>5396</v>
      </c>
      <c r="B56" s="79" t="s">
        <v>5424</v>
      </c>
      <c r="C56" s="88">
        <v>2.4700000000000002</v>
      </c>
      <c r="D56" s="88">
        <v>5.78</v>
      </c>
      <c r="E56" s="88">
        <v>0.67</v>
      </c>
      <c r="F56" s="352">
        <v>0.81</v>
      </c>
      <c r="G56"/>
    </row>
    <row r="57" spans="1:7" x14ac:dyDescent="0.2">
      <c r="A57" t="s">
        <v>5396</v>
      </c>
      <c r="B57" s="79" t="s">
        <v>5425</v>
      </c>
      <c r="C57" s="88">
        <v>2.44</v>
      </c>
      <c r="D57" s="88">
        <v>5.71</v>
      </c>
      <c r="E57" s="88">
        <v>0.62</v>
      </c>
      <c r="F57" s="352">
        <v>0.75</v>
      </c>
      <c r="G57"/>
    </row>
    <row r="58" spans="1:7" x14ac:dyDescent="0.2">
      <c r="A58" t="s">
        <v>5396</v>
      </c>
      <c r="B58" s="79" t="s">
        <v>5426</v>
      </c>
      <c r="C58" s="88">
        <v>2.5499999999999998</v>
      </c>
      <c r="D58" s="88">
        <v>5.97</v>
      </c>
      <c r="E58" s="88">
        <v>0.83</v>
      </c>
      <c r="F58" s="352">
        <v>1</v>
      </c>
      <c r="G58"/>
    </row>
    <row r="59" spans="1:7" x14ac:dyDescent="0.2">
      <c r="A59" t="s">
        <v>5396</v>
      </c>
      <c r="B59" s="79" t="s">
        <v>5427</v>
      </c>
      <c r="C59" s="88">
        <v>2.5299999999999998</v>
      </c>
      <c r="D59" s="88">
        <v>5.92</v>
      </c>
      <c r="E59" s="88">
        <v>0.79</v>
      </c>
      <c r="F59" s="352">
        <v>0.95</v>
      </c>
      <c r="G59"/>
    </row>
    <row r="63" spans="1:7" x14ac:dyDescent="0.2">
      <c r="C63"/>
    </row>
    <row r="64" spans="1:7" x14ac:dyDescent="0.2">
      <c r="C64"/>
      <c r="D64"/>
      <c r="E64"/>
      <c r="F64"/>
    </row>
    <row r="65" spans="1:9" x14ac:dyDescent="0.2">
      <c r="C65"/>
      <c r="D65"/>
      <c r="E65"/>
      <c r="F65"/>
    </row>
    <row r="66" spans="1:9" x14ac:dyDescent="0.2">
      <c r="C66"/>
      <c r="D66" s="459" t="s">
        <v>385</v>
      </c>
      <c r="E66" s="459"/>
      <c r="F66" s="459"/>
      <c r="G66" s="459"/>
    </row>
    <row r="67" spans="1:9" x14ac:dyDescent="0.2">
      <c r="C67"/>
      <c r="D67" s="460" t="s">
        <v>5326</v>
      </c>
      <c r="E67" s="460"/>
      <c r="F67" s="460" t="s">
        <v>1211</v>
      </c>
      <c r="G67" s="460"/>
    </row>
    <row r="68" spans="1:9" x14ac:dyDescent="0.2">
      <c r="B68" t="s">
        <v>5323</v>
      </c>
      <c r="C68" t="s">
        <v>5341</v>
      </c>
      <c r="D68" t="s">
        <v>387</v>
      </c>
      <c r="E68" t="s">
        <v>367</v>
      </c>
      <c r="F68" t="s">
        <v>387</v>
      </c>
      <c r="G68" t="s">
        <v>367</v>
      </c>
      <c r="H68" t="s">
        <v>43</v>
      </c>
    </row>
    <row r="69" spans="1:9" x14ac:dyDescent="0.2">
      <c r="A69" t="s">
        <v>311</v>
      </c>
      <c r="B69">
        <v>10162</v>
      </c>
      <c r="C69">
        <v>500</v>
      </c>
      <c r="D69" s="86">
        <v>529</v>
      </c>
      <c r="E69" s="86">
        <v>641</v>
      </c>
      <c r="F69" s="39">
        <f>D69/$C$69</f>
        <v>1.0580000000000001</v>
      </c>
      <c r="G69" s="39">
        <f>E69/$C$69</f>
        <v>1.282</v>
      </c>
      <c r="H69" t="s">
        <v>338</v>
      </c>
      <c r="I69" s="4" t="s">
        <v>5346</v>
      </c>
    </row>
    <row r="70" spans="1:9" x14ac:dyDescent="0.2">
      <c r="A70" t="s">
        <v>5325</v>
      </c>
      <c r="B70">
        <v>10162</v>
      </c>
      <c r="C70">
        <v>500</v>
      </c>
      <c r="D70" s="86">
        <v>320</v>
      </c>
      <c r="E70" s="86">
        <v>774</v>
      </c>
      <c r="F70" s="39">
        <f>D70/$C$69</f>
        <v>0.64</v>
      </c>
      <c r="G70" s="39">
        <f>E70/$C$69</f>
        <v>1.548</v>
      </c>
      <c r="H70" t="s">
        <v>338</v>
      </c>
      <c r="I70" s="4" t="s">
        <v>5345</v>
      </c>
    </row>
    <row r="71" spans="1:9" x14ac:dyDescent="0.2">
      <c r="A71" t="s">
        <v>311</v>
      </c>
      <c r="C71"/>
      <c r="D71"/>
      <c r="E71"/>
      <c r="F71" s="39">
        <v>0.5</v>
      </c>
      <c r="G71" s="39">
        <v>1.3</v>
      </c>
      <c r="H71" t="s">
        <v>5344</v>
      </c>
      <c r="I71" s="4" t="s">
        <v>5343</v>
      </c>
    </row>
    <row r="72" spans="1:9" x14ac:dyDescent="0.2">
      <c r="A72" t="s">
        <v>5325</v>
      </c>
      <c r="C72"/>
      <c r="D72"/>
      <c r="E72"/>
      <c r="F72" s="39">
        <v>0.5</v>
      </c>
      <c r="G72" s="39">
        <v>1.3</v>
      </c>
      <c r="H72" t="s">
        <v>5344</v>
      </c>
      <c r="I72" s="4" t="s">
        <v>5342</v>
      </c>
    </row>
    <row r="73" spans="1:9" x14ac:dyDescent="0.2">
      <c r="C73"/>
      <c r="D73"/>
      <c r="E73"/>
      <c r="F73"/>
      <c r="G73"/>
    </row>
    <row r="74" spans="1:9" x14ac:dyDescent="0.2">
      <c r="A74" t="s">
        <v>5347</v>
      </c>
      <c r="B74">
        <v>10162</v>
      </c>
      <c r="C74">
        <v>500</v>
      </c>
      <c r="D74">
        <v>179</v>
      </c>
      <c r="E74">
        <v>432</v>
      </c>
      <c r="F74" s="39">
        <f>D74/$C$69</f>
        <v>0.35799999999999998</v>
      </c>
      <c r="G74" s="39">
        <f>E74/$C$69</f>
        <v>0.86399999999999999</v>
      </c>
      <c r="H74" t="s">
        <v>338</v>
      </c>
      <c r="I74" s="4" t="s">
        <v>5348</v>
      </c>
    </row>
    <row r="75" spans="1:9" x14ac:dyDescent="0.2">
      <c r="A75" t="s">
        <v>5350</v>
      </c>
      <c r="B75">
        <v>10162</v>
      </c>
      <c r="C75">
        <v>500</v>
      </c>
      <c r="D75">
        <v>261</v>
      </c>
      <c r="E75">
        <v>631</v>
      </c>
      <c r="F75" s="39">
        <f>D75/$C$69</f>
        <v>0.52200000000000002</v>
      </c>
      <c r="G75" s="39">
        <f>E75/$C$69</f>
        <v>1.262</v>
      </c>
      <c r="H75" t="s">
        <v>338</v>
      </c>
      <c r="I75" s="4" t="s">
        <v>5349</v>
      </c>
    </row>
    <row r="76" spans="1:9" x14ac:dyDescent="0.2">
      <c r="C76"/>
      <c r="D76"/>
      <c r="E76"/>
      <c r="F76"/>
    </row>
    <row r="77" spans="1:9" x14ac:dyDescent="0.2">
      <c r="C77"/>
      <c r="D77"/>
      <c r="E77"/>
      <c r="F77"/>
    </row>
    <row r="78" spans="1:9" x14ac:dyDescent="0.2">
      <c r="C78"/>
      <c r="D78"/>
      <c r="E78"/>
      <c r="F78"/>
    </row>
    <row r="79" spans="1:9" x14ac:dyDescent="0.2">
      <c r="C79"/>
      <c r="D79"/>
      <c r="E79"/>
      <c r="F79"/>
    </row>
    <row r="80" spans="1:9" x14ac:dyDescent="0.2">
      <c r="C80"/>
      <c r="D80"/>
      <c r="E80"/>
      <c r="F80"/>
    </row>
    <row r="81" spans="3:6" x14ac:dyDescent="0.2">
      <c r="C81"/>
      <c r="D81"/>
      <c r="E81"/>
      <c r="F81"/>
    </row>
    <row r="82" spans="3:6" x14ac:dyDescent="0.2">
      <c r="C82"/>
      <c r="D82"/>
      <c r="E82"/>
      <c r="F82"/>
    </row>
    <row r="83" spans="3:6" x14ac:dyDescent="0.2">
      <c r="D83"/>
      <c r="E83"/>
      <c r="F83"/>
    </row>
    <row r="84" spans="3:6" x14ac:dyDescent="0.2">
      <c r="E84" s="89"/>
      <c r="F84" s="89"/>
    </row>
  </sheetData>
  <mergeCells count="6">
    <mergeCell ref="A5:A14"/>
    <mergeCell ref="A15:A24"/>
    <mergeCell ref="F20:G20"/>
    <mergeCell ref="D66:G66"/>
    <mergeCell ref="D67:E67"/>
    <mergeCell ref="F67:G67"/>
  </mergeCells>
  <hyperlinks>
    <hyperlink ref="I72" r:id="rId1" xr:uid="{A69728C6-DD4B-4827-8008-77CE99439FF6}"/>
    <hyperlink ref="I71" r:id="rId2" xr:uid="{DE62528F-7213-4AD7-874B-3450DA067818}"/>
    <hyperlink ref="I70" r:id="rId3" xr:uid="{6998ADEF-A540-4247-A1D2-5F1DE3796384}"/>
    <hyperlink ref="I69" r:id="rId4" xr:uid="{1036348D-F446-4C78-924E-919C91BBEC28}"/>
    <hyperlink ref="I74" r:id="rId5" xr:uid="{5DEEA8E7-44A0-4464-AE80-032129DAE014}"/>
    <hyperlink ref="I75" r:id="rId6" xr:uid="{62D5FCAB-7015-4BDC-BC78-77C8558EEBB4}"/>
  </hyperlinks>
  <pageMargins left="0.7" right="0.7" top="0.75" bottom="0.75" header="0.3" footer="0.3"/>
  <pageSetup orientation="portrait" r:id="rId7"/>
  <drawing r:id="rId8"/>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314A8-7F1E-422A-B09B-201F15DAF487}">
  <dimension ref="A1:E27"/>
  <sheetViews>
    <sheetView workbookViewId="0">
      <selection activeCell="B1" sqref="B1"/>
    </sheetView>
  </sheetViews>
  <sheetFormatPr baseColWidth="10" defaultColWidth="8.83203125" defaultRowHeight="15" x14ac:dyDescent="0.2"/>
  <cols>
    <col min="1" max="1" width="13.5" customWidth="1"/>
    <col min="2" max="2" width="22.5" bestFit="1" customWidth="1"/>
    <col min="3" max="3" width="6.5" customWidth="1"/>
  </cols>
  <sheetData>
    <row r="1" spans="1:5" x14ac:dyDescent="0.2">
      <c r="A1" s="34" t="s">
        <v>0</v>
      </c>
      <c r="B1" s="34" t="s">
        <v>27</v>
      </c>
      <c r="C1" s="34" t="s">
        <v>2785</v>
      </c>
      <c r="D1" s="34" t="s">
        <v>1153</v>
      </c>
      <c r="E1" s="34" t="s">
        <v>43</v>
      </c>
    </row>
    <row r="2" spans="1:5" x14ac:dyDescent="0.2">
      <c r="A2" t="s">
        <v>400</v>
      </c>
      <c r="B2" t="s">
        <v>405</v>
      </c>
    </row>
    <row r="3" spans="1:5" x14ac:dyDescent="0.2">
      <c r="A3" t="s">
        <v>400</v>
      </c>
      <c r="B3" t="s">
        <v>401</v>
      </c>
      <c r="D3" s="94" t="s">
        <v>2786</v>
      </c>
      <c r="E3" t="s">
        <v>2787</v>
      </c>
    </row>
    <row r="4" spans="1:5" x14ac:dyDescent="0.2">
      <c r="A4" t="s">
        <v>400</v>
      </c>
      <c r="B4" t="s">
        <v>67</v>
      </c>
      <c r="C4">
        <v>1.5</v>
      </c>
      <c r="D4" s="94" t="s">
        <v>2788</v>
      </c>
      <c r="E4" t="s">
        <v>2789</v>
      </c>
    </row>
    <row r="5" spans="1:5" x14ac:dyDescent="0.2">
      <c r="A5" t="s">
        <v>400</v>
      </c>
      <c r="B5" t="s">
        <v>722</v>
      </c>
      <c r="C5">
        <v>1.5</v>
      </c>
      <c r="D5" s="94" t="s">
        <v>2788</v>
      </c>
      <c r="E5" t="s">
        <v>2789</v>
      </c>
    </row>
    <row r="6" spans="1:5" x14ac:dyDescent="0.2">
      <c r="A6" t="s">
        <v>400</v>
      </c>
      <c r="B6" t="s">
        <v>747</v>
      </c>
      <c r="C6">
        <v>1.5</v>
      </c>
      <c r="D6" s="94" t="s">
        <v>2788</v>
      </c>
      <c r="E6" t="s">
        <v>2789</v>
      </c>
    </row>
    <row r="7" spans="1:5" s="97" customFormat="1" x14ac:dyDescent="0.2">
      <c r="A7" s="97" t="s">
        <v>400</v>
      </c>
      <c r="B7" s="97" t="s">
        <v>725</v>
      </c>
      <c r="D7" s="97" t="s">
        <v>2790</v>
      </c>
    </row>
    <row r="8" spans="1:5" s="97" customFormat="1" x14ac:dyDescent="0.2">
      <c r="A8" s="97" t="s">
        <v>400</v>
      </c>
      <c r="B8" s="97" t="s">
        <v>731</v>
      </c>
      <c r="D8" s="97" t="s">
        <v>2790</v>
      </c>
    </row>
    <row r="9" spans="1:5" x14ac:dyDescent="0.2">
      <c r="A9" t="s">
        <v>400</v>
      </c>
      <c r="B9" t="s">
        <v>732</v>
      </c>
      <c r="C9">
        <v>2.75</v>
      </c>
      <c r="D9" s="94" t="s">
        <v>2791</v>
      </c>
      <c r="E9" t="s">
        <v>2792</v>
      </c>
    </row>
    <row r="10" spans="1:5" s="97" customFormat="1" x14ac:dyDescent="0.2">
      <c r="A10" s="97" t="s">
        <v>400</v>
      </c>
      <c r="B10" s="97" t="s">
        <v>745</v>
      </c>
      <c r="D10" s="97" t="s">
        <v>2793</v>
      </c>
    </row>
    <row r="11" spans="1:5" x14ac:dyDescent="0.2">
      <c r="A11" t="s">
        <v>400</v>
      </c>
      <c r="B11" t="s">
        <v>917</v>
      </c>
      <c r="D11" s="97" t="s">
        <v>2794</v>
      </c>
      <c r="E11" t="s">
        <v>2795</v>
      </c>
    </row>
    <row r="12" spans="1:5" x14ac:dyDescent="0.2">
      <c r="A12" t="s">
        <v>400</v>
      </c>
      <c r="B12" t="s">
        <v>991</v>
      </c>
      <c r="C12">
        <v>1.75</v>
      </c>
      <c r="D12">
        <v>3.03</v>
      </c>
      <c r="E12" t="s">
        <v>2796</v>
      </c>
    </row>
    <row r="13" spans="1:5" s="97" customFormat="1" x14ac:dyDescent="0.2">
      <c r="A13" s="97" t="s">
        <v>400</v>
      </c>
      <c r="B13" s="97" t="s">
        <v>1111</v>
      </c>
      <c r="D13" s="97" t="s">
        <v>2797</v>
      </c>
    </row>
    <row r="14" spans="1:5" x14ac:dyDescent="0.2">
      <c r="A14" t="s">
        <v>7</v>
      </c>
      <c r="B14" t="s">
        <v>401</v>
      </c>
      <c r="D14">
        <v>0.61</v>
      </c>
      <c r="E14" t="s">
        <v>2796</v>
      </c>
    </row>
    <row r="15" spans="1:5" x14ac:dyDescent="0.2">
      <c r="A15" t="s">
        <v>7</v>
      </c>
      <c r="B15" t="s">
        <v>1849</v>
      </c>
      <c r="D15">
        <v>0.37</v>
      </c>
      <c r="E15" t="s">
        <v>2798</v>
      </c>
    </row>
    <row r="16" spans="1:5" s="97" customFormat="1" x14ac:dyDescent="0.2">
      <c r="A16" s="97" t="s">
        <v>7</v>
      </c>
      <c r="B16" s="97" t="s">
        <v>405</v>
      </c>
      <c r="D16" s="97" t="s">
        <v>2799</v>
      </c>
    </row>
    <row r="17" spans="1:5" s="97" customFormat="1" x14ac:dyDescent="0.2">
      <c r="A17" s="97" t="s">
        <v>7</v>
      </c>
      <c r="B17" s="97" t="s">
        <v>745</v>
      </c>
      <c r="D17" s="97" t="s">
        <v>2800</v>
      </c>
    </row>
    <row r="18" spans="1:5" x14ac:dyDescent="0.2">
      <c r="A18" t="s">
        <v>7</v>
      </c>
      <c r="B18" t="s">
        <v>2264</v>
      </c>
      <c r="D18">
        <v>0.61</v>
      </c>
      <c r="E18" t="s">
        <v>2796</v>
      </c>
    </row>
    <row r="19" spans="1:5" x14ac:dyDescent="0.2">
      <c r="A19" t="s">
        <v>7</v>
      </c>
      <c r="B19" t="s">
        <v>2268</v>
      </c>
      <c r="D19">
        <v>0.11</v>
      </c>
      <c r="E19" t="s">
        <v>2798</v>
      </c>
    </row>
    <row r="20" spans="1:5" x14ac:dyDescent="0.2">
      <c r="A20" t="s">
        <v>7</v>
      </c>
      <c r="B20" t="s">
        <v>917</v>
      </c>
      <c r="D20">
        <v>0.61</v>
      </c>
      <c r="E20" t="s">
        <v>2796</v>
      </c>
    </row>
    <row r="21" spans="1:5" x14ac:dyDescent="0.2">
      <c r="A21" t="s">
        <v>7</v>
      </c>
      <c r="B21" t="s">
        <v>991</v>
      </c>
      <c r="D21" t="s">
        <v>2801</v>
      </c>
      <c r="E21" t="s">
        <v>2796</v>
      </c>
    </row>
    <row r="22" spans="1:5" x14ac:dyDescent="0.2">
      <c r="A22" t="s">
        <v>2802</v>
      </c>
      <c r="B22" t="s">
        <v>2803</v>
      </c>
      <c r="D22" t="s">
        <v>2804</v>
      </c>
      <c r="E22" t="s">
        <v>2805</v>
      </c>
    </row>
    <row r="23" spans="1:5" x14ac:dyDescent="0.2">
      <c r="A23" t="s">
        <v>2802</v>
      </c>
      <c r="B23" t="s">
        <v>2806</v>
      </c>
      <c r="D23" s="94" t="s">
        <v>2807</v>
      </c>
      <c r="E23" t="s">
        <v>2805</v>
      </c>
    </row>
    <row r="24" spans="1:5" x14ac:dyDescent="0.2">
      <c r="A24" t="s">
        <v>2802</v>
      </c>
      <c r="B24" t="s">
        <v>85</v>
      </c>
      <c r="D24" t="s">
        <v>2808</v>
      </c>
      <c r="E24" t="s">
        <v>2805</v>
      </c>
    </row>
    <row r="25" spans="1:5" x14ac:dyDescent="0.2">
      <c r="A25" t="s">
        <v>2802</v>
      </c>
      <c r="B25" t="s">
        <v>86</v>
      </c>
      <c r="D25">
        <v>5</v>
      </c>
      <c r="E25" t="s">
        <v>2805</v>
      </c>
    </row>
    <row r="26" spans="1:5" x14ac:dyDescent="0.2">
      <c r="A26" t="s">
        <v>2802</v>
      </c>
      <c r="B26" t="s">
        <v>84</v>
      </c>
      <c r="D26">
        <v>6</v>
      </c>
      <c r="E26" t="s">
        <v>2805</v>
      </c>
    </row>
    <row r="27" spans="1:5" x14ac:dyDescent="0.2">
      <c r="A27" t="s">
        <v>2802</v>
      </c>
      <c r="B27" t="s">
        <v>2809</v>
      </c>
      <c r="D27">
        <v>6</v>
      </c>
      <c r="E27" t="s">
        <v>2805</v>
      </c>
    </row>
  </sheetData>
  <phoneticPr fontId="25" type="noConversion"/>
  <pageMargins left="0.7" right="0.7" top="0.75" bottom="0.75" header="0.3" footer="0.3"/>
  <pageSetup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6DADB-5AC5-4D13-A1C1-F6AEC5DB66B7}">
  <sheetPr>
    <tabColor theme="7" tint="0.79998168889431442"/>
  </sheetPr>
  <dimension ref="E6:Q132"/>
  <sheetViews>
    <sheetView workbookViewId="0"/>
  </sheetViews>
  <sheetFormatPr baseColWidth="10" defaultColWidth="8.83203125" defaultRowHeight="15" x14ac:dyDescent="0.2"/>
  <cols>
    <col min="5" max="5" width="86" bestFit="1" customWidth="1"/>
    <col min="6" max="6" width="10.5" customWidth="1"/>
    <col min="7" max="8" width="8.5" bestFit="1" customWidth="1"/>
    <col min="9" max="9" width="10.5" customWidth="1"/>
    <col min="10" max="10" width="8.5" bestFit="1" customWidth="1"/>
    <col min="11" max="11" width="12.5" customWidth="1"/>
    <col min="12" max="12" width="8.5" bestFit="1" customWidth="1"/>
    <col min="13" max="13" width="15.5" customWidth="1"/>
    <col min="14" max="14" width="12.5" customWidth="1"/>
    <col min="15" max="15" width="17.5" customWidth="1"/>
    <col min="16" max="16" width="12.5" customWidth="1"/>
  </cols>
  <sheetData>
    <row r="6" spans="5:17" x14ac:dyDescent="0.2">
      <c r="E6" t="s">
        <v>388</v>
      </c>
      <c r="F6" t="s">
        <v>1157</v>
      </c>
      <c r="G6" t="s">
        <v>354</v>
      </c>
      <c r="H6" t="s">
        <v>1158</v>
      </c>
      <c r="I6" t="s">
        <v>27</v>
      </c>
      <c r="J6" t="s">
        <v>1161</v>
      </c>
      <c r="K6" t="s">
        <v>1162</v>
      </c>
      <c r="L6" t="s">
        <v>1163</v>
      </c>
      <c r="M6" t="s">
        <v>2810</v>
      </c>
      <c r="N6" t="s">
        <v>1164</v>
      </c>
      <c r="O6" t="s">
        <v>2811</v>
      </c>
      <c r="P6" t="s">
        <v>2812</v>
      </c>
      <c r="Q6" t="s">
        <v>1160</v>
      </c>
    </row>
    <row r="7" spans="5:17" x14ac:dyDescent="0.2">
      <c r="E7" t="s">
        <v>2813</v>
      </c>
      <c r="F7">
        <v>1</v>
      </c>
      <c r="G7" t="s">
        <v>1170</v>
      </c>
      <c r="H7" t="s">
        <v>1217</v>
      </c>
      <c r="I7" s="54">
        <v>5.9</v>
      </c>
      <c r="J7" s="54">
        <v>1.55</v>
      </c>
      <c r="K7" s="55" t="s">
        <v>2814</v>
      </c>
      <c r="L7" s="54">
        <f t="shared" ref="L7:L38" si="0">SUM(I7,J7,K7)</f>
        <v>7.45</v>
      </c>
      <c r="M7" s="54">
        <v>6.5</v>
      </c>
      <c r="N7" s="54">
        <v>2.52</v>
      </c>
      <c r="O7" t="s">
        <v>2815</v>
      </c>
      <c r="P7" s="54">
        <f t="shared" ref="P7:P38" si="1">SUM(M7,N7,O7)</f>
        <v>9.02</v>
      </c>
      <c r="Q7" s="2">
        <v>0.04</v>
      </c>
    </row>
    <row r="8" spans="5:17" x14ac:dyDescent="0.2">
      <c r="E8" t="s">
        <v>2816</v>
      </c>
      <c r="F8">
        <v>1</v>
      </c>
      <c r="G8" t="s">
        <v>1220</v>
      </c>
      <c r="H8" t="s">
        <v>1217</v>
      </c>
      <c r="I8" s="54">
        <v>1.31</v>
      </c>
      <c r="J8" s="54">
        <v>0.88</v>
      </c>
      <c r="K8" s="55" t="s">
        <v>2814</v>
      </c>
      <c r="L8" s="54">
        <f t="shared" si="0"/>
        <v>2.19</v>
      </c>
      <c r="M8" s="54">
        <v>1.44</v>
      </c>
      <c r="N8" s="54">
        <v>1.44</v>
      </c>
      <c r="O8" t="s">
        <v>2815</v>
      </c>
      <c r="P8" s="54">
        <f t="shared" si="1"/>
        <v>2.88</v>
      </c>
      <c r="Q8" s="2">
        <v>2.3E-2</v>
      </c>
    </row>
    <row r="9" spans="5:17" x14ac:dyDescent="0.2">
      <c r="E9" t="s">
        <v>2817</v>
      </c>
      <c r="F9">
        <v>1</v>
      </c>
      <c r="G9" t="s">
        <v>1220</v>
      </c>
      <c r="H9" t="s">
        <v>1217</v>
      </c>
      <c r="I9" s="54">
        <v>9.25</v>
      </c>
      <c r="J9" s="54">
        <v>6.2</v>
      </c>
      <c r="K9" s="55" t="s">
        <v>2814</v>
      </c>
      <c r="L9" s="54">
        <f t="shared" si="0"/>
        <v>15.45</v>
      </c>
      <c r="M9" s="54">
        <v>10.199999999999999</v>
      </c>
      <c r="N9" s="54">
        <v>10.050000000000001</v>
      </c>
      <c r="O9" t="s">
        <v>2815</v>
      </c>
      <c r="P9" s="54">
        <f t="shared" si="1"/>
        <v>20.25</v>
      </c>
      <c r="Q9" s="2">
        <v>0.16</v>
      </c>
    </row>
    <row r="10" spans="5:17" x14ac:dyDescent="0.2">
      <c r="E10" t="s">
        <v>2818</v>
      </c>
      <c r="F10">
        <v>1</v>
      </c>
      <c r="G10" t="s">
        <v>1220</v>
      </c>
      <c r="H10" t="s">
        <v>2819</v>
      </c>
      <c r="I10" s="54">
        <v>20</v>
      </c>
      <c r="J10" s="54">
        <v>0.85</v>
      </c>
      <c r="K10" s="55" t="s">
        <v>2814</v>
      </c>
      <c r="L10" s="54">
        <f t="shared" si="0"/>
        <v>20.85</v>
      </c>
      <c r="M10" s="54">
        <v>22</v>
      </c>
      <c r="N10" s="54">
        <v>1.38</v>
      </c>
      <c r="O10" t="s">
        <v>2815</v>
      </c>
      <c r="P10" s="54">
        <f t="shared" si="1"/>
        <v>23.38</v>
      </c>
      <c r="Q10" s="2">
        <v>2.1999999999999999E-2</v>
      </c>
    </row>
    <row r="11" spans="5:17" x14ac:dyDescent="0.2">
      <c r="E11" t="s">
        <v>2820</v>
      </c>
      <c r="F11">
        <v>1</v>
      </c>
      <c r="G11" t="s">
        <v>1220</v>
      </c>
      <c r="H11" t="s">
        <v>1217</v>
      </c>
      <c r="I11" s="54">
        <v>0.72</v>
      </c>
      <c r="J11" s="54">
        <v>0.89</v>
      </c>
      <c r="K11" s="55" t="s">
        <v>2814</v>
      </c>
      <c r="L11" s="54">
        <f t="shared" si="0"/>
        <v>1.6099999999999999</v>
      </c>
      <c r="M11" s="54">
        <v>0.79</v>
      </c>
      <c r="N11" s="54">
        <v>1.45</v>
      </c>
      <c r="O11" t="s">
        <v>2815</v>
      </c>
      <c r="P11" s="54">
        <f t="shared" si="1"/>
        <v>2.2400000000000002</v>
      </c>
      <c r="Q11" s="2">
        <v>2.3E-2</v>
      </c>
    </row>
    <row r="12" spans="5:17" x14ac:dyDescent="0.2">
      <c r="E12" t="s">
        <v>2821</v>
      </c>
      <c r="F12">
        <v>1</v>
      </c>
      <c r="G12" t="s">
        <v>1220</v>
      </c>
      <c r="H12" t="s">
        <v>2819</v>
      </c>
      <c r="I12" s="54">
        <v>13.95</v>
      </c>
      <c r="J12" s="54">
        <v>0.85</v>
      </c>
      <c r="K12" s="55" t="s">
        <v>2814</v>
      </c>
      <c r="L12" s="54">
        <f t="shared" si="0"/>
        <v>14.799999999999999</v>
      </c>
      <c r="M12" s="54">
        <v>15.35</v>
      </c>
      <c r="N12" s="54">
        <v>1.38</v>
      </c>
      <c r="O12" t="s">
        <v>2815</v>
      </c>
      <c r="P12" s="54">
        <f t="shared" si="1"/>
        <v>16.73</v>
      </c>
      <c r="Q12" s="2">
        <v>2.1999999999999999E-2</v>
      </c>
    </row>
    <row r="13" spans="5:17" x14ac:dyDescent="0.2">
      <c r="E13" t="s">
        <v>2822</v>
      </c>
      <c r="F13">
        <v>1</v>
      </c>
      <c r="G13" t="s">
        <v>1220</v>
      </c>
      <c r="H13" t="s">
        <v>1217</v>
      </c>
      <c r="I13" s="54">
        <v>7.05</v>
      </c>
      <c r="J13" s="54">
        <v>5.15</v>
      </c>
      <c r="K13" s="55" t="s">
        <v>2814</v>
      </c>
      <c r="L13" s="54">
        <f t="shared" si="0"/>
        <v>12.2</v>
      </c>
      <c r="M13" s="54">
        <v>7.75</v>
      </c>
      <c r="N13" s="54">
        <v>8.4</v>
      </c>
      <c r="O13" t="s">
        <v>2815</v>
      </c>
      <c r="P13" s="54">
        <f t="shared" si="1"/>
        <v>16.149999999999999</v>
      </c>
      <c r="Q13" s="2">
        <v>0.13300000000000001</v>
      </c>
    </row>
    <row r="14" spans="5:17" x14ac:dyDescent="0.2">
      <c r="E14" t="s">
        <v>2823</v>
      </c>
      <c r="F14">
        <v>1</v>
      </c>
      <c r="G14" t="s">
        <v>1170</v>
      </c>
      <c r="H14" t="s">
        <v>1217</v>
      </c>
      <c r="I14" s="54">
        <v>5.25</v>
      </c>
      <c r="J14" s="54">
        <v>1.21</v>
      </c>
      <c r="K14" s="55" t="s">
        <v>2814</v>
      </c>
      <c r="L14" s="54">
        <f t="shared" si="0"/>
        <v>6.46</v>
      </c>
      <c r="M14" s="54">
        <v>5.8</v>
      </c>
      <c r="N14" s="54">
        <v>1.97</v>
      </c>
      <c r="O14" t="s">
        <v>2815</v>
      </c>
      <c r="P14" s="54">
        <f t="shared" si="1"/>
        <v>7.77</v>
      </c>
      <c r="Q14" s="2">
        <v>3.1E-2</v>
      </c>
    </row>
    <row r="15" spans="5:17" x14ac:dyDescent="0.2">
      <c r="E15" t="s">
        <v>2824</v>
      </c>
      <c r="F15">
        <v>1</v>
      </c>
      <c r="G15" t="s">
        <v>1220</v>
      </c>
      <c r="H15" t="s">
        <v>2819</v>
      </c>
      <c r="I15" s="54">
        <v>18.45</v>
      </c>
      <c r="J15" s="54">
        <v>0.85</v>
      </c>
      <c r="K15" s="55" t="s">
        <v>2814</v>
      </c>
      <c r="L15" s="54">
        <f t="shared" si="0"/>
        <v>19.3</v>
      </c>
      <c r="M15" s="54">
        <v>20.5</v>
      </c>
      <c r="N15" s="54">
        <v>1.38</v>
      </c>
      <c r="O15" t="s">
        <v>2815</v>
      </c>
      <c r="P15" s="54">
        <f t="shared" si="1"/>
        <v>21.88</v>
      </c>
      <c r="Q15" s="2">
        <v>2.1999999999999999E-2</v>
      </c>
    </row>
    <row r="16" spans="5:17" x14ac:dyDescent="0.2">
      <c r="E16" t="s">
        <v>2825</v>
      </c>
      <c r="F16">
        <v>1</v>
      </c>
      <c r="G16" t="s">
        <v>1170</v>
      </c>
      <c r="H16" t="s">
        <v>1217</v>
      </c>
      <c r="I16" s="54">
        <v>4.71</v>
      </c>
      <c r="J16" s="54">
        <v>1.55</v>
      </c>
      <c r="K16" s="55" t="s">
        <v>2814</v>
      </c>
      <c r="L16" s="54">
        <f t="shared" si="0"/>
        <v>6.26</v>
      </c>
      <c r="M16" s="54">
        <v>5.2</v>
      </c>
      <c r="N16" s="54">
        <v>2.52</v>
      </c>
      <c r="O16" t="s">
        <v>2815</v>
      </c>
      <c r="P16" s="54">
        <f t="shared" si="1"/>
        <v>7.7200000000000006</v>
      </c>
      <c r="Q16" s="2">
        <v>0.04</v>
      </c>
    </row>
    <row r="17" spans="5:17" x14ac:dyDescent="0.2">
      <c r="E17" t="s">
        <v>2826</v>
      </c>
      <c r="F17">
        <v>1</v>
      </c>
      <c r="G17" t="s">
        <v>1170</v>
      </c>
      <c r="H17" t="s">
        <v>1217</v>
      </c>
      <c r="I17" s="54">
        <v>5.9</v>
      </c>
      <c r="J17" s="54">
        <v>1.72</v>
      </c>
      <c r="K17" s="55" t="s">
        <v>2814</v>
      </c>
      <c r="L17" s="54">
        <f t="shared" si="0"/>
        <v>7.62</v>
      </c>
      <c r="M17" s="54">
        <v>6.5</v>
      </c>
      <c r="N17" s="54">
        <v>2.8</v>
      </c>
      <c r="O17" t="s">
        <v>2815</v>
      </c>
      <c r="P17" s="54">
        <f t="shared" si="1"/>
        <v>9.3000000000000007</v>
      </c>
      <c r="Q17" s="2">
        <v>4.3999999999999997E-2</v>
      </c>
    </row>
    <row r="18" spans="5:17" x14ac:dyDescent="0.2">
      <c r="E18" t="s">
        <v>2827</v>
      </c>
      <c r="F18">
        <v>1</v>
      </c>
      <c r="G18" t="s">
        <v>1220</v>
      </c>
      <c r="H18" t="s">
        <v>2819</v>
      </c>
      <c r="I18" s="54">
        <v>10.8</v>
      </c>
      <c r="J18" s="54">
        <v>0.85</v>
      </c>
      <c r="K18" s="55" t="s">
        <v>2814</v>
      </c>
      <c r="L18" s="54">
        <f t="shared" si="0"/>
        <v>11.65</v>
      </c>
      <c r="M18" s="54">
        <v>11.9</v>
      </c>
      <c r="N18" s="54">
        <v>1.38</v>
      </c>
      <c r="O18" t="s">
        <v>2815</v>
      </c>
      <c r="P18" s="54">
        <f t="shared" si="1"/>
        <v>13.280000000000001</v>
      </c>
      <c r="Q18" s="2">
        <v>2.1999999999999999E-2</v>
      </c>
    </row>
    <row r="19" spans="5:17" x14ac:dyDescent="0.2">
      <c r="E19" t="s">
        <v>2828</v>
      </c>
      <c r="F19">
        <v>1</v>
      </c>
      <c r="G19" t="s">
        <v>1220</v>
      </c>
      <c r="H19" t="s">
        <v>2819</v>
      </c>
      <c r="I19" s="54">
        <v>17.149999999999999</v>
      </c>
      <c r="J19" s="54">
        <v>0.85</v>
      </c>
      <c r="K19" s="55" t="s">
        <v>2814</v>
      </c>
      <c r="L19" s="54">
        <f t="shared" si="0"/>
        <v>18</v>
      </c>
      <c r="M19" s="54">
        <v>18.850000000000001</v>
      </c>
      <c r="N19" s="54">
        <v>1.38</v>
      </c>
      <c r="O19" t="s">
        <v>2815</v>
      </c>
      <c r="P19" s="54">
        <f t="shared" si="1"/>
        <v>20.23</v>
      </c>
      <c r="Q19" s="2">
        <v>2.1999999999999999E-2</v>
      </c>
    </row>
    <row r="20" spans="5:17" x14ac:dyDescent="0.2">
      <c r="E20" t="s">
        <v>2829</v>
      </c>
      <c r="F20">
        <v>1</v>
      </c>
      <c r="G20" t="s">
        <v>1220</v>
      </c>
      <c r="I20" s="54">
        <v>0.39</v>
      </c>
      <c r="J20" t="s">
        <v>2815</v>
      </c>
      <c r="K20" s="55" t="s">
        <v>2814</v>
      </c>
      <c r="L20" s="54">
        <f t="shared" si="0"/>
        <v>0.39</v>
      </c>
      <c r="M20" s="54">
        <v>0.43</v>
      </c>
      <c r="N20" t="s">
        <v>2830</v>
      </c>
      <c r="O20" t="s">
        <v>2815</v>
      </c>
      <c r="P20" s="54">
        <f t="shared" si="1"/>
        <v>0.43</v>
      </c>
      <c r="Q20" s="2">
        <v>0</v>
      </c>
    </row>
    <row r="21" spans="5:17" x14ac:dyDescent="0.2">
      <c r="E21" t="s">
        <v>2831</v>
      </c>
      <c r="F21">
        <v>1</v>
      </c>
      <c r="G21" t="s">
        <v>1170</v>
      </c>
      <c r="H21" t="s">
        <v>1217</v>
      </c>
      <c r="I21" s="54">
        <v>5.0999999999999996</v>
      </c>
      <c r="J21" s="54">
        <v>1.55</v>
      </c>
      <c r="K21" s="55" t="s">
        <v>2814</v>
      </c>
      <c r="L21" s="54">
        <f t="shared" si="0"/>
        <v>6.6499999999999995</v>
      </c>
      <c r="M21" s="54">
        <v>5.6</v>
      </c>
      <c r="N21" s="54">
        <v>2.52</v>
      </c>
      <c r="O21" t="s">
        <v>2815</v>
      </c>
      <c r="P21" s="54">
        <f t="shared" si="1"/>
        <v>8.1199999999999992</v>
      </c>
      <c r="Q21" s="2">
        <v>0.04</v>
      </c>
    </row>
    <row r="22" spans="5:17" x14ac:dyDescent="0.2">
      <c r="E22" t="s">
        <v>2832</v>
      </c>
      <c r="F22">
        <v>1</v>
      </c>
      <c r="G22" t="s">
        <v>1170</v>
      </c>
      <c r="H22" t="s">
        <v>1217</v>
      </c>
      <c r="I22" s="54">
        <v>4.8499999999999996</v>
      </c>
      <c r="J22" s="54">
        <v>1.55</v>
      </c>
      <c r="K22" s="55" t="s">
        <v>2814</v>
      </c>
      <c r="L22" s="54">
        <f t="shared" si="0"/>
        <v>6.3999999999999995</v>
      </c>
      <c r="M22" s="54">
        <v>5.35</v>
      </c>
      <c r="N22" s="54">
        <v>2.52</v>
      </c>
      <c r="O22" t="s">
        <v>2815</v>
      </c>
      <c r="P22" s="54">
        <f t="shared" si="1"/>
        <v>7.8699999999999992</v>
      </c>
      <c r="Q22" s="2">
        <v>0.04</v>
      </c>
    </row>
    <row r="23" spans="5:17" x14ac:dyDescent="0.2">
      <c r="E23" t="s">
        <v>2833</v>
      </c>
      <c r="F23">
        <v>1</v>
      </c>
      <c r="G23" t="s">
        <v>1220</v>
      </c>
      <c r="H23" t="s">
        <v>1217</v>
      </c>
      <c r="I23" s="54">
        <v>11.45</v>
      </c>
      <c r="J23" s="54">
        <v>6.2</v>
      </c>
      <c r="K23" s="55" t="s">
        <v>2814</v>
      </c>
      <c r="L23" s="54">
        <f t="shared" si="0"/>
        <v>17.649999999999999</v>
      </c>
      <c r="M23" s="54">
        <v>12.6</v>
      </c>
      <c r="N23" s="54">
        <v>10.050000000000001</v>
      </c>
      <c r="O23" t="s">
        <v>2815</v>
      </c>
      <c r="P23" s="54">
        <f t="shared" si="1"/>
        <v>22.65</v>
      </c>
      <c r="Q23" s="2">
        <v>0.16</v>
      </c>
    </row>
    <row r="24" spans="5:17" x14ac:dyDescent="0.2">
      <c r="E24" t="s">
        <v>2834</v>
      </c>
      <c r="F24">
        <v>1</v>
      </c>
      <c r="G24" t="s">
        <v>1220</v>
      </c>
      <c r="H24" t="s">
        <v>1217</v>
      </c>
      <c r="I24" s="54">
        <v>7.05</v>
      </c>
      <c r="J24" s="54">
        <v>5.15</v>
      </c>
      <c r="K24" s="55" t="s">
        <v>2814</v>
      </c>
      <c r="L24" s="54">
        <f t="shared" si="0"/>
        <v>12.2</v>
      </c>
      <c r="M24" s="54">
        <v>7.75</v>
      </c>
      <c r="N24" s="54">
        <v>8.4</v>
      </c>
      <c r="O24" t="s">
        <v>2815</v>
      </c>
      <c r="P24" s="54">
        <f t="shared" si="1"/>
        <v>16.149999999999999</v>
      </c>
      <c r="Q24" s="2">
        <v>0.13300000000000001</v>
      </c>
    </row>
    <row r="25" spans="5:17" x14ac:dyDescent="0.2">
      <c r="E25" t="s">
        <v>2835</v>
      </c>
      <c r="F25">
        <v>1</v>
      </c>
      <c r="G25" t="s">
        <v>1220</v>
      </c>
      <c r="H25" t="s">
        <v>1217</v>
      </c>
      <c r="I25" s="54">
        <v>9.25</v>
      </c>
      <c r="J25" s="54">
        <v>6.2</v>
      </c>
      <c r="K25" s="55" t="s">
        <v>2814</v>
      </c>
      <c r="L25" s="54">
        <f t="shared" si="0"/>
        <v>15.45</v>
      </c>
      <c r="M25" s="54">
        <v>10.199999999999999</v>
      </c>
      <c r="N25" s="54">
        <v>10.050000000000001</v>
      </c>
      <c r="O25" t="s">
        <v>2815</v>
      </c>
      <c r="P25" s="54">
        <f t="shared" si="1"/>
        <v>20.25</v>
      </c>
      <c r="Q25" s="2">
        <v>0.16</v>
      </c>
    </row>
    <row r="26" spans="5:17" x14ac:dyDescent="0.2">
      <c r="E26" t="s">
        <v>2836</v>
      </c>
      <c r="F26">
        <v>1</v>
      </c>
      <c r="G26" t="s">
        <v>1170</v>
      </c>
      <c r="I26" s="54">
        <v>0.21</v>
      </c>
      <c r="J26" t="s">
        <v>2815</v>
      </c>
      <c r="K26" s="55" t="s">
        <v>2814</v>
      </c>
      <c r="L26" s="54">
        <f t="shared" si="0"/>
        <v>0.21</v>
      </c>
      <c r="M26" s="54">
        <v>0.23</v>
      </c>
      <c r="N26" t="s">
        <v>2830</v>
      </c>
      <c r="O26" t="s">
        <v>2815</v>
      </c>
      <c r="P26" s="54">
        <f t="shared" si="1"/>
        <v>0.23</v>
      </c>
      <c r="Q26" s="2">
        <v>0</v>
      </c>
    </row>
    <row r="27" spans="5:17" x14ac:dyDescent="0.2">
      <c r="E27" t="s">
        <v>2837</v>
      </c>
      <c r="F27">
        <v>1</v>
      </c>
      <c r="G27" t="s">
        <v>1220</v>
      </c>
      <c r="H27" t="s">
        <v>1217</v>
      </c>
      <c r="I27" s="54">
        <v>8.15</v>
      </c>
      <c r="J27" s="54">
        <v>5.6</v>
      </c>
      <c r="K27" s="55" t="s">
        <v>2814</v>
      </c>
      <c r="L27" s="54">
        <f t="shared" si="0"/>
        <v>13.75</v>
      </c>
      <c r="M27" s="54">
        <v>8.9499999999999993</v>
      </c>
      <c r="N27" s="54">
        <v>9.15</v>
      </c>
      <c r="O27" t="s">
        <v>2815</v>
      </c>
      <c r="P27" s="54">
        <f t="shared" si="1"/>
        <v>18.100000000000001</v>
      </c>
      <c r="Q27" s="2">
        <v>0.14499999999999999</v>
      </c>
    </row>
    <row r="28" spans="5:17" x14ac:dyDescent="0.2">
      <c r="E28" t="s">
        <v>2838</v>
      </c>
      <c r="F28">
        <v>1</v>
      </c>
      <c r="G28" t="s">
        <v>1220</v>
      </c>
      <c r="H28" t="s">
        <v>1217</v>
      </c>
      <c r="I28" s="54">
        <v>11.45</v>
      </c>
      <c r="J28" s="54">
        <v>6.2</v>
      </c>
      <c r="K28" s="55" t="s">
        <v>2814</v>
      </c>
      <c r="L28" s="54">
        <f t="shared" si="0"/>
        <v>17.649999999999999</v>
      </c>
      <c r="M28" s="54">
        <v>12.6</v>
      </c>
      <c r="N28" s="54">
        <v>10.050000000000001</v>
      </c>
      <c r="O28" t="s">
        <v>2815</v>
      </c>
      <c r="P28" s="54">
        <f t="shared" si="1"/>
        <v>22.65</v>
      </c>
      <c r="Q28" s="2">
        <v>0.16</v>
      </c>
    </row>
    <row r="29" spans="5:17" x14ac:dyDescent="0.2">
      <c r="E29" t="s">
        <v>2839</v>
      </c>
      <c r="F29">
        <v>1</v>
      </c>
      <c r="G29" t="s">
        <v>1220</v>
      </c>
      <c r="H29" t="s">
        <v>1217</v>
      </c>
      <c r="I29" s="54">
        <v>8.15</v>
      </c>
      <c r="J29" s="54">
        <v>5.6</v>
      </c>
      <c r="K29" s="55" t="s">
        <v>2814</v>
      </c>
      <c r="L29" s="54">
        <f t="shared" si="0"/>
        <v>13.75</v>
      </c>
      <c r="M29" s="54">
        <v>8.9499999999999993</v>
      </c>
      <c r="N29" s="54">
        <v>9.15</v>
      </c>
      <c r="O29" t="s">
        <v>2815</v>
      </c>
      <c r="P29" s="54">
        <f t="shared" si="1"/>
        <v>18.100000000000001</v>
      </c>
      <c r="Q29" s="2">
        <v>0.14499999999999999</v>
      </c>
    </row>
    <row r="30" spans="5:17" x14ac:dyDescent="0.2">
      <c r="E30" t="s">
        <v>2840</v>
      </c>
      <c r="F30">
        <v>1</v>
      </c>
      <c r="G30" t="s">
        <v>1220</v>
      </c>
      <c r="H30" t="s">
        <v>1217</v>
      </c>
      <c r="I30" s="54">
        <v>2.08</v>
      </c>
      <c r="J30" s="54">
        <v>0.88</v>
      </c>
      <c r="K30" s="55" t="s">
        <v>2814</v>
      </c>
      <c r="L30" s="54">
        <f t="shared" si="0"/>
        <v>2.96</v>
      </c>
      <c r="M30" s="54">
        <v>2.29</v>
      </c>
      <c r="N30" s="54">
        <v>1.44</v>
      </c>
      <c r="O30" t="s">
        <v>2815</v>
      </c>
      <c r="P30" s="54">
        <f t="shared" si="1"/>
        <v>3.73</v>
      </c>
      <c r="Q30" s="2">
        <v>2.3E-2</v>
      </c>
    </row>
    <row r="31" spans="5:17" x14ac:dyDescent="0.2">
      <c r="E31" t="s">
        <v>2841</v>
      </c>
      <c r="F31">
        <v>1</v>
      </c>
      <c r="G31" t="s">
        <v>1220</v>
      </c>
      <c r="H31" t="s">
        <v>1217</v>
      </c>
      <c r="I31" s="54">
        <v>2.63</v>
      </c>
      <c r="J31" s="54">
        <v>0.9</v>
      </c>
      <c r="K31" s="55" t="s">
        <v>2814</v>
      </c>
      <c r="L31" s="54">
        <f t="shared" si="0"/>
        <v>3.53</v>
      </c>
      <c r="M31" s="54">
        <v>2.89</v>
      </c>
      <c r="N31" s="54">
        <v>1.46</v>
      </c>
      <c r="O31" t="s">
        <v>2815</v>
      </c>
      <c r="P31" s="54">
        <f t="shared" si="1"/>
        <v>4.3499999999999996</v>
      </c>
      <c r="Q31" s="2">
        <v>2.3E-2</v>
      </c>
    </row>
    <row r="32" spans="5:17" x14ac:dyDescent="0.2">
      <c r="E32" t="s">
        <v>2842</v>
      </c>
      <c r="F32">
        <v>1</v>
      </c>
      <c r="G32" t="s">
        <v>1220</v>
      </c>
      <c r="H32" t="s">
        <v>1217</v>
      </c>
      <c r="I32" s="54">
        <v>2.78</v>
      </c>
      <c r="J32" s="54">
        <v>0.88</v>
      </c>
      <c r="K32" s="55" t="s">
        <v>2814</v>
      </c>
      <c r="L32" s="54">
        <f t="shared" si="0"/>
        <v>3.6599999999999997</v>
      </c>
      <c r="M32" s="54">
        <v>3.06</v>
      </c>
      <c r="N32" s="54">
        <v>1.44</v>
      </c>
      <c r="O32" t="s">
        <v>2815</v>
      </c>
      <c r="P32" s="54">
        <f t="shared" si="1"/>
        <v>4.5</v>
      </c>
      <c r="Q32" s="2">
        <v>2.3E-2</v>
      </c>
    </row>
    <row r="33" spans="5:17" x14ac:dyDescent="0.2">
      <c r="E33" t="s">
        <v>2843</v>
      </c>
      <c r="F33">
        <v>1</v>
      </c>
      <c r="G33" t="s">
        <v>1220</v>
      </c>
      <c r="H33" t="s">
        <v>1217</v>
      </c>
      <c r="I33" s="54">
        <v>0.81</v>
      </c>
      <c r="J33" s="54">
        <v>0.91</v>
      </c>
      <c r="K33" s="55" t="s">
        <v>2814</v>
      </c>
      <c r="L33" s="54">
        <f t="shared" si="0"/>
        <v>1.7200000000000002</v>
      </c>
      <c r="M33" s="54">
        <v>0.89</v>
      </c>
      <c r="N33" s="54">
        <v>1.48</v>
      </c>
      <c r="O33" t="s">
        <v>2815</v>
      </c>
      <c r="P33" s="54">
        <f t="shared" si="1"/>
        <v>2.37</v>
      </c>
      <c r="Q33" s="2">
        <v>2.4E-2</v>
      </c>
    </row>
    <row r="34" spans="5:17" x14ac:dyDescent="0.2">
      <c r="E34" t="s">
        <v>2844</v>
      </c>
      <c r="F34">
        <v>1</v>
      </c>
      <c r="G34" t="s">
        <v>1220</v>
      </c>
      <c r="H34" t="s">
        <v>1217</v>
      </c>
      <c r="I34" s="54">
        <v>1.31</v>
      </c>
      <c r="J34" s="54">
        <v>0.88</v>
      </c>
      <c r="K34" s="55" t="s">
        <v>2814</v>
      </c>
      <c r="L34" s="54">
        <f t="shared" si="0"/>
        <v>2.19</v>
      </c>
      <c r="M34" s="54">
        <v>1.44</v>
      </c>
      <c r="N34" s="54">
        <v>1.44</v>
      </c>
      <c r="O34" t="s">
        <v>2815</v>
      </c>
      <c r="P34" s="54">
        <f t="shared" si="1"/>
        <v>2.88</v>
      </c>
      <c r="Q34" s="2">
        <v>2.3E-2</v>
      </c>
    </row>
    <row r="35" spans="5:17" x14ac:dyDescent="0.2">
      <c r="E35" t="s">
        <v>2845</v>
      </c>
      <c r="F35">
        <v>1</v>
      </c>
      <c r="G35" t="s">
        <v>1170</v>
      </c>
      <c r="H35" t="s">
        <v>1217</v>
      </c>
      <c r="I35" s="54">
        <v>1.71</v>
      </c>
      <c r="J35" s="54">
        <v>1.49</v>
      </c>
      <c r="K35" s="55" t="s">
        <v>2814</v>
      </c>
      <c r="L35" s="54">
        <f t="shared" si="0"/>
        <v>3.2</v>
      </c>
      <c r="M35" s="54">
        <v>1.88</v>
      </c>
      <c r="N35" s="54">
        <v>2.4300000000000002</v>
      </c>
      <c r="O35" t="s">
        <v>2815</v>
      </c>
      <c r="P35" s="54">
        <f t="shared" si="1"/>
        <v>4.3100000000000005</v>
      </c>
      <c r="Q35" s="2">
        <v>3.9E-2</v>
      </c>
    </row>
    <row r="36" spans="5:17" x14ac:dyDescent="0.2">
      <c r="E36" t="s">
        <v>2846</v>
      </c>
      <c r="F36">
        <v>1</v>
      </c>
      <c r="G36" t="s">
        <v>1170</v>
      </c>
      <c r="H36" t="s">
        <v>1217</v>
      </c>
      <c r="I36" s="54">
        <v>1.71</v>
      </c>
      <c r="J36" s="54">
        <v>1.49</v>
      </c>
      <c r="K36" s="55" t="s">
        <v>2814</v>
      </c>
      <c r="L36" s="54">
        <f t="shared" si="0"/>
        <v>3.2</v>
      </c>
      <c r="M36" s="54">
        <v>1.88</v>
      </c>
      <c r="N36" s="54">
        <v>2.4300000000000002</v>
      </c>
      <c r="O36" t="s">
        <v>2815</v>
      </c>
      <c r="P36" s="54">
        <f t="shared" si="1"/>
        <v>4.3100000000000005</v>
      </c>
      <c r="Q36" s="2">
        <v>3.9E-2</v>
      </c>
    </row>
    <row r="37" spans="5:17" x14ac:dyDescent="0.2">
      <c r="E37" t="s">
        <v>2847</v>
      </c>
      <c r="F37">
        <v>1</v>
      </c>
      <c r="G37" t="s">
        <v>1170</v>
      </c>
      <c r="H37" t="s">
        <v>1217</v>
      </c>
      <c r="I37" s="54">
        <v>1.4</v>
      </c>
      <c r="J37" s="54">
        <v>1.46</v>
      </c>
      <c r="K37" s="55" t="s">
        <v>2814</v>
      </c>
      <c r="L37" s="54">
        <f t="shared" si="0"/>
        <v>2.86</v>
      </c>
      <c r="M37" s="54">
        <v>1.54</v>
      </c>
      <c r="N37" s="54">
        <v>2.37</v>
      </c>
      <c r="O37" t="s">
        <v>2815</v>
      </c>
      <c r="P37" s="54">
        <f t="shared" si="1"/>
        <v>3.91</v>
      </c>
      <c r="Q37" s="2">
        <v>3.7999999999999999E-2</v>
      </c>
    </row>
    <row r="38" spans="5:17" x14ac:dyDescent="0.2">
      <c r="E38" t="s">
        <v>2848</v>
      </c>
      <c r="F38">
        <v>1</v>
      </c>
      <c r="G38" t="s">
        <v>1170</v>
      </c>
      <c r="H38" t="s">
        <v>1217</v>
      </c>
      <c r="I38" s="54">
        <v>1.4</v>
      </c>
      <c r="J38" s="54">
        <v>1.46</v>
      </c>
      <c r="K38" s="55" t="s">
        <v>2814</v>
      </c>
      <c r="L38" s="54">
        <f t="shared" si="0"/>
        <v>2.86</v>
      </c>
      <c r="M38" s="54">
        <v>1.54</v>
      </c>
      <c r="N38" s="54">
        <v>2.37</v>
      </c>
      <c r="O38" t="s">
        <v>2815</v>
      </c>
      <c r="P38" s="54">
        <f t="shared" si="1"/>
        <v>3.91</v>
      </c>
      <c r="Q38" s="2">
        <v>3.7999999999999999E-2</v>
      </c>
    </row>
    <row r="39" spans="5:17" x14ac:dyDescent="0.2">
      <c r="E39" t="s">
        <v>2849</v>
      </c>
      <c r="F39">
        <v>1</v>
      </c>
      <c r="G39" t="s">
        <v>1170</v>
      </c>
      <c r="H39" t="s">
        <v>1217</v>
      </c>
      <c r="I39" s="54">
        <v>1.3</v>
      </c>
      <c r="J39" s="54">
        <v>1.46</v>
      </c>
      <c r="K39" s="55" t="s">
        <v>2814</v>
      </c>
      <c r="L39" s="54">
        <f t="shared" ref="L39:L70" si="2">SUM(I39,J39,K39)</f>
        <v>2.76</v>
      </c>
      <c r="M39" s="54">
        <v>1.43</v>
      </c>
      <c r="N39" s="54">
        <v>2.37</v>
      </c>
      <c r="O39" t="s">
        <v>2815</v>
      </c>
      <c r="P39" s="54">
        <f t="shared" ref="P39:P70" si="3">SUM(M39,N39,O39)</f>
        <v>3.8</v>
      </c>
      <c r="Q39" s="2">
        <v>3.7999999999999999E-2</v>
      </c>
    </row>
    <row r="40" spans="5:17" x14ac:dyDescent="0.2">
      <c r="E40" t="s">
        <v>2850</v>
      </c>
      <c r="F40">
        <v>1</v>
      </c>
      <c r="G40" t="s">
        <v>1170</v>
      </c>
      <c r="H40" t="s">
        <v>1217</v>
      </c>
      <c r="I40" s="54">
        <v>1.3</v>
      </c>
      <c r="J40" s="54">
        <v>1.46</v>
      </c>
      <c r="K40" s="55" t="s">
        <v>2814</v>
      </c>
      <c r="L40" s="54">
        <f t="shared" si="2"/>
        <v>2.76</v>
      </c>
      <c r="M40" s="54">
        <v>1.43</v>
      </c>
      <c r="N40" s="54">
        <v>2.37</v>
      </c>
      <c r="O40" t="s">
        <v>2815</v>
      </c>
      <c r="P40" s="54">
        <f t="shared" si="3"/>
        <v>3.8</v>
      </c>
      <c r="Q40" s="2">
        <v>3.7999999999999999E-2</v>
      </c>
    </row>
    <row r="41" spans="5:17" x14ac:dyDescent="0.2">
      <c r="E41" t="s">
        <v>2851</v>
      </c>
      <c r="F41">
        <v>1</v>
      </c>
      <c r="G41" t="s">
        <v>1170</v>
      </c>
      <c r="H41" t="s">
        <v>1217</v>
      </c>
      <c r="I41" s="54">
        <v>1.85</v>
      </c>
      <c r="J41" s="54">
        <v>1.41</v>
      </c>
      <c r="K41" s="55" t="s">
        <v>2814</v>
      </c>
      <c r="L41" s="54">
        <f t="shared" si="2"/>
        <v>3.26</v>
      </c>
      <c r="M41" s="54">
        <v>2.0299999999999998</v>
      </c>
      <c r="N41" s="54">
        <v>2.29</v>
      </c>
      <c r="O41" t="s">
        <v>2815</v>
      </c>
      <c r="P41" s="54">
        <f t="shared" si="3"/>
        <v>4.32</v>
      </c>
      <c r="Q41" s="2">
        <v>3.5999999999999997E-2</v>
      </c>
    </row>
    <row r="42" spans="5:17" x14ac:dyDescent="0.2">
      <c r="E42" t="s">
        <v>2852</v>
      </c>
      <c r="F42">
        <v>1</v>
      </c>
      <c r="G42" t="s">
        <v>1170</v>
      </c>
      <c r="H42" t="s">
        <v>1217</v>
      </c>
      <c r="I42" s="54">
        <v>1.85</v>
      </c>
      <c r="J42" s="54">
        <v>1.41</v>
      </c>
      <c r="K42" s="55" t="s">
        <v>2814</v>
      </c>
      <c r="L42" s="54">
        <f t="shared" si="2"/>
        <v>3.26</v>
      </c>
      <c r="M42" s="54">
        <v>2.0299999999999998</v>
      </c>
      <c r="N42" s="54">
        <v>2.29</v>
      </c>
      <c r="O42" t="s">
        <v>2815</v>
      </c>
      <c r="P42" s="54">
        <f t="shared" si="3"/>
        <v>4.32</v>
      </c>
      <c r="Q42" s="2">
        <v>3.5999999999999997E-2</v>
      </c>
    </row>
    <row r="43" spans="5:17" x14ac:dyDescent="0.2">
      <c r="E43" t="s">
        <v>2853</v>
      </c>
      <c r="F43">
        <v>1</v>
      </c>
      <c r="G43" t="s">
        <v>1170</v>
      </c>
      <c r="H43" t="s">
        <v>1217</v>
      </c>
      <c r="I43" s="54">
        <v>1.63</v>
      </c>
      <c r="J43" s="54">
        <v>1.36</v>
      </c>
      <c r="K43" s="55" t="s">
        <v>2814</v>
      </c>
      <c r="L43" s="54">
        <f t="shared" si="2"/>
        <v>2.99</v>
      </c>
      <c r="M43" s="54">
        <v>1.79</v>
      </c>
      <c r="N43" s="54">
        <v>2.21</v>
      </c>
      <c r="O43" t="s">
        <v>2815</v>
      </c>
      <c r="P43" s="54">
        <f t="shared" si="3"/>
        <v>4</v>
      </c>
      <c r="Q43" s="2">
        <v>3.5000000000000003E-2</v>
      </c>
    </row>
    <row r="44" spans="5:17" x14ac:dyDescent="0.2">
      <c r="E44" t="s">
        <v>2854</v>
      </c>
      <c r="F44">
        <v>1</v>
      </c>
      <c r="G44" t="s">
        <v>1170</v>
      </c>
      <c r="H44" t="s">
        <v>1217</v>
      </c>
      <c r="I44" s="54">
        <v>1.63</v>
      </c>
      <c r="J44" s="54">
        <v>1.36</v>
      </c>
      <c r="K44" s="55" t="s">
        <v>2814</v>
      </c>
      <c r="L44" s="54">
        <f t="shared" si="2"/>
        <v>2.99</v>
      </c>
      <c r="M44" s="54">
        <v>1.79</v>
      </c>
      <c r="N44" s="54">
        <v>2.21</v>
      </c>
      <c r="O44" t="s">
        <v>2815</v>
      </c>
      <c r="P44" s="54">
        <f t="shared" si="3"/>
        <v>4</v>
      </c>
      <c r="Q44" s="2">
        <v>3.5000000000000003E-2</v>
      </c>
    </row>
    <row r="45" spans="5:17" x14ac:dyDescent="0.2">
      <c r="E45" t="s">
        <v>2855</v>
      </c>
      <c r="F45">
        <v>1</v>
      </c>
      <c r="G45" t="s">
        <v>1170</v>
      </c>
      <c r="H45" t="s">
        <v>1217</v>
      </c>
      <c r="I45" s="54">
        <v>1.1100000000000001</v>
      </c>
      <c r="J45" s="54">
        <v>0.82</v>
      </c>
      <c r="K45" s="55" t="s">
        <v>2814</v>
      </c>
      <c r="L45" s="54">
        <f t="shared" si="2"/>
        <v>1.9300000000000002</v>
      </c>
      <c r="M45" s="54">
        <v>1.22</v>
      </c>
      <c r="N45" s="54">
        <v>1.34</v>
      </c>
      <c r="O45" t="s">
        <v>2815</v>
      </c>
      <c r="P45" s="54">
        <f t="shared" si="3"/>
        <v>2.56</v>
      </c>
      <c r="Q45" s="2">
        <v>2.1000000000000001E-2</v>
      </c>
    </row>
    <row r="46" spans="5:17" x14ac:dyDescent="0.2">
      <c r="E46" t="s">
        <v>2856</v>
      </c>
      <c r="F46">
        <v>1</v>
      </c>
      <c r="G46" t="s">
        <v>1170</v>
      </c>
      <c r="H46" t="s">
        <v>1217</v>
      </c>
      <c r="I46" s="54">
        <v>1.1100000000000001</v>
      </c>
      <c r="J46" s="54">
        <v>0.82</v>
      </c>
      <c r="K46" s="55" t="s">
        <v>2814</v>
      </c>
      <c r="L46" s="54">
        <f t="shared" si="2"/>
        <v>1.9300000000000002</v>
      </c>
      <c r="M46" s="54">
        <v>1.22</v>
      </c>
      <c r="N46" s="54">
        <v>1.34</v>
      </c>
      <c r="O46" t="s">
        <v>2815</v>
      </c>
      <c r="P46" s="54">
        <f t="shared" si="3"/>
        <v>2.56</v>
      </c>
      <c r="Q46" s="2">
        <v>2.1000000000000001E-2</v>
      </c>
    </row>
    <row r="47" spans="5:17" x14ac:dyDescent="0.2">
      <c r="E47" t="s">
        <v>2857</v>
      </c>
      <c r="F47">
        <v>1</v>
      </c>
      <c r="G47" t="s">
        <v>1170</v>
      </c>
      <c r="H47" t="s">
        <v>1217</v>
      </c>
      <c r="I47" s="54">
        <v>1.1100000000000001</v>
      </c>
      <c r="J47" s="54">
        <v>0.82</v>
      </c>
      <c r="K47" s="55" t="s">
        <v>2814</v>
      </c>
      <c r="L47" s="54">
        <f t="shared" si="2"/>
        <v>1.9300000000000002</v>
      </c>
      <c r="M47" s="54">
        <v>1.22</v>
      </c>
      <c r="N47" s="54">
        <v>1.34</v>
      </c>
      <c r="O47" t="s">
        <v>2815</v>
      </c>
      <c r="P47" s="54">
        <f t="shared" si="3"/>
        <v>2.56</v>
      </c>
      <c r="Q47" s="2">
        <v>2.1000000000000001E-2</v>
      </c>
    </row>
    <row r="48" spans="5:17" x14ac:dyDescent="0.2">
      <c r="E48" t="s">
        <v>2858</v>
      </c>
      <c r="F48">
        <v>1</v>
      </c>
      <c r="G48" t="s">
        <v>1170</v>
      </c>
      <c r="H48" t="s">
        <v>1217</v>
      </c>
      <c r="I48" s="54">
        <v>2.4</v>
      </c>
      <c r="J48" s="54">
        <v>0.88</v>
      </c>
      <c r="K48" s="55" t="s">
        <v>2814</v>
      </c>
      <c r="L48" s="54">
        <f t="shared" si="2"/>
        <v>3.28</v>
      </c>
      <c r="M48" s="54">
        <v>2.64</v>
      </c>
      <c r="N48" s="54">
        <v>1.44</v>
      </c>
      <c r="O48" t="s">
        <v>2815</v>
      </c>
      <c r="P48" s="54">
        <f t="shared" si="3"/>
        <v>4.08</v>
      </c>
      <c r="Q48" s="2">
        <v>2.3E-2</v>
      </c>
    </row>
    <row r="49" spans="5:17" x14ac:dyDescent="0.2">
      <c r="E49" t="s">
        <v>2859</v>
      </c>
      <c r="F49">
        <v>1</v>
      </c>
      <c r="G49" t="s">
        <v>1220</v>
      </c>
      <c r="H49" t="s">
        <v>1217</v>
      </c>
      <c r="I49" s="54">
        <v>0.44</v>
      </c>
      <c r="J49" s="54">
        <v>1.55</v>
      </c>
      <c r="K49" s="55" t="s">
        <v>2814</v>
      </c>
      <c r="L49" s="54">
        <f t="shared" si="2"/>
        <v>1.99</v>
      </c>
      <c r="M49" s="54">
        <v>0.48</v>
      </c>
      <c r="N49" s="54">
        <v>2.52</v>
      </c>
      <c r="O49" t="s">
        <v>2815</v>
      </c>
      <c r="P49" s="54">
        <f t="shared" si="3"/>
        <v>3</v>
      </c>
      <c r="Q49" s="2">
        <v>0.04</v>
      </c>
    </row>
    <row r="50" spans="5:17" x14ac:dyDescent="0.2">
      <c r="E50" t="s">
        <v>2860</v>
      </c>
      <c r="F50">
        <v>1</v>
      </c>
      <c r="G50" t="s">
        <v>1220</v>
      </c>
      <c r="H50" t="s">
        <v>1217</v>
      </c>
      <c r="I50" s="54">
        <v>1.1299999999999999</v>
      </c>
      <c r="J50" s="54">
        <v>2.25</v>
      </c>
      <c r="K50" s="55" t="s">
        <v>2814</v>
      </c>
      <c r="L50" s="54">
        <f t="shared" si="2"/>
        <v>3.38</v>
      </c>
      <c r="M50" s="54">
        <v>1.24</v>
      </c>
      <c r="N50" s="54">
        <v>3.66</v>
      </c>
      <c r="O50" t="s">
        <v>2815</v>
      </c>
      <c r="P50" s="54">
        <f t="shared" si="3"/>
        <v>4.9000000000000004</v>
      </c>
      <c r="Q50" s="2">
        <v>5.8000000000000003E-2</v>
      </c>
    </row>
    <row r="51" spans="5:17" x14ac:dyDescent="0.2">
      <c r="E51" t="s">
        <v>2861</v>
      </c>
      <c r="F51">
        <v>1</v>
      </c>
      <c r="G51" t="s">
        <v>1220</v>
      </c>
      <c r="H51" t="s">
        <v>1217</v>
      </c>
      <c r="I51" s="54">
        <v>2.2400000000000002</v>
      </c>
      <c r="J51" s="54">
        <v>2.4700000000000002</v>
      </c>
      <c r="K51" s="55" t="s">
        <v>2814</v>
      </c>
      <c r="L51" s="54">
        <f t="shared" si="2"/>
        <v>4.7100000000000009</v>
      </c>
      <c r="M51" s="54">
        <v>2.46</v>
      </c>
      <c r="N51" s="54">
        <v>4.03</v>
      </c>
      <c r="O51" t="s">
        <v>2815</v>
      </c>
      <c r="P51" s="54">
        <f t="shared" si="3"/>
        <v>6.49</v>
      </c>
      <c r="Q51" s="2">
        <v>6.4000000000000001E-2</v>
      </c>
    </row>
    <row r="52" spans="5:17" x14ac:dyDescent="0.2">
      <c r="E52" t="s">
        <v>2862</v>
      </c>
      <c r="F52">
        <v>1</v>
      </c>
      <c r="G52" t="s">
        <v>1220</v>
      </c>
      <c r="H52" t="s">
        <v>1217</v>
      </c>
      <c r="I52" s="54">
        <v>2.41</v>
      </c>
      <c r="J52" s="54">
        <v>2.75</v>
      </c>
      <c r="K52" s="55" t="s">
        <v>2814</v>
      </c>
      <c r="L52" s="54">
        <f t="shared" si="2"/>
        <v>5.16</v>
      </c>
      <c r="M52" s="54">
        <v>2.65</v>
      </c>
      <c r="N52" s="54">
        <v>4.4800000000000004</v>
      </c>
      <c r="O52" t="s">
        <v>2815</v>
      </c>
      <c r="P52" s="54">
        <f t="shared" si="3"/>
        <v>7.1300000000000008</v>
      </c>
      <c r="Q52" s="2">
        <v>7.0999999999999994E-2</v>
      </c>
    </row>
    <row r="53" spans="5:17" x14ac:dyDescent="0.2">
      <c r="E53" t="s">
        <v>2863</v>
      </c>
      <c r="F53">
        <v>1</v>
      </c>
      <c r="G53" t="s">
        <v>1220</v>
      </c>
      <c r="H53" t="s">
        <v>1217</v>
      </c>
      <c r="I53" s="54">
        <v>2.89</v>
      </c>
      <c r="J53" s="54">
        <v>2.94</v>
      </c>
      <c r="K53" s="55" t="s">
        <v>2814</v>
      </c>
      <c r="L53" s="54">
        <f t="shared" si="2"/>
        <v>5.83</v>
      </c>
      <c r="M53" s="54">
        <v>3.18</v>
      </c>
      <c r="N53" s="54">
        <v>4.8</v>
      </c>
      <c r="O53" t="s">
        <v>2815</v>
      </c>
      <c r="P53" s="54">
        <f t="shared" si="3"/>
        <v>7.98</v>
      </c>
      <c r="Q53" s="2">
        <v>7.5999999999999998E-2</v>
      </c>
    </row>
    <row r="54" spans="5:17" x14ac:dyDescent="0.2">
      <c r="E54" t="s">
        <v>2864</v>
      </c>
      <c r="F54">
        <v>1</v>
      </c>
      <c r="G54" t="s">
        <v>1170</v>
      </c>
      <c r="H54" t="s">
        <v>2819</v>
      </c>
      <c r="I54" s="54">
        <v>1.87</v>
      </c>
      <c r="J54" s="54">
        <v>1.47</v>
      </c>
      <c r="K54" s="55" t="s">
        <v>2814</v>
      </c>
      <c r="L54" s="54">
        <f t="shared" si="2"/>
        <v>3.34</v>
      </c>
      <c r="M54" s="54">
        <v>2.06</v>
      </c>
      <c r="N54" s="54">
        <v>2.4</v>
      </c>
      <c r="O54" t="s">
        <v>2815</v>
      </c>
      <c r="P54" s="54">
        <f t="shared" si="3"/>
        <v>4.46</v>
      </c>
      <c r="Q54" s="2">
        <v>3.7999999999999999E-2</v>
      </c>
    </row>
    <row r="55" spans="5:17" x14ac:dyDescent="0.2">
      <c r="E55" t="s">
        <v>2865</v>
      </c>
      <c r="F55">
        <v>1</v>
      </c>
      <c r="G55" t="s">
        <v>1170</v>
      </c>
      <c r="H55" t="s">
        <v>2819</v>
      </c>
      <c r="I55" s="54">
        <v>5.45</v>
      </c>
      <c r="J55" s="54">
        <v>2.94</v>
      </c>
      <c r="K55" s="55" t="s">
        <v>2814</v>
      </c>
      <c r="L55" s="54">
        <f t="shared" si="2"/>
        <v>8.39</v>
      </c>
      <c r="M55" s="54">
        <v>6</v>
      </c>
      <c r="N55" s="54">
        <v>4.8</v>
      </c>
      <c r="O55" t="s">
        <v>2815</v>
      </c>
      <c r="P55" s="54">
        <f t="shared" si="3"/>
        <v>10.8</v>
      </c>
      <c r="Q55" s="2">
        <v>7.5999999999999998E-2</v>
      </c>
    </row>
    <row r="56" spans="5:17" x14ac:dyDescent="0.2">
      <c r="E56" t="s">
        <v>2866</v>
      </c>
      <c r="F56">
        <v>1</v>
      </c>
      <c r="G56" t="s">
        <v>1170</v>
      </c>
      <c r="H56" t="s">
        <v>2819</v>
      </c>
      <c r="I56" s="54">
        <v>1.71</v>
      </c>
      <c r="J56" s="54">
        <v>1.34</v>
      </c>
      <c r="K56" s="55" t="s">
        <v>2814</v>
      </c>
      <c r="L56" s="54">
        <f t="shared" si="2"/>
        <v>3.05</v>
      </c>
      <c r="M56" s="54">
        <v>1.88</v>
      </c>
      <c r="N56" s="54">
        <v>2.19</v>
      </c>
      <c r="O56" t="s">
        <v>2815</v>
      </c>
      <c r="P56" s="54">
        <f t="shared" si="3"/>
        <v>4.07</v>
      </c>
      <c r="Q56" s="2">
        <v>3.5000000000000003E-2</v>
      </c>
    </row>
    <row r="57" spans="5:17" x14ac:dyDescent="0.2">
      <c r="E57" t="s">
        <v>2867</v>
      </c>
      <c r="F57">
        <v>1</v>
      </c>
      <c r="G57" t="s">
        <v>1170</v>
      </c>
      <c r="H57" t="s">
        <v>2819</v>
      </c>
      <c r="I57" s="54">
        <v>1.91</v>
      </c>
      <c r="J57" s="54">
        <v>1.34</v>
      </c>
      <c r="K57" s="55" t="s">
        <v>2814</v>
      </c>
      <c r="L57" s="54">
        <f t="shared" si="2"/>
        <v>3.25</v>
      </c>
      <c r="M57" s="54">
        <v>2.1</v>
      </c>
      <c r="N57" s="54">
        <v>2.19</v>
      </c>
      <c r="O57" t="s">
        <v>2815</v>
      </c>
      <c r="P57" s="54">
        <f t="shared" si="3"/>
        <v>4.29</v>
      </c>
      <c r="Q57" s="2">
        <v>3.5000000000000003E-2</v>
      </c>
    </row>
    <row r="58" spans="5:17" x14ac:dyDescent="0.2">
      <c r="E58" t="s">
        <v>2868</v>
      </c>
      <c r="F58">
        <v>1</v>
      </c>
      <c r="G58" t="s">
        <v>1170</v>
      </c>
      <c r="I58" s="54">
        <v>0.12</v>
      </c>
      <c r="J58" t="s">
        <v>2815</v>
      </c>
      <c r="K58" s="55" t="s">
        <v>2814</v>
      </c>
      <c r="L58" s="54">
        <f t="shared" si="2"/>
        <v>0.12</v>
      </c>
      <c r="M58" s="54">
        <v>0.13</v>
      </c>
      <c r="N58" t="s">
        <v>2830</v>
      </c>
      <c r="O58" t="s">
        <v>2815</v>
      </c>
      <c r="P58" s="54">
        <f t="shared" si="3"/>
        <v>0.13</v>
      </c>
      <c r="Q58" s="2">
        <v>0</v>
      </c>
    </row>
    <row r="59" spans="5:17" x14ac:dyDescent="0.2">
      <c r="E59" t="s">
        <v>2869</v>
      </c>
      <c r="F59">
        <v>1</v>
      </c>
      <c r="G59" t="s">
        <v>1170</v>
      </c>
      <c r="H59" t="s">
        <v>2819</v>
      </c>
      <c r="I59" s="54">
        <v>10.55</v>
      </c>
      <c r="J59" s="54">
        <v>0.82</v>
      </c>
      <c r="K59" s="55" t="s">
        <v>2814</v>
      </c>
      <c r="L59" s="54">
        <f t="shared" si="2"/>
        <v>11.370000000000001</v>
      </c>
      <c r="M59" s="54">
        <v>11.6</v>
      </c>
      <c r="N59" s="54">
        <v>1.34</v>
      </c>
      <c r="O59" t="s">
        <v>2815</v>
      </c>
      <c r="P59" s="54">
        <f t="shared" si="3"/>
        <v>12.94</v>
      </c>
      <c r="Q59" s="2">
        <v>2.1000000000000001E-2</v>
      </c>
    </row>
    <row r="60" spans="5:17" x14ac:dyDescent="0.2">
      <c r="E60" t="s">
        <v>2870</v>
      </c>
      <c r="F60">
        <v>1</v>
      </c>
      <c r="G60" t="s">
        <v>1170</v>
      </c>
      <c r="H60" t="s">
        <v>2819</v>
      </c>
      <c r="I60" s="54">
        <v>7.15</v>
      </c>
      <c r="J60" s="54">
        <v>0.82</v>
      </c>
      <c r="K60" s="55" t="s">
        <v>2814</v>
      </c>
      <c r="L60" s="54">
        <f t="shared" si="2"/>
        <v>7.9700000000000006</v>
      </c>
      <c r="M60" s="54">
        <v>7.85</v>
      </c>
      <c r="N60" s="54">
        <v>1.34</v>
      </c>
      <c r="O60" t="s">
        <v>2815</v>
      </c>
      <c r="P60" s="54">
        <f t="shared" si="3"/>
        <v>9.19</v>
      </c>
      <c r="Q60" s="2">
        <v>2.1000000000000001E-2</v>
      </c>
    </row>
    <row r="61" spans="5:17" x14ac:dyDescent="0.2">
      <c r="E61" t="s">
        <v>2871</v>
      </c>
      <c r="F61">
        <v>1</v>
      </c>
      <c r="G61" t="s">
        <v>1170</v>
      </c>
      <c r="H61" t="s">
        <v>2819</v>
      </c>
      <c r="I61" s="54">
        <v>3.99</v>
      </c>
      <c r="J61" s="54">
        <v>0.82</v>
      </c>
      <c r="K61" s="55" t="s">
        <v>2814</v>
      </c>
      <c r="L61" s="54">
        <f t="shared" si="2"/>
        <v>4.8100000000000005</v>
      </c>
      <c r="M61" s="54">
        <v>4.3899999999999997</v>
      </c>
      <c r="N61" s="54">
        <v>1.34</v>
      </c>
      <c r="O61" t="s">
        <v>2815</v>
      </c>
      <c r="P61" s="54">
        <f t="shared" si="3"/>
        <v>5.7299999999999995</v>
      </c>
      <c r="Q61" s="2">
        <v>2.1000000000000001E-2</v>
      </c>
    </row>
    <row r="62" spans="5:17" x14ac:dyDescent="0.2">
      <c r="E62" t="s">
        <v>2872</v>
      </c>
      <c r="F62">
        <v>1</v>
      </c>
      <c r="G62" t="s">
        <v>1170</v>
      </c>
      <c r="H62" t="s">
        <v>2819</v>
      </c>
      <c r="I62" s="54">
        <v>3.99</v>
      </c>
      <c r="J62" s="54">
        <v>0.74</v>
      </c>
      <c r="K62" s="55" t="s">
        <v>2814</v>
      </c>
      <c r="L62" s="54">
        <f t="shared" si="2"/>
        <v>4.7300000000000004</v>
      </c>
      <c r="M62" s="54">
        <v>4.3899999999999997</v>
      </c>
      <c r="N62" s="54">
        <v>1.2</v>
      </c>
      <c r="O62" t="s">
        <v>2815</v>
      </c>
      <c r="P62" s="54">
        <f t="shared" si="3"/>
        <v>5.59</v>
      </c>
      <c r="Q62" s="2">
        <v>1.9E-2</v>
      </c>
    </row>
    <row r="63" spans="5:17" x14ac:dyDescent="0.2">
      <c r="E63" t="s">
        <v>2873</v>
      </c>
      <c r="F63">
        <v>1</v>
      </c>
      <c r="G63" t="s">
        <v>1170</v>
      </c>
      <c r="H63" t="s">
        <v>2819</v>
      </c>
      <c r="I63" s="54">
        <v>5.4</v>
      </c>
      <c r="J63" s="54">
        <v>1.05</v>
      </c>
      <c r="K63" s="55" t="s">
        <v>2814</v>
      </c>
      <c r="L63" s="54">
        <f t="shared" si="2"/>
        <v>6.45</v>
      </c>
      <c r="M63" s="54">
        <v>5.95</v>
      </c>
      <c r="N63" s="54">
        <v>1.71</v>
      </c>
      <c r="O63" t="s">
        <v>2815</v>
      </c>
      <c r="P63" s="54">
        <f t="shared" si="3"/>
        <v>7.66</v>
      </c>
      <c r="Q63" s="2">
        <v>2.7E-2</v>
      </c>
    </row>
    <row r="64" spans="5:17" x14ac:dyDescent="0.2">
      <c r="E64" t="s">
        <v>2874</v>
      </c>
      <c r="F64">
        <v>1</v>
      </c>
      <c r="G64" t="s">
        <v>1170</v>
      </c>
      <c r="H64" t="s">
        <v>2819</v>
      </c>
      <c r="I64" s="54">
        <v>9.1999999999999993</v>
      </c>
      <c r="J64" s="54">
        <v>0.94</v>
      </c>
      <c r="K64" s="55" t="s">
        <v>2814</v>
      </c>
      <c r="L64" s="54">
        <f t="shared" si="2"/>
        <v>10.139999999999999</v>
      </c>
      <c r="M64" s="54">
        <v>10.15</v>
      </c>
      <c r="N64" s="54">
        <v>1.53</v>
      </c>
      <c r="O64" t="s">
        <v>2815</v>
      </c>
      <c r="P64" s="54">
        <f t="shared" si="3"/>
        <v>11.68</v>
      </c>
      <c r="Q64" s="2">
        <v>2.4E-2</v>
      </c>
    </row>
    <row r="65" spans="5:17" x14ac:dyDescent="0.2">
      <c r="E65" t="s">
        <v>2875</v>
      </c>
      <c r="F65">
        <v>1</v>
      </c>
      <c r="G65" t="s">
        <v>1170</v>
      </c>
      <c r="H65" t="s">
        <v>2819</v>
      </c>
      <c r="I65" s="54">
        <v>8.9499999999999993</v>
      </c>
      <c r="J65" s="54">
        <v>0.82</v>
      </c>
      <c r="K65" s="55" t="s">
        <v>2814</v>
      </c>
      <c r="L65" s="54">
        <f t="shared" si="2"/>
        <v>9.77</v>
      </c>
      <c r="M65" s="54">
        <v>9.85</v>
      </c>
      <c r="N65" s="54">
        <v>1.34</v>
      </c>
      <c r="O65" t="s">
        <v>2815</v>
      </c>
      <c r="P65" s="54">
        <f t="shared" si="3"/>
        <v>11.19</v>
      </c>
      <c r="Q65" s="2">
        <v>2.1000000000000001E-2</v>
      </c>
    </row>
    <row r="66" spans="5:17" x14ac:dyDescent="0.2">
      <c r="E66" t="s">
        <v>2876</v>
      </c>
      <c r="F66">
        <v>1</v>
      </c>
      <c r="G66" t="s">
        <v>1170</v>
      </c>
      <c r="H66" t="s">
        <v>2819</v>
      </c>
      <c r="I66" s="54">
        <v>10.75</v>
      </c>
      <c r="J66" s="54">
        <v>1.41</v>
      </c>
      <c r="K66" s="55" t="s">
        <v>2814</v>
      </c>
      <c r="L66" s="54">
        <f t="shared" si="2"/>
        <v>12.16</v>
      </c>
      <c r="M66" s="54">
        <v>11.85</v>
      </c>
      <c r="N66" s="54">
        <v>2.29</v>
      </c>
      <c r="O66" t="s">
        <v>2815</v>
      </c>
      <c r="P66" s="54">
        <f t="shared" si="3"/>
        <v>14.14</v>
      </c>
      <c r="Q66" s="2">
        <v>3.5999999999999997E-2</v>
      </c>
    </row>
    <row r="67" spans="5:17" x14ac:dyDescent="0.2">
      <c r="E67" t="s">
        <v>2877</v>
      </c>
      <c r="F67">
        <v>1</v>
      </c>
      <c r="G67" t="s">
        <v>1170</v>
      </c>
      <c r="H67" t="s">
        <v>2819</v>
      </c>
      <c r="I67" s="54">
        <v>5.35</v>
      </c>
      <c r="J67" s="54">
        <v>0.82</v>
      </c>
      <c r="K67" s="55" t="s">
        <v>2814</v>
      </c>
      <c r="L67" s="54">
        <f t="shared" si="2"/>
        <v>6.17</v>
      </c>
      <c r="M67" s="54">
        <v>5.9</v>
      </c>
      <c r="N67" s="54">
        <v>1.34</v>
      </c>
      <c r="O67" t="s">
        <v>2815</v>
      </c>
      <c r="P67" s="54">
        <f t="shared" si="3"/>
        <v>7.24</v>
      </c>
      <c r="Q67" s="2">
        <v>2.1000000000000001E-2</v>
      </c>
    </row>
    <row r="68" spans="5:17" x14ac:dyDescent="0.2">
      <c r="E68" t="s">
        <v>2878</v>
      </c>
      <c r="F68">
        <v>1</v>
      </c>
      <c r="G68" t="s">
        <v>1170</v>
      </c>
      <c r="H68" t="s">
        <v>2819</v>
      </c>
      <c r="I68" s="54">
        <v>10.7</v>
      </c>
      <c r="J68" s="54">
        <v>1.41</v>
      </c>
      <c r="K68" s="55" t="s">
        <v>2814</v>
      </c>
      <c r="L68" s="54">
        <f t="shared" si="2"/>
        <v>12.11</v>
      </c>
      <c r="M68" s="54">
        <v>11.75</v>
      </c>
      <c r="N68" s="54">
        <v>2.29</v>
      </c>
      <c r="O68" t="s">
        <v>2815</v>
      </c>
      <c r="P68" s="54">
        <f t="shared" si="3"/>
        <v>14.04</v>
      </c>
      <c r="Q68" s="2">
        <v>3.5999999999999997E-2</v>
      </c>
    </row>
    <row r="69" spans="5:17" x14ac:dyDescent="0.2">
      <c r="E69" t="s">
        <v>2879</v>
      </c>
      <c r="F69">
        <v>1</v>
      </c>
      <c r="G69" t="s">
        <v>1170</v>
      </c>
      <c r="H69" t="s">
        <v>2819</v>
      </c>
      <c r="I69" s="54">
        <v>5.9</v>
      </c>
      <c r="J69" s="54">
        <v>0.74</v>
      </c>
      <c r="K69" s="55" t="s">
        <v>2814</v>
      </c>
      <c r="L69" s="54">
        <f t="shared" si="2"/>
        <v>6.6400000000000006</v>
      </c>
      <c r="M69" s="54">
        <v>6.5</v>
      </c>
      <c r="N69" s="54">
        <v>1.2</v>
      </c>
      <c r="O69" t="s">
        <v>2815</v>
      </c>
      <c r="P69" s="54">
        <f t="shared" si="3"/>
        <v>7.7</v>
      </c>
      <c r="Q69" s="2">
        <v>1.9E-2</v>
      </c>
    </row>
    <row r="70" spans="5:17" x14ac:dyDescent="0.2">
      <c r="E70" t="s">
        <v>2880</v>
      </c>
      <c r="F70">
        <v>1</v>
      </c>
      <c r="G70" t="s">
        <v>1170</v>
      </c>
      <c r="H70" t="s">
        <v>2819</v>
      </c>
      <c r="I70" s="54">
        <v>6.45</v>
      </c>
      <c r="J70" s="54">
        <v>0.94</v>
      </c>
      <c r="K70" s="55" t="s">
        <v>2814</v>
      </c>
      <c r="L70" s="54">
        <f t="shared" si="2"/>
        <v>7.3900000000000006</v>
      </c>
      <c r="M70" s="54">
        <v>7.05</v>
      </c>
      <c r="N70" s="54">
        <v>1.53</v>
      </c>
      <c r="O70" t="s">
        <v>2815</v>
      </c>
      <c r="P70" s="54">
        <f t="shared" si="3"/>
        <v>8.58</v>
      </c>
      <c r="Q70" s="2">
        <v>2.4E-2</v>
      </c>
    </row>
    <row r="71" spans="5:17" x14ac:dyDescent="0.2">
      <c r="E71" t="s">
        <v>2881</v>
      </c>
      <c r="F71">
        <v>1</v>
      </c>
      <c r="G71" t="s">
        <v>1170</v>
      </c>
      <c r="H71" t="s">
        <v>2819</v>
      </c>
      <c r="I71" s="54">
        <v>7.35</v>
      </c>
      <c r="J71" s="54">
        <v>0.94</v>
      </c>
      <c r="K71" s="55" t="s">
        <v>2814</v>
      </c>
      <c r="L71" s="54">
        <f t="shared" ref="L71:L102" si="4">SUM(I71,J71,K71)</f>
        <v>8.2899999999999991</v>
      </c>
      <c r="M71" s="54">
        <v>8.1</v>
      </c>
      <c r="N71" s="54">
        <v>1.53</v>
      </c>
      <c r="O71" t="s">
        <v>2815</v>
      </c>
      <c r="P71" s="54">
        <f t="shared" ref="P71:P102" si="5">SUM(M71,N71,O71)</f>
        <v>9.629999999999999</v>
      </c>
      <c r="Q71" s="2">
        <v>2.4E-2</v>
      </c>
    </row>
    <row r="72" spans="5:17" x14ac:dyDescent="0.2">
      <c r="E72" t="s">
        <v>2882</v>
      </c>
      <c r="F72">
        <v>1</v>
      </c>
      <c r="G72" t="s">
        <v>1170</v>
      </c>
      <c r="H72" t="s">
        <v>2819</v>
      </c>
      <c r="I72" s="54">
        <v>6.45</v>
      </c>
      <c r="J72" s="54">
        <v>0.74</v>
      </c>
      <c r="K72" s="55" t="s">
        <v>2814</v>
      </c>
      <c r="L72" s="54">
        <f t="shared" si="4"/>
        <v>7.19</v>
      </c>
      <c r="M72" s="54">
        <v>7.1</v>
      </c>
      <c r="N72" s="54">
        <v>1.2</v>
      </c>
      <c r="O72" t="s">
        <v>2815</v>
      </c>
      <c r="P72" s="54">
        <f t="shared" si="5"/>
        <v>8.2999999999999989</v>
      </c>
      <c r="Q72" s="2">
        <v>1.9E-2</v>
      </c>
    </row>
    <row r="73" spans="5:17" x14ac:dyDescent="0.2">
      <c r="E73" t="s">
        <v>2883</v>
      </c>
      <c r="F73">
        <v>1</v>
      </c>
      <c r="G73" t="s">
        <v>1170</v>
      </c>
      <c r="H73" t="s">
        <v>2819</v>
      </c>
      <c r="I73" s="54">
        <v>6.75</v>
      </c>
      <c r="J73" s="54">
        <v>0.94</v>
      </c>
      <c r="K73" s="55" t="s">
        <v>2814</v>
      </c>
      <c r="L73" s="54">
        <f t="shared" si="4"/>
        <v>7.6899999999999995</v>
      </c>
      <c r="M73" s="54">
        <v>7.45</v>
      </c>
      <c r="N73" s="54">
        <v>1.53</v>
      </c>
      <c r="O73" t="s">
        <v>2815</v>
      </c>
      <c r="P73" s="54">
        <f t="shared" si="5"/>
        <v>8.98</v>
      </c>
      <c r="Q73" s="2">
        <v>2.4E-2</v>
      </c>
    </row>
    <row r="74" spans="5:17" x14ac:dyDescent="0.2">
      <c r="E74" t="s">
        <v>2884</v>
      </c>
      <c r="F74">
        <v>1</v>
      </c>
      <c r="G74" t="s">
        <v>1170</v>
      </c>
      <c r="H74" t="s">
        <v>2819</v>
      </c>
      <c r="I74" s="54">
        <v>6.1</v>
      </c>
      <c r="J74" s="54">
        <v>1.41</v>
      </c>
      <c r="K74" s="55" t="s">
        <v>2814</v>
      </c>
      <c r="L74" s="54">
        <f t="shared" si="4"/>
        <v>7.51</v>
      </c>
      <c r="M74" s="54">
        <v>6.75</v>
      </c>
      <c r="N74" s="54">
        <v>2.29</v>
      </c>
      <c r="O74" t="s">
        <v>2815</v>
      </c>
      <c r="P74" s="54">
        <f t="shared" si="5"/>
        <v>9.0399999999999991</v>
      </c>
      <c r="Q74" s="2">
        <v>3.5999999999999997E-2</v>
      </c>
    </row>
    <row r="75" spans="5:17" x14ac:dyDescent="0.2">
      <c r="E75" t="s">
        <v>2885</v>
      </c>
      <c r="F75">
        <v>1</v>
      </c>
      <c r="G75" t="s">
        <v>1170</v>
      </c>
      <c r="H75" t="s">
        <v>2819</v>
      </c>
      <c r="I75" s="54">
        <v>6.65</v>
      </c>
      <c r="J75" s="54">
        <v>1.05</v>
      </c>
      <c r="K75" s="55" t="s">
        <v>2814</v>
      </c>
      <c r="L75" s="54">
        <f t="shared" si="4"/>
        <v>7.7</v>
      </c>
      <c r="M75" s="54">
        <v>7.3</v>
      </c>
      <c r="N75" s="54">
        <v>1.71</v>
      </c>
      <c r="O75" t="s">
        <v>2815</v>
      </c>
      <c r="P75" s="54">
        <f t="shared" si="5"/>
        <v>9.01</v>
      </c>
      <c r="Q75" s="2">
        <v>2.7E-2</v>
      </c>
    </row>
    <row r="76" spans="5:17" x14ac:dyDescent="0.2">
      <c r="E76" t="s">
        <v>2886</v>
      </c>
      <c r="F76">
        <v>1</v>
      </c>
      <c r="G76" t="s">
        <v>1170</v>
      </c>
      <c r="H76" t="s">
        <v>2819</v>
      </c>
      <c r="I76" s="54">
        <v>6</v>
      </c>
      <c r="J76" s="54">
        <v>0.82</v>
      </c>
      <c r="K76" s="55" t="s">
        <v>2814</v>
      </c>
      <c r="L76" s="54">
        <f t="shared" si="4"/>
        <v>6.82</v>
      </c>
      <c r="M76" s="54">
        <v>6.6</v>
      </c>
      <c r="N76" s="54">
        <v>1.34</v>
      </c>
      <c r="O76" t="s">
        <v>2815</v>
      </c>
      <c r="P76" s="54">
        <f t="shared" si="5"/>
        <v>7.9399999999999995</v>
      </c>
      <c r="Q76" s="2">
        <v>2.1000000000000001E-2</v>
      </c>
    </row>
    <row r="77" spans="5:17" x14ac:dyDescent="0.2">
      <c r="E77" t="s">
        <v>2887</v>
      </c>
      <c r="F77">
        <v>1</v>
      </c>
      <c r="G77" t="s">
        <v>1170</v>
      </c>
      <c r="H77" t="s">
        <v>2819</v>
      </c>
      <c r="I77" s="54">
        <v>6.55</v>
      </c>
      <c r="J77" s="54">
        <v>0.82</v>
      </c>
      <c r="K77" s="55" t="s">
        <v>2814</v>
      </c>
      <c r="L77" s="54">
        <f t="shared" si="4"/>
        <v>7.37</v>
      </c>
      <c r="M77" s="54">
        <v>7.25</v>
      </c>
      <c r="N77" s="54">
        <v>1.34</v>
      </c>
      <c r="O77" t="s">
        <v>2815</v>
      </c>
      <c r="P77" s="54">
        <f t="shared" si="5"/>
        <v>8.59</v>
      </c>
      <c r="Q77" s="2">
        <v>2.1000000000000001E-2</v>
      </c>
    </row>
    <row r="78" spans="5:17" x14ac:dyDescent="0.2">
      <c r="E78" t="s">
        <v>2888</v>
      </c>
      <c r="F78">
        <v>1</v>
      </c>
      <c r="G78" t="s">
        <v>1170</v>
      </c>
      <c r="H78" t="s">
        <v>2819</v>
      </c>
      <c r="I78" s="54">
        <v>2.95</v>
      </c>
      <c r="J78" s="54">
        <v>0.94</v>
      </c>
      <c r="K78" s="55" t="s">
        <v>2814</v>
      </c>
      <c r="L78" s="54">
        <f t="shared" si="4"/>
        <v>3.89</v>
      </c>
      <c r="M78" s="54">
        <v>3.25</v>
      </c>
      <c r="N78" s="54">
        <v>1.53</v>
      </c>
      <c r="O78" t="s">
        <v>2815</v>
      </c>
      <c r="P78" s="54">
        <f t="shared" si="5"/>
        <v>4.78</v>
      </c>
      <c r="Q78" s="2">
        <v>2.4E-2</v>
      </c>
    </row>
    <row r="79" spans="5:17" x14ac:dyDescent="0.2">
      <c r="E79" t="s">
        <v>2889</v>
      </c>
      <c r="F79">
        <v>1</v>
      </c>
      <c r="G79" t="s">
        <v>1170</v>
      </c>
      <c r="H79" t="s">
        <v>2819</v>
      </c>
      <c r="I79" s="54">
        <v>8.5500000000000007</v>
      </c>
      <c r="J79" s="54">
        <v>1.41</v>
      </c>
      <c r="K79" s="55" t="s">
        <v>2814</v>
      </c>
      <c r="L79" s="54">
        <f t="shared" si="4"/>
        <v>9.9600000000000009</v>
      </c>
      <c r="M79" s="54">
        <v>9.4</v>
      </c>
      <c r="N79" s="54">
        <v>2.29</v>
      </c>
      <c r="O79" t="s">
        <v>2815</v>
      </c>
      <c r="P79" s="54">
        <f t="shared" si="5"/>
        <v>11.690000000000001</v>
      </c>
      <c r="Q79" s="2">
        <v>3.5999999999999997E-2</v>
      </c>
    </row>
    <row r="80" spans="5:17" x14ac:dyDescent="0.2">
      <c r="E80" t="s">
        <v>2890</v>
      </c>
      <c r="F80">
        <v>1</v>
      </c>
      <c r="G80" t="s">
        <v>1170</v>
      </c>
      <c r="H80" t="s">
        <v>2819</v>
      </c>
      <c r="I80" s="54">
        <v>11</v>
      </c>
      <c r="J80" s="54">
        <v>0.94</v>
      </c>
      <c r="K80" s="55" t="s">
        <v>2814</v>
      </c>
      <c r="L80" s="54">
        <f t="shared" si="4"/>
        <v>11.94</v>
      </c>
      <c r="M80" s="54">
        <v>12.1</v>
      </c>
      <c r="N80" s="54">
        <v>1.53</v>
      </c>
      <c r="O80" t="s">
        <v>2815</v>
      </c>
      <c r="P80" s="54">
        <f t="shared" si="5"/>
        <v>13.629999999999999</v>
      </c>
      <c r="Q80" s="2">
        <v>2.4E-2</v>
      </c>
    </row>
    <row r="81" spans="5:17" x14ac:dyDescent="0.2">
      <c r="E81" t="s">
        <v>2891</v>
      </c>
      <c r="F81">
        <v>1</v>
      </c>
      <c r="G81" t="s">
        <v>1170</v>
      </c>
      <c r="H81" t="s">
        <v>2819</v>
      </c>
      <c r="I81" s="54">
        <v>2.95</v>
      </c>
      <c r="J81" s="54">
        <v>0.94</v>
      </c>
      <c r="K81" s="55" t="s">
        <v>2814</v>
      </c>
      <c r="L81" s="54">
        <f t="shared" si="4"/>
        <v>3.89</v>
      </c>
      <c r="M81" s="54">
        <v>3.25</v>
      </c>
      <c r="N81" s="54">
        <v>1.53</v>
      </c>
      <c r="O81" t="s">
        <v>2815</v>
      </c>
      <c r="P81" s="54">
        <f t="shared" si="5"/>
        <v>4.78</v>
      </c>
      <c r="Q81" s="2">
        <v>2.4E-2</v>
      </c>
    </row>
    <row r="82" spans="5:17" x14ac:dyDescent="0.2">
      <c r="E82" t="s">
        <v>2892</v>
      </c>
      <c r="F82">
        <v>1</v>
      </c>
      <c r="G82" t="s">
        <v>1170</v>
      </c>
      <c r="H82" t="s">
        <v>2819</v>
      </c>
      <c r="I82" s="54">
        <v>3.03</v>
      </c>
      <c r="J82" s="54">
        <v>0.94</v>
      </c>
      <c r="K82" s="55" t="s">
        <v>2814</v>
      </c>
      <c r="L82" s="54">
        <f t="shared" si="4"/>
        <v>3.9699999999999998</v>
      </c>
      <c r="M82" s="54">
        <v>3.33</v>
      </c>
      <c r="N82" s="54">
        <v>1.53</v>
      </c>
      <c r="O82" t="s">
        <v>2815</v>
      </c>
      <c r="P82" s="54">
        <f t="shared" si="5"/>
        <v>4.8600000000000003</v>
      </c>
      <c r="Q82" s="2">
        <v>2.4E-2</v>
      </c>
    </row>
    <row r="83" spans="5:17" x14ac:dyDescent="0.2">
      <c r="E83" t="s">
        <v>2893</v>
      </c>
      <c r="F83">
        <v>1</v>
      </c>
      <c r="G83" t="s">
        <v>1170</v>
      </c>
      <c r="H83" t="s">
        <v>1217</v>
      </c>
      <c r="I83" s="54">
        <v>2.42</v>
      </c>
      <c r="J83" s="54">
        <v>0.82</v>
      </c>
      <c r="K83" s="55" t="s">
        <v>2814</v>
      </c>
      <c r="L83" s="54">
        <f t="shared" si="4"/>
        <v>3.2399999999999998</v>
      </c>
      <c r="M83" s="54">
        <v>2.66</v>
      </c>
      <c r="N83" s="54">
        <v>1.34</v>
      </c>
      <c r="O83" t="s">
        <v>2815</v>
      </c>
      <c r="P83" s="54">
        <f t="shared" si="5"/>
        <v>4</v>
      </c>
      <c r="Q83" s="2">
        <v>2.1000000000000001E-2</v>
      </c>
    </row>
    <row r="84" spans="5:17" x14ac:dyDescent="0.2">
      <c r="E84" t="s">
        <v>2894</v>
      </c>
      <c r="F84">
        <v>1</v>
      </c>
      <c r="G84" t="s">
        <v>1170</v>
      </c>
      <c r="H84" t="s">
        <v>1217</v>
      </c>
      <c r="I84" s="54">
        <v>2.4300000000000002</v>
      </c>
      <c r="J84" s="54">
        <v>0.88</v>
      </c>
      <c r="K84" s="55" t="s">
        <v>2814</v>
      </c>
      <c r="L84" s="54">
        <f t="shared" si="4"/>
        <v>3.31</v>
      </c>
      <c r="M84" s="54">
        <v>2.67</v>
      </c>
      <c r="N84" s="54">
        <v>1.44</v>
      </c>
      <c r="O84" t="s">
        <v>2815</v>
      </c>
      <c r="P84" s="54">
        <f t="shared" si="5"/>
        <v>4.1099999999999994</v>
      </c>
      <c r="Q84" s="2">
        <v>2.3E-2</v>
      </c>
    </row>
    <row r="85" spans="5:17" x14ac:dyDescent="0.2">
      <c r="E85" t="s">
        <v>2895</v>
      </c>
      <c r="F85">
        <v>1</v>
      </c>
      <c r="G85" t="s">
        <v>1170</v>
      </c>
      <c r="H85" t="s">
        <v>1217</v>
      </c>
      <c r="I85" s="54">
        <v>3.13</v>
      </c>
      <c r="J85" s="54">
        <v>0.95</v>
      </c>
      <c r="K85" s="55" t="s">
        <v>2814</v>
      </c>
      <c r="L85" s="54">
        <f t="shared" si="4"/>
        <v>4.08</v>
      </c>
      <c r="M85" s="54">
        <v>3.44</v>
      </c>
      <c r="N85" s="54">
        <v>1.55</v>
      </c>
      <c r="O85" t="s">
        <v>2815</v>
      </c>
      <c r="P85" s="54">
        <f t="shared" si="5"/>
        <v>4.99</v>
      </c>
      <c r="Q85" s="2">
        <v>2.5000000000000001E-2</v>
      </c>
    </row>
    <row r="86" spans="5:17" x14ac:dyDescent="0.2">
      <c r="E86" t="s">
        <v>2896</v>
      </c>
      <c r="F86">
        <v>1</v>
      </c>
      <c r="G86" t="s">
        <v>1170</v>
      </c>
      <c r="H86" t="s">
        <v>1217</v>
      </c>
      <c r="I86" s="54">
        <v>3.16</v>
      </c>
      <c r="J86" s="54">
        <v>0.92</v>
      </c>
      <c r="K86" s="55" t="s">
        <v>2814</v>
      </c>
      <c r="L86" s="54">
        <f t="shared" si="4"/>
        <v>4.08</v>
      </c>
      <c r="M86" s="54">
        <v>3.48</v>
      </c>
      <c r="N86" s="54">
        <v>1.49</v>
      </c>
      <c r="O86" t="s">
        <v>2815</v>
      </c>
      <c r="P86" s="54">
        <f t="shared" si="5"/>
        <v>4.97</v>
      </c>
      <c r="Q86" s="2">
        <v>2.4E-2</v>
      </c>
    </row>
    <row r="87" spans="5:17" x14ac:dyDescent="0.2">
      <c r="E87" t="s">
        <v>2897</v>
      </c>
      <c r="F87">
        <v>1</v>
      </c>
      <c r="G87" t="s">
        <v>1170</v>
      </c>
      <c r="H87" t="s">
        <v>1217</v>
      </c>
      <c r="I87" s="54">
        <v>1.3</v>
      </c>
      <c r="J87" s="54">
        <v>0.92</v>
      </c>
      <c r="K87" s="55" t="s">
        <v>2814</v>
      </c>
      <c r="L87" s="54">
        <f t="shared" si="4"/>
        <v>2.2200000000000002</v>
      </c>
      <c r="M87" s="54">
        <v>1.43</v>
      </c>
      <c r="N87" s="54">
        <v>1.49</v>
      </c>
      <c r="O87" t="s">
        <v>2815</v>
      </c>
      <c r="P87" s="54">
        <f t="shared" si="5"/>
        <v>2.92</v>
      </c>
      <c r="Q87" s="2">
        <v>2.4E-2</v>
      </c>
    </row>
    <row r="88" spans="5:17" x14ac:dyDescent="0.2">
      <c r="E88" t="s">
        <v>2898</v>
      </c>
      <c r="F88">
        <v>1</v>
      </c>
      <c r="G88" t="s">
        <v>1170</v>
      </c>
      <c r="H88" t="s">
        <v>1217</v>
      </c>
      <c r="I88" s="54">
        <v>1.3</v>
      </c>
      <c r="J88" s="54">
        <v>0.92</v>
      </c>
      <c r="K88" s="55" t="s">
        <v>2814</v>
      </c>
      <c r="L88" s="54">
        <f t="shared" si="4"/>
        <v>2.2200000000000002</v>
      </c>
      <c r="M88" s="54">
        <v>1.43</v>
      </c>
      <c r="N88" s="54">
        <v>1.49</v>
      </c>
      <c r="O88" t="s">
        <v>2815</v>
      </c>
      <c r="P88" s="54">
        <f t="shared" si="5"/>
        <v>2.92</v>
      </c>
      <c r="Q88" s="2">
        <v>2.4E-2</v>
      </c>
    </row>
    <row r="89" spans="5:17" x14ac:dyDescent="0.2">
      <c r="E89" t="s">
        <v>2899</v>
      </c>
      <c r="F89">
        <v>1</v>
      </c>
      <c r="G89" t="s">
        <v>1170</v>
      </c>
      <c r="H89" t="s">
        <v>1217</v>
      </c>
      <c r="I89" s="54">
        <v>1.39</v>
      </c>
      <c r="J89" s="54">
        <v>0.92</v>
      </c>
      <c r="K89" s="55" t="s">
        <v>2814</v>
      </c>
      <c r="L89" s="54">
        <f t="shared" si="4"/>
        <v>2.31</v>
      </c>
      <c r="M89" s="54">
        <v>1.53</v>
      </c>
      <c r="N89" s="54">
        <v>1.49</v>
      </c>
      <c r="O89" t="s">
        <v>2815</v>
      </c>
      <c r="P89" s="54">
        <f t="shared" si="5"/>
        <v>3.02</v>
      </c>
      <c r="Q89" s="2">
        <v>2.4E-2</v>
      </c>
    </row>
    <row r="90" spans="5:17" x14ac:dyDescent="0.2">
      <c r="E90" t="s">
        <v>2900</v>
      </c>
      <c r="F90">
        <v>1</v>
      </c>
      <c r="G90" t="s">
        <v>1170</v>
      </c>
      <c r="H90" t="s">
        <v>1217</v>
      </c>
      <c r="I90" s="54">
        <v>1.88</v>
      </c>
      <c r="J90" s="54">
        <v>0.92</v>
      </c>
      <c r="K90" s="55" t="s">
        <v>2814</v>
      </c>
      <c r="L90" s="54">
        <f t="shared" si="4"/>
        <v>2.8</v>
      </c>
      <c r="M90" s="54">
        <v>2.0699999999999998</v>
      </c>
      <c r="N90" s="54">
        <v>1.49</v>
      </c>
      <c r="O90" t="s">
        <v>2815</v>
      </c>
      <c r="P90" s="54">
        <f t="shared" si="5"/>
        <v>3.5599999999999996</v>
      </c>
      <c r="Q90" s="2">
        <v>2.4E-2</v>
      </c>
    </row>
    <row r="91" spans="5:17" x14ac:dyDescent="0.2">
      <c r="E91" t="s">
        <v>2901</v>
      </c>
      <c r="F91">
        <v>1</v>
      </c>
      <c r="G91" t="s">
        <v>1170</v>
      </c>
      <c r="H91" t="s">
        <v>1217</v>
      </c>
      <c r="I91" s="54">
        <v>2.4700000000000002</v>
      </c>
      <c r="J91" s="54">
        <v>0.92</v>
      </c>
      <c r="K91" s="55" t="s">
        <v>2814</v>
      </c>
      <c r="L91" s="54">
        <f t="shared" si="4"/>
        <v>3.39</v>
      </c>
      <c r="M91" s="54">
        <v>2.72</v>
      </c>
      <c r="N91" s="54">
        <v>1.49</v>
      </c>
      <c r="O91" t="s">
        <v>2815</v>
      </c>
      <c r="P91" s="54">
        <f t="shared" si="5"/>
        <v>4.21</v>
      </c>
      <c r="Q91" s="2">
        <v>2.4E-2</v>
      </c>
    </row>
    <row r="92" spans="5:17" x14ac:dyDescent="0.2">
      <c r="E92" t="s">
        <v>2902</v>
      </c>
      <c r="F92">
        <v>1</v>
      </c>
      <c r="G92" t="s">
        <v>1170</v>
      </c>
      <c r="H92" t="s">
        <v>1217</v>
      </c>
      <c r="I92" s="54">
        <v>1.88</v>
      </c>
      <c r="J92" s="54">
        <v>0.92</v>
      </c>
      <c r="K92" s="55" t="s">
        <v>2814</v>
      </c>
      <c r="L92" s="54">
        <f t="shared" si="4"/>
        <v>2.8</v>
      </c>
      <c r="M92" s="54">
        <v>2.0699999999999998</v>
      </c>
      <c r="N92" s="54">
        <v>1.49</v>
      </c>
      <c r="O92" t="s">
        <v>2815</v>
      </c>
      <c r="P92" s="54">
        <f t="shared" si="5"/>
        <v>3.5599999999999996</v>
      </c>
      <c r="Q92" s="2">
        <v>2.4E-2</v>
      </c>
    </row>
    <row r="93" spans="5:17" x14ac:dyDescent="0.2">
      <c r="E93" t="s">
        <v>2903</v>
      </c>
      <c r="F93">
        <v>1</v>
      </c>
      <c r="G93" t="s">
        <v>1170</v>
      </c>
      <c r="H93" t="s">
        <v>1217</v>
      </c>
      <c r="I93" s="54">
        <v>1.25</v>
      </c>
      <c r="J93" s="54">
        <v>0.92</v>
      </c>
      <c r="K93" s="55" t="s">
        <v>2814</v>
      </c>
      <c r="L93" s="54">
        <f t="shared" si="4"/>
        <v>2.17</v>
      </c>
      <c r="M93" s="54">
        <v>1.38</v>
      </c>
      <c r="N93" s="54">
        <v>1.49</v>
      </c>
      <c r="O93" t="s">
        <v>2815</v>
      </c>
      <c r="P93" s="54">
        <f t="shared" si="5"/>
        <v>2.87</v>
      </c>
      <c r="Q93" s="2">
        <v>2.4E-2</v>
      </c>
    </row>
    <row r="94" spans="5:17" x14ac:dyDescent="0.2">
      <c r="E94" t="s">
        <v>2904</v>
      </c>
      <c r="F94">
        <v>1</v>
      </c>
      <c r="G94" t="s">
        <v>1170</v>
      </c>
      <c r="H94" t="s">
        <v>1217</v>
      </c>
      <c r="I94" s="54">
        <v>1.24</v>
      </c>
      <c r="J94" s="54">
        <v>0.92</v>
      </c>
      <c r="K94" s="55" t="s">
        <v>2814</v>
      </c>
      <c r="L94" s="54">
        <f t="shared" si="4"/>
        <v>2.16</v>
      </c>
      <c r="M94" s="54">
        <v>1.36</v>
      </c>
      <c r="N94" s="54">
        <v>1.49</v>
      </c>
      <c r="O94" t="s">
        <v>2815</v>
      </c>
      <c r="P94" s="54">
        <f t="shared" si="5"/>
        <v>2.85</v>
      </c>
      <c r="Q94" s="2">
        <v>2.4E-2</v>
      </c>
    </row>
    <row r="95" spans="5:17" x14ac:dyDescent="0.2">
      <c r="E95" t="s">
        <v>2905</v>
      </c>
      <c r="F95">
        <v>1</v>
      </c>
      <c r="G95" t="s">
        <v>1170</v>
      </c>
      <c r="H95" t="s">
        <v>1217</v>
      </c>
      <c r="I95" s="54">
        <v>1.56</v>
      </c>
      <c r="J95" s="54">
        <v>0.92</v>
      </c>
      <c r="K95" s="55" t="s">
        <v>2814</v>
      </c>
      <c r="L95" s="54">
        <f t="shared" si="4"/>
        <v>2.48</v>
      </c>
      <c r="M95" s="54">
        <v>1.72</v>
      </c>
      <c r="N95" s="54">
        <v>1.49</v>
      </c>
      <c r="O95" t="s">
        <v>2815</v>
      </c>
      <c r="P95" s="54">
        <f t="shared" si="5"/>
        <v>3.21</v>
      </c>
      <c r="Q95" s="2">
        <v>2.4E-2</v>
      </c>
    </row>
    <row r="96" spans="5:17" x14ac:dyDescent="0.2">
      <c r="E96" t="s">
        <v>2906</v>
      </c>
      <c r="F96">
        <v>1</v>
      </c>
      <c r="G96" t="s">
        <v>1170</v>
      </c>
      <c r="H96" t="s">
        <v>1217</v>
      </c>
      <c r="I96" s="54">
        <v>2.52</v>
      </c>
      <c r="J96" s="54">
        <v>0.92</v>
      </c>
      <c r="K96" s="55" t="s">
        <v>2814</v>
      </c>
      <c r="L96" s="54">
        <f t="shared" si="4"/>
        <v>3.44</v>
      </c>
      <c r="M96" s="54">
        <v>2.77</v>
      </c>
      <c r="N96" s="54">
        <v>1.49</v>
      </c>
      <c r="O96" t="s">
        <v>2815</v>
      </c>
      <c r="P96" s="54">
        <f t="shared" si="5"/>
        <v>4.26</v>
      </c>
      <c r="Q96" s="2">
        <v>2.4E-2</v>
      </c>
    </row>
    <row r="97" spans="5:17" x14ac:dyDescent="0.2">
      <c r="E97" t="s">
        <v>2907</v>
      </c>
      <c r="F97">
        <v>1</v>
      </c>
      <c r="G97" t="s">
        <v>1170</v>
      </c>
      <c r="H97" t="s">
        <v>1217</v>
      </c>
      <c r="I97" s="54">
        <v>1.5</v>
      </c>
      <c r="J97" s="54">
        <v>1.1200000000000001</v>
      </c>
      <c r="K97" s="55" t="s">
        <v>2814</v>
      </c>
      <c r="L97" s="54">
        <f t="shared" si="4"/>
        <v>2.62</v>
      </c>
      <c r="M97" s="54">
        <v>1.65</v>
      </c>
      <c r="N97" s="54">
        <v>1.83</v>
      </c>
      <c r="O97" t="s">
        <v>2815</v>
      </c>
      <c r="P97" s="54">
        <f t="shared" si="5"/>
        <v>3.48</v>
      </c>
      <c r="Q97" s="2">
        <v>2.9000000000000001E-2</v>
      </c>
    </row>
    <row r="98" spans="5:17" x14ac:dyDescent="0.2">
      <c r="E98" t="s">
        <v>2908</v>
      </c>
      <c r="F98">
        <v>1</v>
      </c>
      <c r="G98" t="s">
        <v>1170</v>
      </c>
      <c r="H98" t="s">
        <v>1217</v>
      </c>
      <c r="I98" s="54">
        <v>2.56</v>
      </c>
      <c r="J98" s="54">
        <v>1.25</v>
      </c>
      <c r="K98" s="55" t="s">
        <v>2814</v>
      </c>
      <c r="L98" s="54">
        <f t="shared" si="4"/>
        <v>3.81</v>
      </c>
      <c r="M98" s="54">
        <v>2.82</v>
      </c>
      <c r="N98" s="54">
        <v>2.0299999999999998</v>
      </c>
      <c r="O98" t="s">
        <v>2815</v>
      </c>
      <c r="P98" s="54">
        <f t="shared" si="5"/>
        <v>4.8499999999999996</v>
      </c>
      <c r="Q98" s="2">
        <v>3.2000000000000001E-2</v>
      </c>
    </row>
    <row r="99" spans="5:17" x14ac:dyDescent="0.2">
      <c r="E99" t="s">
        <v>2909</v>
      </c>
      <c r="F99">
        <v>1</v>
      </c>
      <c r="G99" t="s">
        <v>1170</v>
      </c>
      <c r="H99" t="s">
        <v>1217</v>
      </c>
      <c r="I99" s="54">
        <v>3.07</v>
      </c>
      <c r="J99" s="54">
        <v>1.1200000000000001</v>
      </c>
      <c r="K99" s="55" t="s">
        <v>2814</v>
      </c>
      <c r="L99" s="54">
        <f t="shared" si="4"/>
        <v>4.1899999999999995</v>
      </c>
      <c r="M99" s="54">
        <v>3.37</v>
      </c>
      <c r="N99" s="54">
        <v>1.83</v>
      </c>
      <c r="O99" t="s">
        <v>2815</v>
      </c>
      <c r="P99" s="54">
        <f t="shared" si="5"/>
        <v>5.2</v>
      </c>
      <c r="Q99" s="2">
        <v>2.9000000000000001E-2</v>
      </c>
    </row>
    <row r="100" spans="5:17" x14ac:dyDescent="0.2">
      <c r="E100" t="s">
        <v>2910</v>
      </c>
      <c r="F100">
        <v>1</v>
      </c>
      <c r="G100" t="s">
        <v>1170</v>
      </c>
      <c r="H100" t="s">
        <v>1217</v>
      </c>
      <c r="I100" s="54">
        <v>1</v>
      </c>
      <c r="J100" s="54">
        <v>1.1200000000000001</v>
      </c>
      <c r="K100" s="55" t="s">
        <v>2814</v>
      </c>
      <c r="L100" s="54">
        <f t="shared" si="4"/>
        <v>2.12</v>
      </c>
      <c r="M100" s="54">
        <v>1.1000000000000001</v>
      </c>
      <c r="N100" s="54">
        <v>1.83</v>
      </c>
      <c r="O100" t="s">
        <v>2815</v>
      </c>
      <c r="P100" s="54">
        <f t="shared" si="5"/>
        <v>2.93</v>
      </c>
      <c r="Q100" s="2">
        <v>2.9000000000000001E-2</v>
      </c>
    </row>
    <row r="101" spans="5:17" x14ac:dyDescent="0.2">
      <c r="E101" t="s">
        <v>2911</v>
      </c>
      <c r="F101">
        <v>1</v>
      </c>
      <c r="G101" t="s">
        <v>1170</v>
      </c>
      <c r="H101" t="s">
        <v>1217</v>
      </c>
      <c r="I101" s="54">
        <v>1</v>
      </c>
      <c r="J101" s="54">
        <v>1.25</v>
      </c>
      <c r="K101" s="55" t="s">
        <v>2814</v>
      </c>
      <c r="L101" s="54">
        <f t="shared" si="4"/>
        <v>2.25</v>
      </c>
      <c r="M101" s="54">
        <v>1.1000000000000001</v>
      </c>
      <c r="N101" s="54">
        <v>2.0299999999999998</v>
      </c>
      <c r="O101" t="s">
        <v>2815</v>
      </c>
      <c r="P101" s="54">
        <f t="shared" si="5"/>
        <v>3.13</v>
      </c>
      <c r="Q101" s="2">
        <v>3.2000000000000001E-2</v>
      </c>
    </row>
    <row r="102" spans="5:17" x14ac:dyDescent="0.2">
      <c r="E102" t="s">
        <v>2912</v>
      </c>
      <c r="F102">
        <v>1</v>
      </c>
      <c r="G102" t="s">
        <v>1170</v>
      </c>
      <c r="H102" t="s">
        <v>1217</v>
      </c>
      <c r="I102" s="54">
        <v>1.04</v>
      </c>
      <c r="J102" s="54">
        <v>1.25</v>
      </c>
      <c r="K102" s="55" t="s">
        <v>2814</v>
      </c>
      <c r="L102" s="54">
        <f t="shared" si="4"/>
        <v>2.29</v>
      </c>
      <c r="M102" s="54">
        <v>1.1499999999999999</v>
      </c>
      <c r="N102" s="54">
        <v>2.0299999999999998</v>
      </c>
      <c r="O102" t="s">
        <v>2815</v>
      </c>
      <c r="P102" s="54">
        <f t="shared" si="5"/>
        <v>3.1799999999999997</v>
      </c>
      <c r="Q102" s="2">
        <v>3.2000000000000001E-2</v>
      </c>
    </row>
    <row r="103" spans="5:17" x14ac:dyDescent="0.2">
      <c r="E103" t="s">
        <v>2913</v>
      </c>
      <c r="F103">
        <v>1</v>
      </c>
      <c r="G103" t="s">
        <v>1170</v>
      </c>
      <c r="H103" t="s">
        <v>1217</v>
      </c>
      <c r="I103" s="54">
        <v>1.63</v>
      </c>
      <c r="J103" s="54">
        <v>1.25</v>
      </c>
      <c r="K103" s="55" t="s">
        <v>2814</v>
      </c>
      <c r="L103" s="54">
        <f t="shared" ref="L103:L132" si="6">SUM(I103,J103,K103)</f>
        <v>2.88</v>
      </c>
      <c r="M103" s="54">
        <v>1.79</v>
      </c>
      <c r="N103" s="54">
        <v>2.0299999999999998</v>
      </c>
      <c r="O103" t="s">
        <v>2815</v>
      </c>
      <c r="P103" s="54">
        <f t="shared" ref="P103:P132" si="7">SUM(M103,N103,O103)</f>
        <v>3.82</v>
      </c>
      <c r="Q103" s="2">
        <v>3.2000000000000001E-2</v>
      </c>
    </row>
    <row r="104" spans="5:17" x14ac:dyDescent="0.2">
      <c r="E104" t="s">
        <v>2914</v>
      </c>
      <c r="F104">
        <v>1</v>
      </c>
      <c r="G104" t="s">
        <v>1170</v>
      </c>
      <c r="H104" t="s">
        <v>1217</v>
      </c>
      <c r="I104" s="54">
        <v>2.29</v>
      </c>
      <c r="J104" s="54">
        <v>1.03</v>
      </c>
      <c r="K104" s="55" t="s">
        <v>2814</v>
      </c>
      <c r="L104" s="54">
        <f t="shared" si="6"/>
        <v>3.3200000000000003</v>
      </c>
      <c r="M104" s="54">
        <v>2.52</v>
      </c>
      <c r="N104" s="54">
        <v>1.68</v>
      </c>
      <c r="O104" t="s">
        <v>2815</v>
      </c>
      <c r="P104" s="54">
        <f t="shared" si="7"/>
        <v>4.2</v>
      </c>
      <c r="Q104" s="2">
        <v>2.7E-2</v>
      </c>
    </row>
    <row r="105" spans="5:17" x14ac:dyDescent="0.2">
      <c r="E105" t="s">
        <v>2915</v>
      </c>
      <c r="F105">
        <v>1</v>
      </c>
      <c r="G105" t="s">
        <v>1170</v>
      </c>
      <c r="H105" t="s">
        <v>1217</v>
      </c>
      <c r="I105" s="54">
        <v>2.19</v>
      </c>
      <c r="J105" s="54">
        <v>1.1200000000000001</v>
      </c>
      <c r="K105" s="55" t="s">
        <v>2814</v>
      </c>
      <c r="L105" s="54">
        <f t="shared" si="6"/>
        <v>3.31</v>
      </c>
      <c r="M105" s="54">
        <v>2.41</v>
      </c>
      <c r="N105" s="54">
        <v>1.83</v>
      </c>
      <c r="O105" t="s">
        <v>2815</v>
      </c>
      <c r="P105" s="54">
        <f t="shared" si="7"/>
        <v>4.24</v>
      </c>
      <c r="Q105" s="2">
        <v>2.9000000000000001E-2</v>
      </c>
    </row>
    <row r="106" spans="5:17" x14ac:dyDescent="0.2">
      <c r="E106" t="s">
        <v>2916</v>
      </c>
      <c r="F106">
        <v>1</v>
      </c>
      <c r="G106" t="s">
        <v>1170</v>
      </c>
      <c r="H106" t="s">
        <v>1217</v>
      </c>
      <c r="I106" s="54">
        <v>1.1100000000000001</v>
      </c>
      <c r="J106" s="54">
        <v>1.1200000000000001</v>
      </c>
      <c r="K106" s="55" t="s">
        <v>2814</v>
      </c>
      <c r="L106" s="54">
        <f t="shared" si="6"/>
        <v>2.2300000000000004</v>
      </c>
      <c r="M106" s="54">
        <v>1.22</v>
      </c>
      <c r="N106" s="54">
        <v>1.83</v>
      </c>
      <c r="O106" t="s">
        <v>2815</v>
      </c>
      <c r="P106" s="54">
        <f t="shared" si="7"/>
        <v>3.05</v>
      </c>
      <c r="Q106" s="2">
        <v>2.9000000000000001E-2</v>
      </c>
    </row>
    <row r="107" spans="5:17" x14ac:dyDescent="0.2">
      <c r="E107" t="s">
        <v>2917</v>
      </c>
      <c r="F107">
        <v>1</v>
      </c>
      <c r="G107" t="s">
        <v>1170</v>
      </c>
      <c r="H107" t="s">
        <v>1217</v>
      </c>
      <c r="I107" s="54">
        <v>1.53</v>
      </c>
      <c r="J107" s="54">
        <v>1.1200000000000001</v>
      </c>
      <c r="K107" s="55" t="s">
        <v>2814</v>
      </c>
      <c r="L107" s="54">
        <f t="shared" si="6"/>
        <v>2.6500000000000004</v>
      </c>
      <c r="M107" s="54">
        <v>1.68</v>
      </c>
      <c r="N107" s="54">
        <v>1.83</v>
      </c>
      <c r="O107" t="s">
        <v>2815</v>
      </c>
      <c r="P107" s="54">
        <f t="shared" si="7"/>
        <v>3.51</v>
      </c>
      <c r="Q107" s="2">
        <v>2.9000000000000001E-2</v>
      </c>
    </row>
    <row r="108" spans="5:17" x14ac:dyDescent="0.2">
      <c r="E108" t="s">
        <v>2918</v>
      </c>
      <c r="F108">
        <v>1</v>
      </c>
      <c r="G108" t="s">
        <v>1170</v>
      </c>
      <c r="H108" t="s">
        <v>1217</v>
      </c>
      <c r="I108" s="54">
        <v>1.49</v>
      </c>
      <c r="J108" s="54">
        <v>1.25</v>
      </c>
      <c r="K108" s="55" t="s">
        <v>2814</v>
      </c>
      <c r="L108" s="54">
        <f t="shared" si="6"/>
        <v>2.74</v>
      </c>
      <c r="M108" s="54">
        <v>1.64</v>
      </c>
      <c r="N108" s="54">
        <v>2.0299999999999998</v>
      </c>
      <c r="O108" t="s">
        <v>2815</v>
      </c>
      <c r="P108" s="54">
        <f t="shared" si="7"/>
        <v>3.67</v>
      </c>
      <c r="Q108" s="2">
        <v>3.2000000000000001E-2</v>
      </c>
    </row>
    <row r="109" spans="5:17" x14ac:dyDescent="0.2">
      <c r="E109" t="s">
        <v>2919</v>
      </c>
      <c r="F109">
        <v>1</v>
      </c>
      <c r="G109" t="s">
        <v>1170</v>
      </c>
      <c r="H109" t="s">
        <v>1217</v>
      </c>
      <c r="I109" s="54">
        <v>1.58</v>
      </c>
      <c r="J109" s="54">
        <v>1.25</v>
      </c>
      <c r="K109" s="55" t="s">
        <v>2814</v>
      </c>
      <c r="L109" s="54">
        <f t="shared" si="6"/>
        <v>2.83</v>
      </c>
      <c r="M109" s="54">
        <v>1.74</v>
      </c>
      <c r="N109" s="54">
        <v>2.0299999999999998</v>
      </c>
      <c r="O109" t="s">
        <v>2815</v>
      </c>
      <c r="P109" s="54">
        <f t="shared" si="7"/>
        <v>3.7699999999999996</v>
      </c>
      <c r="Q109" s="2">
        <v>3.2000000000000001E-2</v>
      </c>
    </row>
    <row r="110" spans="5:17" x14ac:dyDescent="0.2">
      <c r="E110" t="s">
        <v>2920</v>
      </c>
      <c r="F110">
        <v>1</v>
      </c>
      <c r="G110" t="s">
        <v>1170</v>
      </c>
      <c r="H110" t="s">
        <v>1217</v>
      </c>
      <c r="I110" s="54">
        <v>2.2400000000000002</v>
      </c>
      <c r="J110" s="54">
        <v>1.25</v>
      </c>
      <c r="K110" s="55" t="s">
        <v>2814</v>
      </c>
      <c r="L110" s="54">
        <f t="shared" si="6"/>
        <v>3.49</v>
      </c>
      <c r="M110" s="54">
        <v>2.4700000000000002</v>
      </c>
      <c r="N110" s="54">
        <v>2.0299999999999998</v>
      </c>
      <c r="O110" t="s">
        <v>2815</v>
      </c>
      <c r="P110" s="54">
        <f t="shared" si="7"/>
        <v>4.5</v>
      </c>
      <c r="Q110" s="2">
        <v>3.2000000000000001E-2</v>
      </c>
    </row>
    <row r="111" spans="5:17" x14ac:dyDescent="0.2">
      <c r="E111" t="s">
        <v>2921</v>
      </c>
      <c r="F111">
        <v>1</v>
      </c>
      <c r="G111" t="s">
        <v>1170</v>
      </c>
      <c r="H111" t="s">
        <v>1217</v>
      </c>
      <c r="I111" s="54">
        <v>2.38</v>
      </c>
      <c r="J111" s="54">
        <v>1.1200000000000001</v>
      </c>
      <c r="K111" s="55" t="s">
        <v>2814</v>
      </c>
      <c r="L111" s="54">
        <f t="shared" si="6"/>
        <v>3.5</v>
      </c>
      <c r="M111" s="54">
        <v>2.62</v>
      </c>
      <c r="N111" s="54">
        <v>1.83</v>
      </c>
      <c r="O111" t="s">
        <v>2815</v>
      </c>
      <c r="P111" s="54">
        <f t="shared" si="7"/>
        <v>4.45</v>
      </c>
      <c r="Q111" s="2">
        <v>2.9000000000000001E-2</v>
      </c>
    </row>
    <row r="112" spans="5:17" x14ac:dyDescent="0.2">
      <c r="E112" t="s">
        <v>2922</v>
      </c>
      <c r="F112">
        <v>1</v>
      </c>
      <c r="G112" t="s">
        <v>1170</v>
      </c>
      <c r="H112" t="s">
        <v>1217</v>
      </c>
      <c r="I112" s="54">
        <v>1.25</v>
      </c>
      <c r="J112" s="54">
        <v>1.18</v>
      </c>
      <c r="K112" s="55" t="s">
        <v>2814</v>
      </c>
      <c r="L112" s="54">
        <f t="shared" si="6"/>
        <v>2.4299999999999997</v>
      </c>
      <c r="M112" s="54">
        <v>1.38</v>
      </c>
      <c r="N112" s="54">
        <v>1.92</v>
      </c>
      <c r="O112" t="s">
        <v>2815</v>
      </c>
      <c r="P112" s="54">
        <f t="shared" si="7"/>
        <v>3.3</v>
      </c>
      <c r="Q112" s="2">
        <v>0.03</v>
      </c>
    </row>
    <row r="113" spans="5:17" x14ac:dyDescent="0.2">
      <c r="E113" t="s">
        <v>2923</v>
      </c>
      <c r="F113">
        <v>1</v>
      </c>
      <c r="G113" t="s">
        <v>1220</v>
      </c>
      <c r="H113" t="s">
        <v>1217</v>
      </c>
      <c r="I113" s="54">
        <v>5.9</v>
      </c>
      <c r="J113" s="54">
        <v>1.03</v>
      </c>
      <c r="K113" s="55" t="s">
        <v>2814</v>
      </c>
      <c r="L113" s="54">
        <f t="shared" si="6"/>
        <v>6.9300000000000006</v>
      </c>
      <c r="M113" s="54">
        <v>6.5</v>
      </c>
      <c r="N113" s="54">
        <v>1.68</v>
      </c>
      <c r="O113" t="s">
        <v>2815</v>
      </c>
      <c r="P113" s="54">
        <f t="shared" si="7"/>
        <v>8.18</v>
      </c>
      <c r="Q113" s="2">
        <v>2.7E-2</v>
      </c>
    </row>
    <row r="114" spans="5:17" x14ac:dyDescent="0.2">
      <c r="E114" t="s">
        <v>2924</v>
      </c>
      <c r="F114">
        <v>1</v>
      </c>
      <c r="G114" t="s">
        <v>1170</v>
      </c>
      <c r="H114" t="s">
        <v>1217</v>
      </c>
      <c r="I114" s="54">
        <v>0.45</v>
      </c>
      <c r="J114" s="54">
        <v>0.31</v>
      </c>
      <c r="K114" s="55" t="s">
        <v>2814</v>
      </c>
      <c r="L114" s="54">
        <f t="shared" si="6"/>
        <v>0.76</v>
      </c>
      <c r="M114" s="54">
        <v>0.49</v>
      </c>
      <c r="N114" s="54">
        <v>0.5</v>
      </c>
      <c r="O114" t="s">
        <v>2815</v>
      </c>
      <c r="P114" s="54">
        <f t="shared" si="7"/>
        <v>0.99</v>
      </c>
      <c r="Q114" s="2">
        <v>8.0000000000000002E-3</v>
      </c>
    </row>
    <row r="115" spans="5:17" x14ac:dyDescent="0.2">
      <c r="E115" t="s">
        <v>2925</v>
      </c>
      <c r="F115">
        <v>1</v>
      </c>
      <c r="G115" t="s">
        <v>1220</v>
      </c>
      <c r="H115" t="s">
        <v>1217</v>
      </c>
      <c r="I115" s="54">
        <v>1.05</v>
      </c>
      <c r="J115" s="54">
        <v>0.88</v>
      </c>
      <c r="K115" s="55" t="s">
        <v>2814</v>
      </c>
      <c r="L115" s="54">
        <f t="shared" si="6"/>
        <v>1.9300000000000002</v>
      </c>
      <c r="M115" s="54">
        <v>1.1499999999999999</v>
      </c>
      <c r="N115" s="54">
        <v>1.44</v>
      </c>
      <c r="O115" t="s">
        <v>2815</v>
      </c>
      <c r="P115" s="54">
        <f t="shared" si="7"/>
        <v>2.59</v>
      </c>
      <c r="Q115" s="2">
        <v>2.3E-2</v>
      </c>
    </row>
    <row r="116" spans="5:17" x14ac:dyDescent="0.2">
      <c r="E116" t="s">
        <v>2926</v>
      </c>
      <c r="F116">
        <v>1</v>
      </c>
      <c r="G116" t="s">
        <v>1220</v>
      </c>
      <c r="H116" t="s">
        <v>1217</v>
      </c>
      <c r="I116" s="54">
        <v>0.95</v>
      </c>
      <c r="J116" s="54">
        <v>1.24</v>
      </c>
      <c r="K116" s="55" t="s">
        <v>2814</v>
      </c>
      <c r="L116" s="54">
        <f t="shared" si="6"/>
        <v>2.19</v>
      </c>
      <c r="M116" s="54">
        <v>1.04</v>
      </c>
      <c r="N116" s="54">
        <v>2.0099999999999998</v>
      </c>
      <c r="O116" t="s">
        <v>2815</v>
      </c>
      <c r="P116" s="54">
        <f t="shared" si="7"/>
        <v>3.05</v>
      </c>
      <c r="Q116" s="2">
        <v>3.2000000000000001E-2</v>
      </c>
    </row>
    <row r="117" spans="5:17" x14ac:dyDescent="0.2">
      <c r="E117" t="s">
        <v>2927</v>
      </c>
      <c r="F117">
        <v>1</v>
      </c>
      <c r="G117" t="s">
        <v>1170</v>
      </c>
      <c r="H117" t="s">
        <v>1217</v>
      </c>
      <c r="I117" s="54">
        <v>1.5</v>
      </c>
      <c r="J117" s="54">
        <v>1.18</v>
      </c>
      <c r="K117" s="55" t="s">
        <v>2814</v>
      </c>
      <c r="L117" s="54">
        <f t="shared" si="6"/>
        <v>2.6799999999999997</v>
      </c>
      <c r="M117" s="54">
        <v>1.65</v>
      </c>
      <c r="N117" s="54">
        <v>1.92</v>
      </c>
      <c r="O117" t="s">
        <v>2815</v>
      </c>
      <c r="P117" s="54">
        <f t="shared" si="7"/>
        <v>3.57</v>
      </c>
      <c r="Q117" s="2">
        <v>0.03</v>
      </c>
    </row>
    <row r="118" spans="5:17" x14ac:dyDescent="0.2">
      <c r="E118" t="s">
        <v>2928</v>
      </c>
      <c r="F118">
        <v>1</v>
      </c>
      <c r="G118" t="s">
        <v>1170</v>
      </c>
      <c r="H118" t="s">
        <v>1217</v>
      </c>
      <c r="I118" s="54">
        <v>2.63</v>
      </c>
      <c r="J118" s="54">
        <v>1.1200000000000001</v>
      </c>
      <c r="K118" s="55" t="s">
        <v>2814</v>
      </c>
      <c r="L118" s="54">
        <f t="shared" si="6"/>
        <v>3.75</v>
      </c>
      <c r="M118" s="54">
        <v>2.89</v>
      </c>
      <c r="N118" s="54">
        <v>1.83</v>
      </c>
      <c r="O118" t="s">
        <v>2815</v>
      </c>
      <c r="P118" s="54">
        <f t="shared" si="7"/>
        <v>4.7200000000000006</v>
      </c>
      <c r="Q118" s="2">
        <v>2.9000000000000001E-2</v>
      </c>
    </row>
    <row r="119" spans="5:17" x14ac:dyDescent="0.2">
      <c r="E119" t="s">
        <v>2929</v>
      </c>
      <c r="F119">
        <v>1</v>
      </c>
      <c r="G119" t="s">
        <v>1170</v>
      </c>
      <c r="H119" t="s">
        <v>1217</v>
      </c>
      <c r="I119" s="54">
        <v>1.03</v>
      </c>
      <c r="J119" s="54">
        <v>1.18</v>
      </c>
      <c r="K119" s="55" t="s">
        <v>2814</v>
      </c>
      <c r="L119" s="54">
        <f t="shared" si="6"/>
        <v>2.21</v>
      </c>
      <c r="M119" s="54">
        <v>1.1299999999999999</v>
      </c>
      <c r="N119" s="54">
        <v>1.92</v>
      </c>
      <c r="O119" t="s">
        <v>2815</v>
      </c>
      <c r="P119" s="54">
        <f t="shared" si="7"/>
        <v>3.05</v>
      </c>
      <c r="Q119" s="2">
        <v>0.03</v>
      </c>
    </row>
    <row r="120" spans="5:17" x14ac:dyDescent="0.2">
      <c r="E120" t="s">
        <v>2930</v>
      </c>
      <c r="F120">
        <v>1</v>
      </c>
      <c r="G120" t="s">
        <v>1170</v>
      </c>
      <c r="H120" t="s">
        <v>1217</v>
      </c>
      <c r="I120" s="54">
        <v>3.18</v>
      </c>
      <c r="J120" s="54">
        <v>1.55</v>
      </c>
      <c r="K120" s="55" t="s">
        <v>2814</v>
      </c>
      <c r="L120" s="54">
        <f t="shared" si="6"/>
        <v>4.7300000000000004</v>
      </c>
      <c r="M120" s="54">
        <v>3.5</v>
      </c>
      <c r="N120" s="54">
        <v>2.52</v>
      </c>
      <c r="O120" t="s">
        <v>2815</v>
      </c>
      <c r="P120" s="54">
        <f t="shared" si="7"/>
        <v>6.02</v>
      </c>
      <c r="Q120" s="2">
        <v>0.04</v>
      </c>
    </row>
    <row r="121" spans="5:17" x14ac:dyDescent="0.2">
      <c r="E121" t="s">
        <v>2931</v>
      </c>
      <c r="F121">
        <v>1</v>
      </c>
      <c r="G121" t="s">
        <v>1170</v>
      </c>
      <c r="H121" t="s">
        <v>1217</v>
      </c>
      <c r="I121" s="54">
        <v>2.35</v>
      </c>
      <c r="J121" s="54">
        <v>1.1200000000000001</v>
      </c>
      <c r="K121" s="55" t="s">
        <v>2814</v>
      </c>
      <c r="L121" s="54">
        <f t="shared" si="6"/>
        <v>3.47</v>
      </c>
      <c r="M121" s="54">
        <v>2.59</v>
      </c>
      <c r="N121" s="54">
        <v>1.83</v>
      </c>
      <c r="O121" t="s">
        <v>2815</v>
      </c>
      <c r="P121" s="54">
        <f t="shared" si="7"/>
        <v>4.42</v>
      </c>
      <c r="Q121" s="2">
        <v>2.9000000000000001E-2</v>
      </c>
    </row>
    <row r="122" spans="5:17" x14ac:dyDescent="0.2">
      <c r="E122" t="s">
        <v>2932</v>
      </c>
      <c r="F122">
        <v>1</v>
      </c>
      <c r="G122" t="s">
        <v>1220</v>
      </c>
      <c r="H122" t="s">
        <v>1217</v>
      </c>
      <c r="I122" s="54">
        <v>1.01</v>
      </c>
      <c r="J122" s="54">
        <v>1.21</v>
      </c>
      <c r="K122" s="55" t="s">
        <v>2814</v>
      </c>
      <c r="L122" s="54">
        <f t="shared" si="6"/>
        <v>2.2199999999999998</v>
      </c>
      <c r="M122" s="54">
        <v>1.1100000000000001</v>
      </c>
      <c r="N122" s="54">
        <v>1.97</v>
      </c>
      <c r="O122" t="s">
        <v>2815</v>
      </c>
      <c r="P122" s="54">
        <f t="shared" si="7"/>
        <v>3.08</v>
      </c>
      <c r="Q122" s="2">
        <v>3.1E-2</v>
      </c>
    </row>
    <row r="123" spans="5:17" x14ac:dyDescent="0.2">
      <c r="E123" t="s">
        <v>2933</v>
      </c>
      <c r="F123">
        <v>1</v>
      </c>
      <c r="G123" t="s">
        <v>1170</v>
      </c>
      <c r="H123" t="s">
        <v>1217</v>
      </c>
      <c r="I123" s="54">
        <v>2.23</v>
      </c>
      <c r="J123" s="54">
        <v>1.1200000000000001</v>
      </c>
      <c r="K123" s="55" t="s">
        <v>2814</v>
      </c>
      <c r="L123" s="54">
        <f t="shared" si="6"/>
        <v>3.35</v>
      </c>
      <c r="M123" s="54">
        <v>2.4500000000000002</v>
      </c>
      <c r="N123" s="54">
        <v>1.83</v>
      </c>
      <c r="O123" t="s">
        <v>2815</v>
      </c>
      <c r="P123" s="54">
        <f t="shared" si="7"/>
        <v>4.28</v>
      </c>
      <c r="Q123" s="2">
        <v>2.9000000000000001E-2</v>
      </c>
    </row>
    <row r="124" spans="5:17" x14ac:dyDescent="0.2">
      <c r="E124" t="s">
        <v>2934</v>
      </c>
      <c r="F124">
        <v>1</v>
      </c>
      <c r="G124" t="s">
        <v>1220</v>
      </c>
      <c r="H124" t="s">
        <v>1217</v>
      </c>
      <c r="I124" s="54">
        <v>1.31</v>
      </c>
      <c r="J124" s="54">
        <v>0.88</v>
      </c>
      <c r="K124" s="55" t="s">
        <v>2814</v>
      </c>
      <c r="L124" s="54">
        <f t="shared" si="6"/>
        <v>2.19</v>
      </c>
      <c r="M124" s="54">
        <v>1.44</v>
      </c>
      <c r="N124" s="54">
        <v>1.44</v>
      </c>
      <c r="O124" t="s">
        <v>2815</v>
      </c>
      <c r="P124" s="54">
        <f t="shared" si="7"/>
        <v>2.88</v>
      </c>
      <c r="Q124" s="2">
        <v>2.3E-2</v>
      </c>
    </row>
    <row r="125" spans="5:17" x14ac:dyDescent="0.2">
      <c r="E125" t="s">
        <v>2935</v>
      </c>
      <c r="F125">
        <v>1</v>
      </c>
      <c r="G125" t="s">
        <v>1220</v>
      </c>
      <c r="H125" t="s">
        <v>1217</v>
      </c>
      <c r="I125" s="54">
        <v>0.72</v>
      </c>
      <c r="J125" s="54">
        <v>0.89</v>
      </c>
      <c r="K125" s="55" t="s">
        <v>2814</v>
      </c>
      <c r="L125" s="54">
        <f t="shared" si="6"/>
        <v>1.6099999999999999</v>
      </c>
      <c r="M125" s="54">
        <v>0.79</v>
      </c>
      <c r="N125" s="54">
        <v>1.45</v>
      </c>
      <c r="O125" t="s">
        <v>2815</v>
      </c>
      <c r="P125" s="54">
        <f t="shared" si="7"/>
        <v>2.2400000000000002</v>
      </c>
      <c r="Q125" s="2">
        <v>2.3E-2</v>
      </c>
    </row>
    <row r="126" spans="5:17" x14ac:dyDescent="0.2">
      <c r="E126" t="s">
        <v>2936</v>
      </c>
      <c r="F126">
        <v>1</v>
      </c>
      <c r="G126" t="s">
        <v>1220</v>
      </c>
      <c r="H126" t="s">
        <v>1217</v>
      </c>
      <c r="I126" s="54">
        <v>1.31</v>
      </c>
      <c r="J126" s="54">
        <v>0.88</v>
      </c>
      <c r="K126" s="55" t="s">
        <v>2814</v>
      </c>
      <c r="L126" s="54">
        <f t="shared" si="6"/>
        <v>2.19</v>
      </c>
      <c r="M126" s="54">
        <v>1.44</v>
      </c>
      <c r="N126" s="54">
        <v>1.44</v>
      </c>
      <c r="O126" t="s">
        <v>2815</v>
      </c>
      <c r="P126" s="54">
        <f t="shared" si="7"/>
        <v>2.88</v>
      </c>
      <c r="Q126" s="2">
        <v>2.3E-2</v>
      </c>
    </row>
    <row r="127" spans="5:17" x14ac:dyDescent="0.2">
      <c r="E127" t="s">
        <v>2937</v>
      </c>
      <c r="F127">
        <v>1</v>
      </c>
      <c r="G127" t="s">
        <v>1170</v>
      </c>
      <c r="H127" t="s">
        <v>1217</v>
      </c>
      <c r="I127" s="54">
        <v>0.41</v>
      </c>
      <c r="J127" s="54">
        <v>0.31</v>
      </c>
      <c r="K127" s="55" t="s">
        <v>2814</v>
      </c>
      <c r="L127" s="54">
        <f t="shared" si="6"/>
        <v>0.72</v>
      </c>
      <c r="M127" s="54">
        <v>0.45</v>
      </c>
      <c r="N127" s="54">
        <v>0.5</v>
      </c>
      <c r="O127" t="s">
        <v>2815</v>
      </c>
      <c r="P127" s="54">
        <f t="shared" si="7"/>
        <v>0.95</v>
      </c>
      <c r="Q127" s="2">
        <v>8.0000000000000002E-3</v>
      </c>
    </row>
    <row r="128" spans="5:17" x14ac:dyDescent="0.2">
      <c r="E128" t="s">
        <v>2938</v>
      </c>
      <c r="F128">
        <v>1</v>
      </c>
      <c r="G128" t="s">
        <v>1170</v>
      </c>
      <c r="H128" t="s">
        <v>1217</v>
      </c>
      <c r="I128" s="54">
        <v>1.5</v>
      </c>
      <c r="J128" s="54">
        <v>1.25</v>
      </c>
      <c r="K128" s="55" t="s">
        <v>2814</v>
      </c>
      <c r="L128" s="54">
        <f t="shared" si="6"/>
        <v>2.75</v>
      </c>
      <c r="M128" s="54">
        <v>1.65</v>
      </c>
      <c r="N128" s="54">
        <v>2.0299999999999998</v>
      </c>
      <c r="O128" t="s">
        <v>2815</v>
      </c>
      <c r="P128" s="54">
        <f t="shared" si="7"/>
        <v>3.6799999999999997</v>
      </c>
      <c r="Q128" s="2">
        <v>3.2000000000000001E-2</v>
      </c>
    </row>
    <row r="129" spans="5:17" x14ac:dyDescent="0.2">
      <c r="E129" t="s">
        <v>2939</v>
      </c>
      <c r="F129">
        <v>1</v>
      </c>
      <c r="G129" t="s">
        <v>1220</v>
      </c>
      <c r="H129" t="s">
        <v>1217</v>
      </c>
      <c r="I129" s="54">
        <v>4.18</v>
      </c>
      <c r="J129" s="54">
        <v>0.88</v>
      </c>
      <c r="K129" s="55" t="s">
        <v>2814</v>
      </c>
      <c r="L129" s="54">
        <f t="shared" si="6"/>
        <v>5.0599999999999996</v>
      </c>
      <c r="M129" s="54">
        <v>4.5999999999999996</v>
      </c>
      <c r="N129" s="54">
        <v>1.44</v>
      </c>
      <c r="O129" t="s">
        <v>2815</v>
      </c>
      <c r="P129" s="54">
        <f t="shared" si="7"/>
        <v>6.0399999999999991</v>
      </c>
      <c r="Q129" s="2">
        <v>2.3E-2</v>
      </c>
    </row>
    <row r="130" spans="5:17" x14ac:dyDescent="0.2">
      <c r="E130" t="s">
        <v>2940</v>
      </c>
      <c r="F130">
        <v>1</v>
      </c>
      <c r="G130" t="s">
        <v>1220</v>
      </c>
      <c r="H130" t="s">
        <v>1217</v>
      </c>
      <c r="I130" s="54">
        <v>0.81</v>
      </c>
      <c r="J130" s="54">
        <v>0.91</v>
      </c>
      <c r="K130" s="55" t="s">
        <v>2814</v>
      </c>
      <c r="L130" s="54">
        <f t="shared" si="6"/>
        <v>1.7200000000000002</v>
      </c>
      <c r="M130" s="54">
        <v>0.89</v>
      </c>
      <c r="N130" s="54">
        <v>1.48</v>
      </c>
      <c r="O130" t="s">
        <v>2815</v>
      </c>
      <c r="P130" s="54">
        <f t="shared" si="7"/>
        <v>2.37</v>
      </c>
      <c r="Q130" s="2">
        <v>2.4E-2</v>
      </c>
    </row>
    <row r="131" spans="5:17" x14ac:dyDescent="0.2">
      <c r="E131" t="s">
        <v>2941</v>
      </c>
      <c r="F131">
        <v>1</v>
      </c>
      <c r="G131" t="s">
        <v>1220</v>
      </c>
      <c r="H131" t="s">
        <v>1217</v>
      </c>
      <c r="I131" s="54">
        <v>2.38</v>
      </c>
      <c r="J131" s="54">
        <v>0.88</v>
      </c>
      <c r="K131" s="55" t="s">
        <v>2814</v>
      </c>
      <c r="L131" s="54">
        <f t="shared" si="6"/>
        <v>3.26</v>
      </c>
      <c r="M131" s="54">
        <v>2.62</v>
      </c>
      <c r="N131" s="54">
        <v>1.44</v>
      </c>
      <c r="O131" t="s">
        <v>2815</v>
      </c>
      <c r="P131" s="54">
        <f t="shared" si="7"/>
        <v>4.0600000000000005</v>
      </c>
      <c r="Q131" s="2">
        <v>2.3E-2</v>
      </c>
    </row>
    <row r="132" spans="5:17" x14ac:dyDescent="0.2">
      <c r="E132" t="s">
        <v>2942</v>
      </c>
      <c r="F132">
        <v>1</v>
      </c>
      <c r="G132" t="s">
        <v>1170</v>
      </c>
      <c r="H132" t="s">
        <v>1217</v>
      </c>
      <c r="I132" s="54">
        <v>2.19</v>
      </c>
      <c r="J132" s="54">
        <v>1.1200000000000001</v>
      </c>
      <c r="K132" s="55" t="s">
        <v>2814</v>
      </c>
      <c r="L132" s="54">
        <f t="shared" si="6"/>
        <v>3.31</v>
      </c>
      <c r="M132" s="54">
        <v>2.41</v>
      </c>
      <c r="N132" s="54">
        <v>1.83</v>
      </c>
      <c r="O132" t="s">
        <v>2815</v>
      </c>
      <c r="P132" s="54">
        <f t="shared" si="7"/>
        <v>4.24</v>
      </c>
      <c r="Q132" s="2">
        <v>2.9000000000000001E-2</v>
      </c>
    </row>
  </sheetData>
  <pageMargins left="0.7" right="0.7" top="0.75" bottom="0.75" header="0.3" footer="0.3"/>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4C23A-3C9C-493F-950B-BF70B0DB937F}">
  <sheetPr>
    <tabColor theme="7" tint="0.79998168889431442"/>
  </sheetPr>
  <dimension ref="C8:O15"/>
  <sheetViews>
    <sheetView workbookViewId="0">
      <selection activeCell="C30" sqref="C30"/>
    </sheetView>
  </sheetViews>
  <sheetFormatPr baseColWidth="10" defaultColWidth="8.83203125" defaultRowHeight="15" x14ac:dyDescent="0.2"/>
  <cols>
    <col min="3" max="3" width="116" bestFit="1" customWidth="1"/>
    <col min="4" max="4" width="11" bestFit="1" customWidth="1"/>
    <col min="5" max="6" width="7.5" bestFit="1" customWidth="1"/>
    <col min="7" max="7" width="10.5" bestFit="1" customWidth="1"/>
    <col min="8" max="8" width="8.5" bestFit="1" customWidth="1"/>
    <col min="9" max="9" width="13" bestFit="1" customWidth="1"/>
    <col min="10" max="10" width="8.5" bestFit="1" customWidth="1"/>
    <col min="11" max="11" width="15.5" bestFit="1" customWidth="1"/>
    <col min="12" max="12" width="12.5" bestFit="1" customWidth="1"/>
    <col min="13" max="13" width="17.5" bestFit="1" customWidth="1"/>
    <col min="14" max="14" width="12.5" bestFit="1" customWidth="1"/>
  </cols>
  <sheetData>
    <row r="8" spans="3:15" x14ac:dyDescent="0.2">
      <c r="C8" s="56" t="s">
        <v>388</v>
      </c>
      <c r="D8" s="57" t="s">
        <v>1157</v>
      </c>
      <c r="E8" s="57" t="s">
        <v>354</v>
      </c>
      <c r="F8" s="57" t="s">
        <v>1158</v>
      </c>
      <c r="G8" s="57" t="s">
        <v>27</v>
      </c>
      <c r="H8" s="57" t="s">
        <v>1161</v>
      </c>
      <c r="I8" s="57" t="s">
        <v>1162</v>
      </c>
      <c r="J8" s="57" t="s">
        <v>1163</v>
      </c>
      <c r="K8" s="57" t="s">
        <v>2810</v>
      </c>
      <c r="L8" s="57" t="s">
        <v>1164</v>
      </c>
      <c r="M8" s="57" t="s">
        <v>2811</v>
      </c>
      <c r="N8" s="58" t="s">
        <v>2812</v>
      </c>
      <c r="O8" s="57" t="s">
        <v>1160</v>
      </c>
    </row>
    <row r="9" spans="3:15" x14ac:dyDescent="0.2">
      <c r="C9" t="s">
        <v>2943</v>
      </c>
      <c r="D9">
        <v>1</v>
      </c>
      <c r="E9" t="s">
        <v>1170</v>
      </c>
      <c r="F9" t="s">
        <v>2944</v>
      </c>
      <c r="G9" s="54">
        <v>5</v>
      </c>
      <c r="H9" s="54">
        <v>6.95</v>
      </c>
      <c r="I9" t="s">
        <v>2814</v>
      </c>
      <c r="J9" s="54">
        <f t="shared" ref="J9:J15" si="0">SUM(G9,H9)</f>
        <v>11.95</v>
      </c>
      <c r="K9" s="54">
        <v>5.5</v>
      </c>
      <c r="L9" s="54">
        <v>11.6</v>
      </c>
      <c r="M9" t="s">
        <v>2815</v>
      </c>
      <c r="N9" s="54">
        <f t="shared" ref="N9:N15" si="1">SUM(K9,L9)</f>
        <v>17.100000000000001</v>
      </c>
      <c r="O9">
        <v>0.19</v>
      </c>
    </row>
    <row r="10" spans="3:15" x14ac:dyDescent="0.2">
      <c r="C10" t="s">
        <v>2945</v>
      </c>
      <c r="D10">
        <v>1</v>
      </c>
      <c r="E10" t="s">
        <v>2946</v>
      </c>
      <c r="F10" t="s">
        <v>2944</v>
      </c>
      <c r="G10" s="54">
        <v>5.0999999999999996</v>
      </c>
      <c r="H10" s="54">
        <v>300</v>
      </c>
      <c r="I10" t="s">
        <v>2814</v>
      </c>
      <c r="J10" s="54">
        <f t="shared" si="0"/>
        <v>305.10000000000002</v>
      </c>
      <c r="K10" s="54">
        <v>5.6</v>
      </c>
      <c r="L10" s="54">
        <v>500</v>
      </c>
      <c r="M10" t="s">
        <v>2815</v>
      </c>
      <c r="N10" s="54">
        <f t="shared" si="1"/>
        <v>505.6</v>
      </c>
      <c r="O10">
        <v>8.2469999999999999</v>
      </c>
    </row>
    <row r="11" spans="3:15" x14ac:dyDescent="0.2">
      <c r="C11" t="s">
        <v>2947</v>
      </c>
      <c r="D11">
        <v>1</v>
      </c>
      <c r="E11" t="s">
        <v>1170</v>
      </c>
      <c r="F11" t="s">
        <v>2944</v>
      </c>
      <c r="G11" s="54">
        <v>0.1</v>
      </c>
      <c r="H11" s="54">
        <v>5.95</v>
      </c>
      <c r="I11" t="s">
        <v>2814</v>
      </c>
      <c r="J11" s="54">
        <f t="shared" si="0"/>
        <v>6.05</v>
      </c>
      <c r="K11" s="54">
        <v>0.11</v>
      </c>
      <c r="L11" s="54">
        <v>9.9</v>
      </c>
      <c r="M11" t="s">
        <v>2815</v>
      </c>
      <c r="N11" s="54">
        <f t="shared" si="1"/>
        <v>10.01</v>
      </c>
      <c r="O11">
        <v>0.16300000000000001</v>
      </c>
    </row>
    <row r="12" spans="3:15" x14ac:dyDescent="0.2">
      <c r="C12" t="s">
        <v>2948</v>
      </c>
      <c r="D12">
        <v>1</v>
      </c>
      <c r="E12" t="s">
        <v>2946</v>
      </c>
      <c r="F12" t="s">
        <v>2944</v>
      </c>
      <c r="G12" s="54">
        <v>345</v>
      </c>
      <c r="H12" s="54">
        <v>560</v>
      </c>
      <c r="I12" t="s">
        <v>2814</v>
      </c>
      <c r="J12" s="54">
        <f t="shared" si="0"/>
        <v>905</v>
      </c>
      <c r="K12" s="54">
        <v>380</v>
      </c>
      <c r="L12" s="54">
        <v>935</v>
      </c>
      <c r="M12" t="s">
        <v>2815</v>
      </c>
      <c r="N12" s="54">
        <f t="shared" si="1"/>
        <v>1315</v>
      </c>
      <c r="O12">
        <v>15.385</v>
      </c>
    </row>
    <row r="13" spans="3:15" x14ac:dyDescent="0.2">
      <c r="C13" t="s">
        <v>2949</v>
      </c>
      <c r="D13">
        <v>1</v>
      </c>
      <c r="E13" t="s">
        <v>1170</v>
      </c>
      <c r="F13" t="s">
        <v>2944</v>
      </c>
      <c r="G13" s="54">
        <v>3.47</v>
      </c>
      <c r="H13" s="54">
        <v>5.6</v>
      </c>
      <c r="I13" t="s">
        <v>2814</v>
      </c>
      <c r="J13" s="54">
        <f t="shared" si="0"/>
        <v>9.07</v>
      </c>
      <c r="K13" s="54">
        <v>3.81</v>
      </c>
      <c r="L13" s="54">
        <v>9.35</v>
      </c>
      <c r="M13" t="s">
        <v>2815</v>
      </c>
      <c r="N13" s="54">
        <f t="shared" si="1"/>
        <v>13.16</v>
      </c>
      <c r="O13">
        <v>0.154</v>
      </c>
    </row>
    <row r="14" spans="3:15" x14ac:dyDescent="0.2">
      <c r="C14" t="s">
        <v>2950</v>
      </c>
      <c r="D14">
        <v>1</v>
      </c>
      <c r="E14" t="s">
        <v>1170</v>
      </c>
      <c r="F14" t="s">
        <v>2944</v>
      </c>
      <c r="G14" s="54">
        <v>0.61</v>
      </c>
      <c r="H14" s="54">
        <v>1.66</v>
      </c>
      <c r="I14" t="s">
        <v>2814</v>
      </c>
      <c r="J14" s="54">
        <f t="shared" si="0"/>
        <v>2.27</v>
      </c>
      <c r="K14" s="54">
        <v>0.67</v>
      </c>
      <c r="L14" s="54">
        <v>2.78</v>
      </c>
      <c r="M14" t="s">
        <v>2815</v>
      </c>
      <c r="N14" s="54">
        <f t="shared" si="1"/>
        <v>3.4499999999999997</v>
      </c>
      <c r="O14">
        <v>4.5999999999999999E-2</v>
      </c>
    </row>
    <row r="15" spans="3:15" x14ac:dyDescent="0.2">
      <c r="C15" t="s">
        <v>2951</v>
      </c>
      <c r="D15">
        <v>1</v>
      </c>
      <c r="E15" t="s">
        <v>1170</v>
      </c>
      <c r="F15" t="s">
        <v>2944</v>
      </c>
      <c r="G15" s="54">
        <v>0.59</v>
      </c>
      <c r="H15" s="54">
        <v>1.82</v>
      </c>
      <c r="I15" t="s">
        <v>2814</v>
      </c>
      <c r="J15" s="54">
        <f t="shared" si="0"/>
        <v>2.41</v>
      </c>
      <c r="K15" s="54">
        <v>0.65</v>
      </c>
      <c r="L15" s="54">
        <v>3.04</v>
      </c>
      <c r="M15" t="s">
        <v>2815</v>
      </c>
      <c r="N15" s="54">
        <f t="shared" si="1"/>
        <v>3.69</v>
      </c>
      <c r="O15">
        <v>0.05</v>
      </c>
    </row>
  </sheetData>
  <pageMargins left="0.7" right="0.7" top="0.75" bottom="0.75" header="0.3" footer="0.3"/>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605A3-96E9-4488-AAAD-3D0F2A762660}">
  <sheetPr>
    <tabColor theme="7" tint="0.79998168889431442"/>
  </sheetPr>
  <dimension ref="D13:P39"/>
  <sheetViews>
    <sheetView workbookViewId="0">
      <selection activeCell="L38" sqref="L38"/>
    </sheetView>
  </sheetViews>
  <sheetFormatPr baseColWidth="10" defaultColWidth="8.83203125" defaultRowHeight="15" x14ac:dyDescent="0.2"/>
  <cols>
    <col min="4" max="4" width="110.5" customWidth="1"/>
    <col min="5" max="5" width="10.5" customWidth="1"/>
    <col min="6" max="7" width="8.5" bestFit="1" customWidth="1"/>
    <col min="8" max="8" width="10.5" customWidth="1"/>
    <col min="9" max="9" width="8.5" bestFit="1" customWidth="1"/>
    <col min="10" max="10" width="12.5" customWidth="1"/>
    <col min="11" max="11" width="8.5" bestFit="1" customWidth="1"/>
    <col min="12" max="12" width="15.5" customWidth="1"/>
    <col min="13" max="13" width="12.5" customWidth="1"/>
    <col min="14" max="14" width="17.5" customWidth="1"/>
    <col min="15" max="15" width="12.5" customWidth="1"/>
  </cols>
  <sheetData>
    <row r="13" spans="4:16" x14ac:dyDescent="0.2">
      <c r="D13" s="56" t="s">
        <v>388</v>
      </c>
      <c r="E13" s="57" t="s">
        <v>1157</v>
      </c>
      <c r="F13" s="57" t="s">
        <v>354</v>
      </c>
      <c r="G13" s="57" t="s">
        <v>1158</v>
      </c>
      <c r="H13" s="57" t="s">
        <v>27</v>
      </c>
      <c r="I13" s="57" t="s">
        <v>1161</v>
      </c>
      <c r="J13" s="57" t="s">
        <v>1162</v>
      </c>
      <c r="K13" s="57" t="s">
        <v>1163</v>
      </c>
      <c r="L13" s="57" t="s">
        <v>2810</v>
      </c>
      <c r="M13" s="57" t="s">
        <v>1164</v>
      </c>
      <c r="N13" s="57" t="s">
        <v>2811</v>
      </c>
      <c r="O13" s="58" t="s">
        <v>2812</v>
      </c>
      <c r="P13" s="57" t="s">
        <v>1160</v>
      </c>
    </row>
    <row r="14" spans="4:16" x14ac:dyDescent="0.2">
      <c r="D14" t="s">
        <v>2952</v>
      </c>
      <c r="E14">
        <v>1</v>
      </c>
      <c r="F14" t="s">
        <v>1220</v>
      </c>
      <c r="G14" t="s">
        <v>2953</v>
      </c>
      <c r="H14" s="54">
        <v>1.25</v>
      </c>
      <c r="I14" s="54">
        <v>3.64</v>
      </c>
      <c r="J14" t="s">
        <v>2814</v>
      </c>
      <c r="K14" s="54">
        <f t="shared" ref="K14:K39" si="0">SUM(H14,I14,J14)</f>
        <v>4.8900000000000006</v>
      </c>
      <c r="L14" s="54">
        <v>1.38</v>
      </c>
      <c r="M14" s="54">
        <v>6.05</v>
      </c>
      <c r="N14" t="s">
        <v>2815</v>
      </c>
      <c r="O14" s="54">
        <f t="shared" ref="O14:O39" si="1">SUM(L14,M14,N14)</f>
        <v>7.43</v>
      </c>
      <c r="P14">
        <v>0.09</v>
      </c>
    </row>
    <row r="15" spans="4:16" x14ac:dyDescent="0.2">
      <c r="D15" t="s">
        <v>2954</v>
      </c>
      <c r="E15">
        <v>1</v>
      </c>
      <c r="F15" t="s">
        <v>1220</v>
      </c>
      <c r="G15" t="s">
        <v>2953</v>
      </c>
      <c r="H15" s="54">
        <v>2.48</v>
      </c>
      <c r="I15" s="54">
        <v>3.68</v>
      </c>
      <c r="J15" t="s">
        <v>2814</v>
      </c>
      <c r="K15" s="54">
        <f t="shared" si="0"/>
        <v>6.16</v>
      </c>
      <c r="L15" s="54">
        <v>2.73</v>
      </c>
      <c r="M15" s="54">
        <v>6.15</v>
      </c>
      <c r="N15" t="s">
        <v>2815</v>
      </c>
      <c r="O15" s="54">
        <f t="shared" si="1"/>
        <v>8.8800000000000008</v>
      </c>
      <c r="P15">
        <v>9.0999999999999998E-2</v>
      </c>
    </row>
    <row r="16" spans="4:16" x14ac:dyDescent="0.2">
      <c r="D16" t="s">
        <v>2955</v>
      </c>
      <c r="E16">
        <v>1</v>
      </c>
      <c r="F16" t="s">
        <v>1218</v>
      </c>
      <c r="G16" t="s">
        <v>2956</v>
      </c>
      <c r="H16" s="54">
        <v>15.35</v>
      </c>
      <c r="I16" s="54">
        <v>10.8</v>
      </c>
      <c r="J16" t="s">
        <v>2814</v>
      </c>
      <c r="K16" s="54">
        <f t="shared" si="0"/>
        <v>26.15</v>
      </c>
      <c r="L16" s="54">
        <v>16.899999999999999</v>
      </c>
      <c r="M16" s="54">
        <v>17.649999999999999</v>
      </c>
      <c r="N16" t="s">
        <v>2815</v>
      </c>
      <c r="O16" s="54">
        <f t="shared" si="1"/>
        <v>34.549999999999997</v>
      </c>
      <c r="P16">
        <v>0.25</v>
      </c>
    </row>
    <row r="17" spans="4:16" x14ac:dyDescent="0.2">
      <c r="D17" t="s">
        <v>2957</v>
      </c>
      <c r="E17">
        <v>1</v>
      </c>
      <c r="F17" t="s">
        <v>1220</v>
      </c>
      <c r="G17" t="s">
        <v>2953</v>
      </c>
      <c r="H17" s="54">
        <v>1.3</v>
      </c>
      <c r="I17" s="54">
        <v>3.64</v>
      </c>
      <c r="J17" t="s">
        <v>2814</v>
      </c>
      <c r="K17" s="54">
        <f t="shared" si="0"/>
        <v>4.9400000000000004</v>
      </c>
      <c r="L17" s="54">
        <v>1.43</v>
      </c>
      <c r="M17" s="54">
        <v>6.05</v>
      </c>
      <c r="N17" t="s">
        <v>2815</v>
      </c>
      <c r="O17" s="54">
        <f t="shared" si="1"/>
        <v>7.4799999999999995</v>
      </c>
      <c r="P17">
        <v>0.09</v>
      </c>
    </row>
    <row r="18" spans="4:16" x14ac:dyDescent="0.2">
      <c r="D18" t="s">
        <v>2958</v>
      </c>
      <c r="E18">
        <v>1</v>
      </c>
      <c r="F18" t="s">
        <v>1220</v>
      </c>
      <c r="G18" t="s">
        <v>2944</v>
      </c>
      <c r="H18" s="54">
        <v>2.1800000000000002</v>
      </c>
      <c r="I18" s="54">
        <v>2.65</v>
      </c>
      <c r="J18" t="s">
        <v>2814</v>
      </c>
      <c r="K18" s="54">
        <f t="shared" si="0"/>
        <v>4.83</v>
      </c>
      <c r="L18" s="54">
        <v>2.4</v>
      </c>
      <c r="M18" s="54">
        <v>4.42</v>
      </c>
      <c r="N18" t="s">
        <v>2815</v>
      </c>
      <c r="O18" s="54">
        <f t="shared" si="1"/>
        <v>6.82</v>
      </c>
      <c r="P18">
        <v>7.2999999999999995E-2</v>
      </c>
    </row>
    <row r="19" spans="4:16" x14ac:dyDescent="0.2">
      <c r="D19" t="s">
        <v>2959</v>
      </c>
      <c r="E19">
        <v>1</v>
      </c>
      <c r="F19" t="s">
        <v>1220</v>
      </c>
      <c r="G19" t="s">
        <v>2944</v>
      </c>
      <c r="H19" s="54">
        <v>2.04</v>
      </c>
      <c r="I19" s="54">
        <v>2.5299999999999998</v>
      </c>
      <c r="J19" t="s">
        <v>2814</v>
      </c>
      <c r="K19" s="54">
        <f t="shared" si="0"/>
        <v>4.57</v>
      </c>
      <c r="L19" s="54">
        <v>2.2400000000000002</v>
      </c>
      <c r="M19" s="54">
        <v>4.2300000000000004</v>
      </c>
      <c r="N19" t="s">
        <v>2815</v>
      </c>
      <c r="O19" s="54">
        <f t="shared" si="1"/>
        <v>6.4700000000000006</v>
      </c>
      <c r="P19">
        <v>7.0000000000000007E-2</v>
      </c>
    </row>
    <row r="20" spans="4:16" x14ac:dyDescent="0.2">
      <c r="D20" t="s">
        <v>2960</v>
      </c>
      <c r="E20">
        <v>1</v>
      </c>
      <c r="F20" t="s">
        <v>1220</v>
      </c>
      <c r="G20" t="s">
        <v>2953</v>
      </c>
      <c r="H20" s="54">
        <v>1.1399999999999999</v>
      </c>
      <c r="I20" s="54">
        <v>3.6</v>
      </c>
      <c r="J20" t="s">
        <v>2814</v>
      </c>
      <c r="K20" s="54">
        <f t="shared" si="0"/>
        <v>4.74</v>
      </c>
      <c r="L20" s="54">
        <v>1.25</v>
      </c>
      <c r="M20" s="54">
        <v>6</v>
      </c>
      <c r="N20" t="s">
        <v>2815</v>
      </c>
      <c r="O20" s="54">
        <f t="shared" si="1"/>
        <v>7.25</v>
      </c>
      <c r="P20">
        <v>8.8999999999999996E-2</v>
      </c>
    </row>
    <row r="21" spans="4:16" x14ac:dyDescent="0.2">
      <c r="D21" t="s">
        <v>2961</v>
      </c>
      <c r="E21">
        <v>1</v>
      </c>
      <c r="F21" t="s">
        <v>1220</v>
      </c>
      <c r="G21" t="s">
        <v>2944</v>
      </c>
      <c r="H21" s="54">
        <v>1.86</v>
      </c>
      <c r="I21" s="54">
        <v>2.4300000000000002</v>
      </c>
      <c r="J21" t="s">
        <v>2814</v>
      </c>
      <c r="K21" s="54">
        <f t="shared" si="0"/>
        <v>4.29</v>
      </c>
      <c r="L21" s="54">
        <v>2.0499999999999998</v>
      </c>
      <c r="M21" s="54">
        <v>4.05</v>
      </c>
      <c r="N21" t="s">
        <v>2815</v>
      </c>
      <c r="O21" s="54">
        <f t="shared" si="1"/>
        <v>6.1</v>
      </c>
      <c r="P21">
        <v>6.7000000000000004E-2</v>
      </c>
    </row>
    <row r="22" spans="4:16" x14ac:dyDescent="0.2">
      <c r="D22" t="s">
        <v>2962</v>
      </c>
      <c r="E22">
        <v>1</v>
      </c>
      <c r="F22" t="s">
        <v>1220</v>
      </c>
      <c r="G22" t="s">
        <v>2953</v>
      </c>
      <c r="H22" s="54">
        <v>7.85</v>
      </c>
      <c r="I22" s="54">
        <v>4.05</v>
      </c>
      <c r="J22" t="s">
        <v>2814</v>
      </c>
      <c r="K22" s="54">
        <f t="shared" si="0"/>
        <v>11.899999999999999</v>
      </c>
      <c r="L22" s="54">
        <v>8.65</v>
      </c>
      <c r="M22" s="54">
        <v>6.75</v>
      </c>
      <c r="N22" t="s">
        <v>2815</v>
      </c>
      <c r="O22" s="54">
        <f t="shared" si="1"/>
        <v>15.4</v>
      </c>
      <c r="P22">
        <v>0.1</v>
      </c>
    </row>
    <row r="23" spans="4:16" x14ac:dyDescent="0.2">
      <c r="D23" t="s">
        <v>2963</v>
      </c>
      <c r="E23">
        <v>1</v>
      </c>
      <c r="F23" t="s">
        <v>1220</v>
      </c>
      <c r="G23" t="s">
        <v>2953</v>
      </c>
      <c r="H23" s="54">
        <v>2.77</v>
      </c>
      <c r="I23" s="54">
        <v>3.68</v>
      </c>
      <c r="J23" t="s">
        <v>2814</v>
      </c>
      <c r="K23" s="54">
        <f t="shared" si="0"/>
        <v>6.45</v>
      </c>
      <c r="L23" s="54">
        <v>3.05</v>
      </c>
      <c r="M23" s="54">
        <v>6.15</v>
      </c>
      <c r="N23" t="s">
        <v>2815</v>
      </c>
      <c r="O23" s="54">
        <f t="shared" si="1"/>
        <v>9.1999999999999993</v>
      </c>
      <c r="P23">
        <v>9.0999999999999998E-2</v>
      </c>
    </row>
    <row r="24" spans="4:16" x14ac:dyDescent="0.2">
      <c r="D24" t="s">
        <v>2964</v>
      </c>
      <c r="E24">
        <v>1</v>
      </c>
      <c r="F24" t="s">
        <v>1220</v>
      </c>
      <c r="G24" t="s">
        <v>2953</v>
      </c>
      <c r="H24" s="54">
        <v>5.0999999999999996</v>
      </c>
      <c r="I24" s="54">
        <v>3.85</v>
      </c>
      <c r="J24" t="s">
        <v>2814</v>
      </c>
      <c r="K24" s="54">
        <f t="shared" si="0"/>
        <v>8.9499999999999993</v>
      </c>
      <c r="L24" s="54">
        <v>5.6</v>
      </c>
      <c r="M24" s="54">
        <v>6.45</v>
      </c>
      <c r="N24" t="s">
        <v>2815</v>
      </c>
      <c r="O24" s="54">
        <f t="shared" si="1"/>
        <v>12.05</v>
      </c>
      <c r="P24">
        <v>9.5000000000000001E-2</v>
      </c>
    </row>
    <row r="25" spans="4:16" x14ac:dyDescent="0.2">
      <c r="D25" t="s">
        <v>2965</v>
      </c>
      <c r="E25">
        <v>1</v>
      </c>
      <c r="F25" t="s">
        <v>1220</v>
      </c>
      <c r="G25" t="s">
        <v>2953</v>
      </c>
      <c r="H25" s="54">
        <v>6.55</v>
      </c>
      <c r="I25" s="54">
        <v>3.95</v>
      </c>
      <c r="J25" t="s">
        <v>2814</v>
      </c>
      <c r="K25" s="54">
        <f t="shared" si="0"/>
        <v>10.5</v>
      </c>
      <c r="L25" s="54">
        <v>7.2</v>
      </c>
      <c r="M25" s="54">
        <v>6.6</v>
      </c>
      <c r="N25" t="s">
        <v>2815</v>
      </c>
      <c r="O25" s="54">
        <f t="shared" si="1"/>
        <v>13.8</v>
      </c>
      <c r="P25">
        <v>9.8000000000000004E-2</v>
      </c>
    </row>
    <row r="26" spans="4:16" x14ac:dyDescent="0.2">
      <c r="D26" t="s">
        <v>2966</v>
      </c>
      <c r="E26">
        <v>1</v>
      </c>
      <c r="F26" t="s">
        <v>1220</v>
      </c>
      <c r="G26" t="s">
        <v>2953</v>
      </c>
      <c r="H26" s="54">
        <v>5.9</v>
      </c>
      <c r="I26" s="54">
        <v>3.95</v>
      </c>
      <c r="J26" t="s">
        <v>2814</v>
      </c>
      <c r="K26" s="54">
        <f t="shared" si="0"/>
        <v>9.8500000000000014</v>
      </c>
      <c r="L26" s="54">
        <v>6.5</v>
      </c>
      <c r="M26" s="54">
        <v>6.6</v>
      </c>
      <c r="N26" t="s">
        <v>2815</v>
      </c>
      <c r="O26" s="54">
        <f t="shared" si="1"/>
        <v>13.1</v>
      </c>
      <c r="P26">
        <v>9.8000000000000004E-2</v>
      </c>
    </row>
    <row r="27" spans="4:16" x14ac:dyDescent="0.2">
      <c r="D27" t="s">
        <v>2967</v>
      </c>
      <c r="E27">
        <v>1</v>
      </c>
      <c r="F27" t="s">
        <v>1220</v>
      </c>
      <c r="G27" t="s">
        <v>2953</v>
      </c>
      <c r="H27" s="54">
        <v>3.4</v>
      </c>
      <c r="I27" s="54">
        <v>3.76</v>
      </c>
      <c r="J27" t="s">
        <v>2814</v>
      </c>
      <c r="K27" s="54">
        <f t="shared" si="0"/>
        <v>7.16</v>
      </c>
      <c r="L27" s="54">
        <v>3.74</v>
      </c>
      <c r="M27" s="54">
        <v>6.3</v>
      </c>
      <c r="N27" t="s">
        <v>2815</v>
      </c>
      <c r="O27" s="54">
        <f t="shared" si="1"/>
        <v>10.039999999999999</v>
      </c>
      <c r="P27">
        <v>9.2999999999999999E-2</v>
      </c>
    </row>
    <row r="28" spans="4:16" x14ac:dyDescent="0.2">
      <c r="D28" t="s">
        <v>2968</v>
      </c>
      <c r="E28">
        <v>1</v>
      </c>
      <c r="F28" t="s">
        <v>1218</v>
      </c>
      <c r="H28" s="54">
        <v>25</v>
      </c>
      <c r="I28" t="s">
        <v>2815</v>
      </c>
      <c r="J28" t="s">
        <v>2814</v>
      </c>
      <c r="K28" s="54">
        <f t="shared" si="0"/>
        <v>25</v>
      </c>
      <c r="L28" s="54">
        <v>27.5</v>
      </c>
      <c r="M28" t="s">
        <v>2830</v>
      </c>
      <c r="N28" t="s">
        <v>2815</v>
      </c>
      <c r="O28" s="54">
        <f t="shared" si="1"/>
        <v>27.5</v>
      </c>
      <c r="P28">
        <v>0</v>
      </c>
    </row>
    <row r="29" spans="4:16" x14ac:dyDescent="0.2">
      <c r="D29" t="s">
        <v>2969</v>
      </c>
      <c r="E29">
        <v>1</v>
      </c>
      <c r="F29" t="s">
        <v>1220</v>
      </c>
      <c r="G29" t="s">
        <v>2953</v>
      </c>
      <c r="H29" s="54">
        <v>7.7</v>
      </c>
      <c r="I29" s="54">
        <v>4.05</v>
      </c>
      <c r="J29" t="s">
        <v>2814</v>
      </c>
      <c r="K29" s="54">
        <f t="shared" si="0"/>
        <v>11.75</v>
      </c>
      <c r="L29" s="54">
        <v>8.5</v>
      </c>
      <c r="M29" s="54">
        <v>6.75</v>
      </c>
      <c r="N29" t="s">
        <v>2815</v>
      </c>
      <c r="O29" s="54">
        <f t="shared" si="1"/>
        <v>15.25</v>
      </c>
      <c r="P29">
        <v>0.1</v>
      </c>
    </row>
    <row r="30" spans="4:16" x14ac:dyDescent="0.2">
      <c r="D30" t="s">
        <v>2970</v>
      </c>
      <c r="E30">
        <v>1</v>
      </c>
      <c r="F30" t="s">
        <v>1220</v>
      </c>
      <c r="G30" t="s">
        <v>2953</v>
      </c>
      <c r="H30" s="54">
        <v>4.1900000000000004</v>
      </c>
      <c r="I30" s="54">
        <v>3.85</v>
      </c>
      <c r="J30" t="s">
        <v>2814</v>
      </c>
      <c r="K30" s="54">
        <f t="shared" si="0"/>
        <v>8.0400000000000009</v>
      </c>
      <c r="L30" s="54">
        <v>4.6100000000000003</v>
      </c>
      <c r="M30" s="54">
        <v>6.45</v>
      </c>
      <c r="N30" t="s">
        <v>2815</v>
      </c>
      <c r="O30" s="54">
        <f t="shared" si="1"/>
        <v>11.06</v>
      </c>
      <c r="P30">
        <v>9.5000000000000001E-2</v>
      </c>
    </row>
    <row r="31" spans="4:16" x14ac:dyDescent="0.2">
      <c r="D31" t="s">
        <v>2971</v>
      </c>
      <c r="E31">
        <v>1</v>
      </c>
      <c r="F31" t="s">
        <v>1220</v>
      </c>
      <c r="G31" t="s">
        <v>2953</v>
      </c>
      <c r="H31" s="54">
        <v>1.97</v>
      </c>
      <c r="I31" s="54">
        <v>3.72</v>
      </c>
      <c r="J31" t="s">
        <v>2814</v>
      </c>
      <c r="K31" s="54">
        <f t="shared" si="0"/>
        <v>5.69</v>
      </c>
      <c r="L31" s="54">
        <v>2.17</v>
      </c>
      <c r="M31" s="54">
        <v>6.2</v>
      </c>
      <c r="N31" t="s">
        <v>2815</v>
      </c>
      <c r="O31" s="54">
        <f t="shared" si="1"/>
        <v>8.370000000000001</v>
      </c>
      <c r="P31">
        <v>9.1999999999999998E-2</v>
      </c>
    </row>
    <row r="32" spans="4:16" x14ac:dyDescent="0.2">
      <c r="D32" t="s">
        <v>2972</v>
      </c>
      <c r="E32">
        <v>1</v>
      </c>
      <c r="F32" t="s">
        <v>1220</v>
      </c>
      <c r="G32" t="s">
        <v>2953</v>
      </c>
      <c r="H32" s="54">
        <v>2.52</v>
      </c>
      <c r="I32" s="54">
        <v>3.76</v>
      </c>
      <c r="J32" t="s">
        <v>2814</v>
      </c>
      <c r="K32" s="54">
        <f t="shared" si="0"/>
        <v>6.2799999999999994</v>
      </c>
      <c r="L32" s="54">
        <v>2.77</v>
      </c>
      <c r="M32" s="54">
        <v>6.3</v>
      </c>
      <c r="N32" t="s">
        <v>2815</v>
      </c>
      <c r="O32" s="54">
        <f t="shared" si="1"/>
        <v>9.07</v>
      </c>
      <c r="P32">
        <v>9.2999999999999999E-2</v>
      </c>
    </row>
    <row r="33" spans="4:16" x14ac:dyDescent="0.2">
      <c r="D33" t="s">
        <v>2973</v>
      </c>
      <c r="E33">
        <v>1</v>
      </c>
      <c r="F33" t="s">
        <v>1218</v>
      </c>
      <c r="G33" t="s">
        <v>2956</v>
      </c>
      <c r="H33" s="54">
        <v>18.5</v>
      </c>
      <c r="I33" s="54">
        <v>10.8</v>
      </c>
      <c r="J33" t="s">
        <v>2814</v>
      </c>
      <c r="K33" s="54">
        <f t="shared" si="0"/>
        <v>29.3</v>
      </c>
      <c r="L33" s="54">
        <v>20.5</v>
      </c>
      <c r="M33" s="54">
        <v>17.649999999999999</v>
      </c>
      <c r="N33" t="s">
        <v>2815</v>
      </c>
      <c r="O33" s="54">
        <f t="shared" si="1"/>
        <v>38.15</v>
      </c>
      <c r="P33">
        <v>0.25</v>
      </c>
    </row>
    <row r="34" spans="4:16" x14ac:dyDescent="0.2">
      <c r="D34" t="s">
        <v>2974</v>
      </c>
      <c r="E34">
        <v>1</v>
      </c>
      <c r="F34" t="s">
        <v>1220</v>
      </c>
      <c r="G34" t="s">
        <v>2953</v>
      </c>
      <c r="H34" s="54">
        <v>1.9</v>
      </c>
      <c r="I34" s="54">
        <v>3.64</v>
      </c>
      <c r="J34" t="s">
        <v>2814</v>
      </c>
      <c r="K34" s="54">
        <f t="shared" si="0"/>
        <v>5.54</v>
      </c>
      <c r="L34" s="54">
        <v>2.09</v>
      </c>
      <c r="M34" s="54">
        <v>6.05</v>
      </c>
      <c r="N34" t="s">
        <v>2815</v>
      </c>
      <c r="O34" s="54">
        <f t="shared" si="1"/>
        <v>8.14</v>
      </c>
      <c r="P34">
        <v>0.09</v>
      </c>
    </row>
    <row r="35" spans="4:16" x14ac:dyDescent="0.2">
      <c r="D35" t="s">
        <v>2975</v>
      </c>
      <c r="E35">
        <v>1</v>
      </c>
      <c r="F35" t="s">
        <v>1220</v>
      </c>
      <c r="G35" t="s">
        <v>2953</v>
      </c>
      <c r="H35" s="54">
        <v>2.2799999999999998</v>
      </c>
      <c r="I35" s="54">
        <v>3.64</v>
      </c>
      <c r="J35" t="s">
        <v>2814</v>
      </c>
      <c r="K35" s="54">
        <f t="shared" si="0"/>
        <v>5.92</v>
      </c>
      <c r="L35" s="54">
        <v>2.5099999999999998</v>
      </c>
      <c r="M35" s="54">
        <v>6.05</v>
      </c>
      <c r="N35" t="s">
        <v>2815</v>
      </c>
      <c r="O35" s="54">
        <f t="shared" si="1"/>
        <v>8.5599999999999987</v>
      </c>
      <c r="P35">
        <v>0.09</v>
      </c>
    </row>
    <row r="36" spans="4:16" x14ac:dyDescent="0.2">
      <c r="D36" t="s">
        <v>2976</v>
      </c>
      <c r="E36">
        <v>1</v>
      </c>
      <c r="F36" t="s">
        <v>1218</v>
      </c>
      <c r="G36" t="s">
        <v>2956</v>
      </c>
      <c r="H36" s="54">
        <v>18.8</v>
      </c>
      <c r="I36" s="54">
        <v>10.8</v>
      </c>
      <c r="J36" t="s">
        <v>2814</v>
      </c>
      <c r="K36" s="54">
        <f t="shared" si="0"/>
        <v>29.6</v>
      </c>
      <c r="L36" s="54">
        <v>20.5</v>
      </c>
      <c r="M36" s="54">
        <v>17.649999999999999</v>
      </c>
      <c r="N36" t="s">
        <v>2815</v>
      </c>
      <c r="O36" s="54">
        <f t="shared" si="1"/>
        <v>38.15</v>
      </c>
      <c r="P36">
        <v>0.25</v>
      </c>
    </row>
    <row r="37" spans="4:16" x14ac:dyDescent="0.2">
      <c r="D37" t="s">
        <v>2977</v>
      </c>
      <c r="E37">
        <v>1</v>
      </c>
      <c r="F37" t="s">
        <v>1220</v>
      </c>
      <c r="G37" t="s">
        <v>2944</v>
      </c>
      <c r="H37" s="54">
        <v>2.75</v>
      </c>
      <c r="I37" s="54">
        <v>2.91</v>
      </c>
      <c r="J37" t="s">
        <v>2814</v>
      </c>
      <c r="K37" s="54">
        <f t="shared" si="0"/>
        <v>5.66</v>
      </c>
      <c r="L37" s="54">
        <v>3.03</v>
      </c>
      <c r="M37" s="54">
        <v>4.8600000000000003</v>
      </c>
      <c r="N37" t="s">
        <v>2815</v>
      </c>
      <c r="O37" s="54">
        <f t="shared" si="1"/>
        <v>7.8900000000000006</v>
      </c>
      <c r="P37">
        <v>0.08</v>
      </c>
    </row>
    <row r="38" spans="4:16" x14ac:dyDescent="0.2">
      <c r="D38" t="s">
        <v>2978</v>
      </c>
      <c r="E38">
        <v>1</v>
      </c>
      <c r="F38" t="s">
        <v>1220</v>
      </c>
      <c r="G38" t="s">
        <v>2953</v>
      </c>
      <c r="H38" s="54">
        <v>1.6</v>
      </c>
      <c r="I38" s="54">
        <v>3.6</v>
      </c>
      <c r="J38" t="s">
        <v>2814</v>
      </c>
      <c r="K38" s="54">
        <f t="shared" si="0"/>
        <v>5.2</v>
      </c>
      <c r="L38" s="54">
        <v>1.76</v>
      </c>
      <c r="M38" s="54">
        <v>6</v>
      </c>
      <c r="N38" t="s">
        <v>2815</v>
      </c>
      <c r="O38" s="54">
        <f t="shared" si="1"/>
        <v>7.76</v>
      </c>
      <c r="P38">
        <v>8.8999999999999996E-2</v>
      </c>
    </row>
    <row r="39" spans="4:16" x14ac:dyDescent="0.2">
      <c r="D39" t="s">
        <v>2979</v>
      </c>
      <c r="E39">
        <v>1</v>
      </c>
      <c r="F39" t="s">
        <v>1220</v>
      </c>
      <c r="G39" t="s">
        <v>2953</v>
      </c>
      <c r="H39" s="54">
        <v>5.0999999999999996</v>
      </c>
      <c r="I39" s="54">
        <v>3.76</v>
      </c>
      <c r="J39" t="s">
        <v>2814</v>
      </c>
      <c r="K39" s="54">
        <f t="shared" si="0"/>
        <v>8.86</v>
      </c>
      <c r="L39" s="54">
        <v>5.65</v>
      </c>
      <c r="M39" s="54">
        <v>6.3</v>
      </c>
      <c r="N39" t="s">
        <v>2815</v>
      </c>
      <c r="O39" s="54">
        <f t="shared" si="1"/>
        <v>11.95</v>
      </c>
      <c r="P39">
        <v>9.2999999999999999E-2</v>
      </c>
    </row>
  </sheetData>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6CEF9-21D3-4310-9EB3-7C319D1ECDB4}">
  <sheetPr>
    <tabColor theme="7" tint="0.79998168889431442"/>
  </sheetPr>
  <dimension ref="D6:P92"/>
  <sheetViews>
    <sheetView workbookViewId="0">
      <selection activeCell="G9" sqref="G9"/>
    </sheetView>
  </sheetViews>
  <sheetFormatPr baseColWidth="10" defaultColWidth="8.83203125" defaultRowHeight="15" x14ac:dyDescent="0.2"/>
  <cols>
    <col min="4" max="4" width="101.5" bestFit="1" customWidth="1"/>
    <col min="5" max="5" width="10.5" customWidth="1"/>
    <col min="6" max="7" width="8.5" bestFit="1" customWidth="1"/>
    <col min="8" max="8" width="10.5" customWidth="1"/>
    <col min="9" max="9" width="8.5" bestFit="1" customWidth="1"/>
    <col min="10" max="10" width="12.5" customWidth="1"/>
    <col min="11" max="11" width="8.5" bestFit="1" customWidth="1"/>
    <col min="12" max="12" width="15.5" customWidth="1"/>
    <col min="13" max="13" width="12.5" customWidth="1"/>
    <col min="14" max="14" width="17.5" customWidth="1"/>
    <col min="15" max="15" width="12.5" customWidth="1"/>
  </cols>
  <sheetData>
    <row r="6" spans="4:16" x14ac:dyDescent="0.2">
      <c r="D6" s="56" t="s">
        <v>388</v>
      </c>
      <c r="E6" s="57" t="s">
        <v>1157</v>
      </c>
      <c r="F6" s="57" t="s">
        <v>354</v>
      </c>
      <c r="G6" s="57" t="s">
        <v>1158</v>
      </c>
      <c r="H6" s="57" t="s">
        <v>27</v>
      </c>
      <c r="I6" s="57" t="s">
        <v>1161</v>
      </c>
      <c r="J6" s="57" t="s">
        <v>1162</v>
      </c>
      <c r="K6" s="57" t="s">
        <v>1163</v>
      </c>
      <c r="L6" s="57" t="s">
        <v>2810</v>
      </c>
      <c r="M6" s="57" t="s">
        <v>1164</v>
      </c>
      <c r="N6" s="57" t="s">
        <v>2811</v>
      </c>
      <c r="O6" s="58" t="s">
        <v>2812</v>
      </c>
      <c r="P6" s="57" t="s">
        <v>1160</v>
      </c>
    </row>
    <row r="7" spans="4:16" x14ac:dyDescent="0.2">
      <c r="D7" t="s">
        <v>2980</v>
      </c>
      <c r="E7">
        <v>1</v>
      </c>
      <c r="F7" t="s">
        <v>1170</v>
      </c>
      <c r="G7" t="s">
        <v>2981</v>
      </c>
      <c r="H7" s="54">
        <v>1.35</v>
      </c>
      <c r="I7" s="54">
        <v>0.19</v>
      </c>
      <c r="J7" t="s">
        <v>2814</v>
      </c>
      <c r="K7" s="54">
        <f t="shared" ref="K7:K38" si="0">SUM(H7,I7,J7)</f>
        <v>1.54</v>
      </c>
      <c r="L7" s="54">
        <v>1.49</v>
      </c>
      <c r="M7" s="54">
        <v>0.34</v>
      </c>
      <c r="N7" t="s">
        <v>2815</v>
      </c>
      <c r="O7" s="54">
        <f t="shared" ref="O7:O38" si="1">SUM(L7,M7,N7)</f>
        <v>1.83</v>
      </c>
      <c r="P7">
        <v>6.0000000000000001E-3</v>
      </c>
    </row>
    <row r="8" spans="4:16" x14ac:dyDescent="0.2">
      <c r="D8" t="s">
        <v>2982</v>
      </c>
      <c r="E8">
        <v>1</v>
      </c>
      <c r="F8" t="s">
        <v>2983</v>
      </c>
      <c r="G8" t="s">
        <v>2981</v>
      </c>
      <c r="H8" s="54">
        <v>246</v>
      </c>
      <c r="I8" s="54">
        <v>8.4</v>
      </c>
      <c r="J8" t="s">
        <v>2814</v>
      </c>
      <c r="K8" s="54">
        <f t="shared" si="0"/>
        <v>254.4</v>
      </c>
      <c r="L8" s="54">
        <v>270</v>
      </c>
      <c r="M8" s="54">
        <v>14.8</v>
      </c>
      <c r="N8" t="s">
        <v>2815</v>
      </c>
      <c r="O8" s="54">
        <f t="shared" si="1"/>
        <v>284.8</v>
      </c>
      <c r="P8">
        <v>0.25</v>
      </c>
    </row>
    <row r="9" spans="4:16" x14ac:dyDescent="0.2">
      <c r="D9" t="s">
        <v>2984</v>
      </c>
      <c r="E9">
        <v>1</v>
      </c>
      <c r="F9" t="s">
        <v>1170</v>
      </c>
      <c r="G9" t="s">
        <v>2981</v>
      </c>
      <c r="H9" s="54">
        <v>0.66</v>
      </c>
      <c r="I9" s="54">
        <v>0.19</v>
      </c>
      <c r="J9" t="s">
        <v>2814</v>
      </c>
      <c r="K9" s="54">
        <f t="shared" si="0"/>
        <v>0.85000000000000009</v>
      </c>
      <c r="L9" s="54">
        <v>0.73</v>
      </c>
      <c r="M9" s="54">
        <v>0.34</v>
      </c>
      <c r="N9" t="s">
        <v>2815</v>
      </c>
      <c r="O9" s="54">
        <f t="shared" si="1"/>
        <v>1.07</v>
      </c>
      <c r="P9">
        <v>6.0000000000000001E-3</v>
      </c>
    </row>
    <row r="10" spans="4:16" x14ac:dyDescent="0.2">
      <c r="D10" t="s">
        <v>2985</v>
      </c>
      <c r="E10">
        <v>1</v>
      </c>
      <c r="F10" t="s">
        <v>2983</v>
      </c>
      <c r="G10" t="s">
        <v>2981</v>
      </c>
      <c r="H10" s="54">
        <v>123</v>
      </c>
      <c r="I10" s="54">
        <v>6</v>
      </c>
      <c r="J10" t="s">
        <v>2814</v>
      </c>
      <c r="K10" s="54">
        <f t="shared" si="0"/>
        <v>129</v>
      </c>
      <c r="L10" s="54">
        <v>135</v>
      </c>
      <c r="M10" s="54">
        <v>10.55</v>
      </c>
      <c r="N10" t="s">
        <v>2815</v>
      </c>
      <c r="O10" s="54">
        <f t="shared" si="1"/>
        <v>145.55000000000001</v>
      </c>
      <c r="P10">
        <v>0.17799999999999999</v>
      </c>
    </row>
    <row r="11" spans="4:16" x14ac:dyDescent="0.2">
      <c r="D11" t="s">
        <v>2986</v>
      </c>
      <c r="E11">
        <v>1</v>
      </c>
      <c r="F11" t="s">
        <v>2983</v>
      </c>
      <c r="G11" t="s">
        <v>2987</v>
      </c>
      <c r="H11" s="54">
        <v>16.100000000000001</v>
      </c>
      <c r="I11" s="54">
        <v>9.1999999999999993</v>
      </c>
      <c r="J11" s="54">
        <v>3.09</v>
      </c>
      <c r="K11" s="54">
        <f t="shared" si="0"/>
        <v>28.39</v>
      </c>
      <c r="L11" s="54">
        <v>17.7</v>
      </c>
      <c r="M11" s="54">
        <v>16.2</v>
      </c>
      <c r="N11" s="54">
        <v>3.4</v>
      </c>
      <c r="O11" s="54">
        <f t="shared" si="1"/>
        <v>37.299999999999997</v>
      </c>
      <c r="P11">
        <v>0.29199999999999998</v>
      </c>
    </row>
    <row r="12" spans="4:16" x14ac:dyDescent="0.2">
      <c r="D12" t="s">
        <v>2988</v>
      </c>
      <c r="E12">
        <v>1</v>
      </c>
      <c r="F12" t="s">
        <v>1218</v>
      </c>
      <c r="G12" t="s">
        <v>2981</v>
      </c>
      <c r="H12" s="54">
        <v>0.23</v>
      </c>
      <c r="I12" s="54">
        <v>0.04</v>
      </c>
      <c r="J12" t="s">
        <v>2814</v>
      </c>
      <c r="K12" s="54">
        <f t="shared" si="0"/>
        <v>0.27</v>
      </c>
      <c r="L12" s="54">
        <v>0.25</v>
      </c>
      <c r="M12" s="54">
        <v>0.06</v>
      </c>
      <c r="N12" t="s">
        <v>2815</v>
      </c>
      <c r="O12" s="54">
        <f t="shared" si="1"/>
        <v>0.31</v>
      </c>
      <c r="P12">
        <v>1E-3</v>
      </c>
    </row>
    <row r="13" spans="4:16" x14ac:dyDescent="0.2">
      <c r="D13" t="s">
        <v>2989</v>
      </c>
      <c r="E13">
        <v>1</v>
      </c>
      <c r="F13" t="s">
        <v>1170</v>
      </c>
      <c r="G13" t="s">
        <v>2981</v>
      </c>
      <c r="H13" s="54">
        <v>3.19</v>
      </c>
      <c r="I13" s="54">
        <v>0.26</v>
      </c>
      <c r="J13" t="s">
        <v>2814</v>
      </c>
      <c r="K13" s="54">
        <f t="shared" si="0"/>
        <v>3.45</v>
      </c>
      <c r="L13" s="54">
        <v>3.51</v>
      </c>
      <c r="M13" s="54">
        <v>0.46</v>
      </c>
      <c r="N13" t="s">
        <v>2815</v>
      </c>
      <c r="O13" s="54">
        <f t="shared" si="1"/>
        <v>3.9699999999999998</v>
      </c>
      <c r="P13">
        <v>8.0000000000000002E-3</v>
      </c>
    </row>
    <row r="14" spans="4:16" x14ac:dyDescent="0.2">
      <c r="D14" t="s">
        <v>2990</v>
      </c>
      <c r="E14">
        <v>1</v>
      </c>
      <c r="F14" t="s">
        <v>2983</v>
      </c>
      <c r="G14" t="s">
        <v>2981</v>
      </c>
      <c r="H14" s="54">
        <v>370</v>
      </c>
      <c r="I14" s="54">
        <v>8.9499999999999993</v>
      </c>
      <c r="J14" t="s">
        <v>2814</v>
      </c>
      <c r="K14" s="54">
        <f t="shared" si="0"/>
        <v>378.95</v>
      </c>
      <c r="L14" s="54">
        <v>410</v>
      </c>
      <c r="M14" s="54">
        <v>15.8</v>
      </c>
      <c r="N14" t="s">
        <v>2815</v>
      </c>
      <c r="O14" s="54">
        <f t="shared" si="1"/>
        <v>425.8</v>
      </c>
      <c r="P14">
        <v>0.26700000000000002</v>
      </c>
    </row>
    <row r="15" spans="4:16" x14ac:dyDescent="0.2">
      <c r="D15" t="s">
        <v>2991</v>
      </c>
      <c r="E15">
        <v>1</v>
      </c>
      <c r="F15" t="s">
        <v>1218</v>
      </c>
      <c r="G15" t="s">
        <v>2981</v>
      </c>
      <c r="H15" s="54">
        <v>0.61</v>
      </c>
      <c r="I15" s="54">
        <v>0.22</v>
      </c>
      <c r="J15" t="s">
        <v>2814</v>
      </c>
      <c r="K15" s="54">
        <f t="shared" si="0"/>
        <v>0.83</v>
      </c>
      <c r="L15" s="54">
        <v>0.67</v>
      </c>
      <c r="M15" s="54">
        <v>0.38</v>
      </c>
      <c r="N15" t="s">
        <v>2815</v>
      </c>
      <c r="O15" s="54">
        <f t="shared" si="1"/>
        <v>1.05</v>
      </c>
      <c r="P15">
        <v>6.0000000000000001E-3</v>
      </c>
    </row>
    <row r="16" spans="4:16" x14ac:dyDescent="0.2">
      <c r="D16" t="s">
        <v>2992</v>
      </c>
      <c r="E16">
        <v>1</v>
      </c>
      <c r="F16" t="s">
        <v>1170</v>
      </c>
      <c r="G16" t="s">
        <v>2981</v>
      </c>
      <c r="H16" s="54">
        <v>2.11</v>
      </c>
      <c r="I16" s="54">
        <v>0.2</v>
      </c>
      <c r="J16" t="s">
        <v>2814</v>
      </c>
      <c r="K16" s="54">
        <f t="shared" si="0"/>
        <v>2.31</v>
      </c>
      <c r="L16" s="54">
        <v>2.3199999999999998</v>
      </c>
      <c r="M16" s="54">
        <v>0.35</v>
      </c>
      <c r="N16" t="s">
        <v>2815</v>
      </c>
      <c r="O16" s="54">
        <f t="shared" si="1"/>
        <v>2.67</v>
      </c>
      <c r="P16">
        <v>6.0000000000000001E-3</v>
      </c>
    </row>
    <row r="17" spans="4:16" x14ac:dyDescent="0.2">
      <c r="D17" t="s">
        <v>2993</v>
      </c>
      <c r="E17">
        <v>1</v>
      </c>
      <c r="F17" t="s">
        <v>1218</v>
      </c>
      <c r="G17" t="s">
        <v>2981</v>
      </c>
      <c r="H17" s="54">
        <v>1.7</v>
      </c>
      <c r="I17" s="54">
        <v>0.24</v>
      </c>
      <c r="J17" t="s">
        <v>2814</v>
      </c>
      <c r="K17" s="54">
        <f t="shared" si="0"/>
        <v>1.94</v>
      </c>
      <c r="L17" s="54">
        <v>1.87</v>
      </c>
      <c r="M17" s="54">
        <v>0.43</v>
      </c>
      <c r="N17" t="s">
        <v>2815</v>
      </c>
      <c r="O17" s="54">
        <f t="shared" si="1"/>
        <v>2.3000000000000003</v>
      </c>
      <c r="P17">
        <v>7.0000000000000001E-3</v>
      </c>
    </row>
    <row r="18" spans="4:16" x14ac:dyDescent="0.2">
      <c r="D18" t="s">
        <v>2994</v>
      </c>
      <c r="E18">
        <v>1</v>
      </c>
      <c r="F18" t="s">
        <v>1170</v>
      </c>
      <c r="G18" t="s">
        <v>2981</v>
      </c>
      <c r="H18" s="54">
        <v>0.39</v>
      </c>
      <c r="I18" s="54">
        <v>0.21</v>
      </c>
      <c r="J18" t="s">
        <v>2814</v>
      </c>
      <c r="K18" s="54">
        <f t="shared" si="0"/>
        <v>0.6</v>
      </c>
      <c r="L18" s="54">
        <v>0.43</v>
      </c>
      <c r="M18" s="54">
        <v>0.36</v>
      </c>
      <c r="N18" t="s">
        <v>2815</v>
      </c>
      <c r="O18" s="54">
        <f t="shared" si="1"/>
        <v>0.79</v>
      </c>
      <c r="P18">
        <v>6.0000000000000001E-3</v>
      </c>
    </row>
    <row r="19" spans="4:16" x14ac:dyDescent="0.2">
      <c r="D19" t="s">
        <v>2995</v>
      </c>
      <c r="E19">
        <v>1</v>
      </c>
      <c r="F19" t="s">
        <v>1170</v>
      </c>
      <c r="G19" t="s">
        <v>2981</v>
      </c>
      <c r="H19" s="54">
        <v>1.31</v>
      </c>
      <c r="I19" s="54">
        <v>0.2</v>
      </c>
      <c r="J19" t="s">
        <v>2814</v>
      </c>
      <c r="K19" s="54">
        <f t="shared" si="0"/>
        <v>1.51</v>
      </c>
      <c r="L19" s="54">
        <v>1.44</v>
      </c>
      <c r="M19" s="54">
        <v>0.36</v>
      </c>
      <c r="N19" t="s">
        <v>2815</v>
      </c>
      <c r="O19" s="54">
        <f t="shared" si="1"/>
        <v>1.7999999999999998</v>
      </c>
      <c r="P19">
        <v>6.0000000000000001E-3</v>
      </c>
    </row>
    <row r="20" spans="4:16" x14ac:dyDescent="0.2">
      <c r="D20" t="s">
        <v>2996</v>
      </c>
      <c r="E20">
        <v>1</v>
      </c>
      <c r="F20" t="s">
        <v>1170</v>
      </c>
      <c r="G20" t="s">
        <v>2981</v>
      </c>
      <c r="H20" s="54">
        <v>1.62</v>
      </c>
      <c r="I20" s="54">
        <v>0.26</v>
      </c>
      <c r="J20" t="s">
        <v>2814</v>
      </c>
      <c r="K20" s="54">
        <f t="shared" si="0"/>
        <v>1.8800000000000001</v>
      </c>
      <c r="L20" s="54">
        <v>1.78</v>
      </c>
      <c r="M20" s="54">
        <v>0.46</v>
      </c>
      <c r="N20" t="s">
        <v>2815</v>
      </c>
      <c r="O20" s="54">
        <f t="shared" si="1"/>
        <v>2.2400000000000002</v>
      </c>
      <c r="P20">
        <v>8.0000000000000002E-3</v>
      </c>
    </row>
    <row r="21" spans="4:16" x14ac:dyDescent="0.2">
      <c r="D21" t="s">
        <v>2997</v>
      </c>
      <c r="E21">
        <v>1</v>
      </c>
      <c r="F21" t="s">
        <v>1170</v>
      </c>
      <c r="G21" t="s">
        <v>2981</v>
      </c>
      <c r="H21" s="54">
        <v>2.93</v>
      </c>
      <c r="I21" s="54">
        <v>0.26</v>
      </c>
      <c r="J21" t="s">
        <v>2814</v>
      </c>
      <c r="K21" s="54">
        <f t="shared" si="0"/>
        <v>3.1900000000000004</v>
      </c>
      <c r="L21" s="54">
        <v>3.22</v>
      </c>
      <c r="M21" s="54">
        <v>0.46</v>
      </c>
      <c r="N21" t="s">
        <v>2815</v>
      </c>
      <c r="O21" s="54">
        <f t="shared" si="1"/>
        <v>3.68</v>
      </c>
      <c r="P21">
        <v>8.0000000000000002E-3</v>
      </c>
    </row>
    <row r="22" spans="4:16" x14ac:dyDescent="0.2">
      <c r="D22" t="s">
        <v>2998</v>
      </c>
      <c r="E22">
        <v>1</v>
      </c>
      <c r="F22" t="s">
        <v>2983</v>
      </c>
      <c r="G22" t="s">
        <v>2987</v>
      </c>
      <c r="H22" s="54">
        <v>8.0500000000000007</v>
      </c>
      <c r="I22" s="54">
        <v>6</v>
      </c>
      <c r="J22" s="54">
        <v>2.0099999999999998</v>
      </c>
      <c r="K22" s="54">
        <f t="shared" si="0"/>
        <v>16.060000000000002</v>
      </c>
      <c r="L22" s="54">
        <v>8.85</v>
      </c>
      <c r="M22" s="54">
        <v>10.55</v>
      </c>
      <c r="N22" s="54">
        <v>2.2200000000000002</v>
      </c>
      <c r="O22" s="54">
        <f t="shared" si="1"/>
        <v>21.619999999999997</v>
      </c>
      <c r="P22">
        <v>0.19</v>
      </c>
    </row>
    <row r="23" spans="4:16" x14ac:dyDescent="0.2">
      <c r="D23" t="s">
        <v>2999</v>
      </c>
      <c r="E23">
        <v>1</v>
      </c>
      <c r="F23" t="s">
        <v>1170</v>
      </c>
      <c r="G23" t="s">
        <v>2981</v>
      </c>
      <c r="H23" s="54">
        <v>3.2</v>
      </c>
      <c r="I23" s="54">
        <v>0.21</v>
      </c>
      <c r="J23" t="s">
        <v>2814</v>
      </c>
      <c r="K23" s="54">
        <f t="shared" si="0"/>
        <v>3.41</v>
      </c>
      <c r="L23" s="54">
        <v>3.52</v>
      </c>
      <c r="M23" s="54">
        <v>0.36</v>
      </c>
      <c r="N23" t="s">
        <v>2815</v>
      </c>
      <c r="O23" s="54">
        <f t="shared" si="1"/>
        <v>3.88</v>
      </c>
      <c r="P23">
        <v>6.0000000000000001E-3</v>
      </c>
    </row>
    <row r="24" spans="4:16" x14ac:dyDescent="0.2">
      <c r="D24" t="s">
        <v>3000</v>
      </c>
      <c r="E24">
        <v>1</v>
      </c>
      <c r="F24" t="s">
        <v>1218</v>
      </c>
      <c r="G24" t="s">
        <v>2981</v>
      </c>
      <c r="H24" s="54">
        <v>0.19</v>
      </c>
      <c r="I24" s="54">
        <v>0.09</v>
      </c>
      <c r="J24" t="s">
        <v>2814</v>
      </c>
      <c r="K24" s="54">
        <f t="shared" si="0"/>
        <v>0.28000000000000003</v>
      </c>
      <c r="L24" s="54">
        <v>0.21</v>
      </c>
      <c r="M24" s="54">
        <v>0.15</v>
      </c>
      <c r="N24" t="s">
        <v>2815</v>
      </c>
      <c r="O24" s="54">
        <f t="shared" si="1"/>
        <v>0.36</v>
      </c>
      <c r="P24">
        <v>3.0000000000000001E-3</v>
      </c>
    </row>
    <row r="25" spans="4:16" x14ac:dyDescent="0.2">
      <c r="D25" t="s">
        <v>3001</v>
      </c>
      <c r="E25">
        <v>1</v>
      </c>
      <c r="F25" t="s">
        <v>1218</v>
      </c>
      <c r="G25" t="s">
        <v>2981</v>
      </c>
      <c r="H25" s="54">
        <v>0.32</v>
      </c>
      <c r="I25" s="54">
        <v>0.1</v>
      </c>
      <c r="J25" t="s">
        <v>2814</v>
      </c>
      <c r="K25" s="54">
        <f t="shared" si="0"/>
        <v>0.42000000000000004</v>
      </c>
      <c r="L25" s="54">
        <v>0.35</v>
      </c>
      <c r="M25" s="54">
        <v>0.18</v>
      </c>
      <c r="N25" t="s">
        <v>2815</v>
      </c>
      <c r="O25" s="54">
        <f t="shared" si="1"/>
        <v>0.53</v>
      </c>
      <c r="P25">
        <v>3.0000000000000001E-3</v>
      </c>
    </row>
    <row r="26" spans="4:16" x14ac:dyDescent="0.2">
      <c r="D26" t="s">
        <v>3002</v>
      </c>
      <c r="E26">
        <v>1</v>
      </c>
      <c r="F26" t="s">
        <v>1218</v>
      </c>
      <c r="G26" t="s">
        <v>2981</v>
      </c>
      <c r="H26" s="54">
        <v>0.38</v>
      </c>
      <c r="I26" s="54">
        <v>0.12</v>
      </c>
      <c r="J26" t="s">
        <v>2814</v>
      </c>
      <c r="K26" s="54">
        <f t="shared" si="0"/>
        <v>0.5</v>
      </c>
      <c r="L26" s="54">
        <v>0.42</v>
      </c>
      <c r="M26" s="54">
        <v>0.2</v>
      </c>
      <c r="N26" t="s">
        <v>2815</v>
      </c>
      <c r="O26" s="54">
        <f t="shared" si="1"/>
        <v>0.62</v>
      </c>
      <c r="P26">
        <v>3.0000000000000001E-3</v>
      </c>
    </row>
    <row r="27" spans="4:16" x14ac:dyDescent="0.2">
      <c r="D27" t="s">
        <v>3003</v>
      </c>
      <c r="E27">
        <v>1</v>
      </c>
      <c r="F27" t="s">
        <v>1218</v>
      </c>
      <c r="G27" t="s">
        <v>2981</v>
      </c>
      <c r="H27" s="54">
        <v>2.2000000000000002</v>
      </c>
      <c r="I27" s="54">
        <v>0.28999999999999998</v>
      </c>
      <c r="J27" t="s">
        <v>2814</v>
      </c>
      <c r="K27" s="54">
        <f t="shared" si="0"/>
        <v>2.4900000000000002</v>
      </c>
      <c r="L27" s="54">
        <v>2.42</v>
      </c>
      <c r="M27" s="54">
        <v>0.51</v>
      </c>
      <c r="N27" t="s">
        <v>2815</v>
      </c>
      <c r="O27" s="54">
        <f t="shared" si="1"/>
        <v>2.9299999999999997</v>
      </c>
      <c r="P27">
        <v>8.9999999999999993E-3</v>
      </c>
    </row>
    <row r="28" spans="4:16" x14ac:dyDescent="0.2">
      <c r="D28" t="s">
        <v>3004</v>
      </c>
      <c r="E28">
        <v>1</v>
      </c>
      <c r="F28" t="s">
        <v>1170</v>
      </c>
      <c r="G28" t="s">
        <v>2981</v>
      </c>
      <c r="H28" s="54">
        <v>4.03</v>
      </c>
      <c r="I28" s="54">
        <v>0.21</v>
      </c>
      <c r="J28" t="s">
        <v>2814</v>
      </c>
      <c r="K28" s="54">
        <f t="shared" si="0"/>
        <v>4.24</v>
      </c>
      <c r="L28" s="54">
        <v>4.43</v>
      </c>
      <c r="M28" s="54">
        <v>0.37</v>
      </c>
      <c r="N28" t="s">
        <v>2815</v>
      </c>
      <c r="O28" s="54">
        <f t="shared" si="1"/>
        <v>4.8</v>
      </c>
      <c r="P28">
        <v>6.0000000000000001E-3</v>
      </c>
    </row>
    <row r="29" spans="4:16" x14ac:dyDescent="0.2">
      <c r="D29" t="s">
        <v>3005</v>
      </c>
      <c r="E29">
        <v>1</v>
      </c>
      <c r="F29" t="s">
        <v>1170</v>
      </c>
      <c r="G29" t="s">
        <v>2981</v>
      </c>
      <c r="H29" s="54">
        <v>3.35</v>
      </c>
      <c r="I29" s="54">
        <v>0.26</v>
      </c>
      <c r="J29" t="s">
        <v>2814</v>
      </c>
      <c r="K29" s="54">
        <f t="shared" si="0"/>
        <v>3.6100000000000003</v>
      </c>
      <c r="L29" s="54">
        <v>3.69</v>
      </c>
      <c r="M29" s="54">
        <v>0.46</v>
      </c>
      <c r="N29" t="s">
        <v>2815</v>
      </c>
      <c r="O29" s="54">
        <f t="shared" si="1"/>
        <v>4.1500000000000004</v>
      </c>
      <c r="P29">
        <v>8.0000000000000002E-3</v>
      </c>
    </row>
    <row r="30" spans="4:16" x14ac:dyDescent="0.2">
      <c r="D30" t="s">
        <v>3006</v>
      </c>
      <c r="E30">
        <v>1</v>
      </c>
      <c r="F30" t="s">
        <v>3007</v>
      </c>
      <c r="G30" t="s">
        <v>2981</v>
      </c>
      <c r="H30" s="54">
        <v>0.89</v>
      </c>
      <c r="I30" s="54">
        <v>0.14000000000000001</v>
      </c>
      <c r="J30" t="s">
        <v>2814</v>
      </c>
      <c r="K30" s="54">
        <f t="shared" si="0"/>
        <v>1.03</v>
      </c>
      <c r="L30" s="54">
        <v>0.98</v>
      </c>
      <c r="M30" s="54">
        <v>0.24</v>
      </c>
      <c r="N30" t="s">
        <v>2815</v>
      </c>
      <c r="O30" s="54">
        <f t="shared" si="1"/>
        <v>1.22</v>
      </c>
      <c r="P30">
        <v>4.0000000000000001E-3</v>
      </c>
    </row>
    <row r="31" spans="4:16" x14ac:dyDescent="0.2">
      <c r="D31" t="s">
        <v>3008</v>
      </c>
      <c r="E31">
        <v>1</v>
      </c>
      <c r="F31" t="s">
        <v>1170</v>
      </c>
      <c r="G31" t="s">
        <v>2981</v>
      </c>
      <c r="H31" s="54">
        <v>0.34</v>
      </c>
      <c r="I31" s="54">
        <v>0.14000000000000001</v>
      </c>
      <c r="J31" t="s">
        <v>2814</v>
      </c>
      <c r="K31" s="54">
        <f t="shared" si="0"/>
        <v>0.48000000000000004</v>
      </c>
      <c r="L31" s="54">
        <v>0.37</v>
      </c>
      <c r="M31" s="54">
        <v>0.24</v>
      </c>
      <c r="N31" t="s">
        <v>2815</v>
      </c>
      <c r="O31" s="54">
        <f t="shared" si="1"/>
        <v>0.61</v>
      </c>
      <c r="P31">
        <v>4.0000000000000001E-3</v>
      </c>
    </row>
    <row r="32" spans="4:16" x14ac:dyDescent="0.2">
      <c r="D32" t="s">
        <v>3009</v>
      </c>
      <c r="E32">
        <v>1</v>
      </c>
      <c r="F32" t="s">
        <v>1170</v>
      </c>
      <c r="G32" t="s">
        <v>2981</v>
      </c>
      <c r="H32" s="54">
        <v>1.35</v>
      </c>
      <c r="I32" s="54">
        <v>0.24</v>
      </c>
      <c r="J32" t="s">
        <v>2814</v>
      </c>
      <c r="K32" s="54">
        <f t="shared" si="0"/>
        <v>1.59</v>
      </c>
      <c r="L32" s="54">
        <v>1.49</v>
      </c>
      <c r="M32" s="54">
        <v>0.43</v>
      </c>
      <c r="N32" t="s">
        <v>2815</v>
      </c>
      <c r="O32" s="54">
        <f t="shared" si="1"/>
        <v>1.92</v>
      </c>
      <c r="P32">
        <v>7.0000000000000001E-3</v>
      </c>
    </row>
    <row r="33" spans="4:16" x14ac:dyDescent="0.2">
      <c r="D33" t="s">
        <v>3010</v>
      </c>
      <c r="E33">
        <v>1</v>
      </c>
      <c r="F33" t="s">
        <v>1218</v>
      </c>
      <c r="G33" t="s">
        <v>2981</v>
      </c>
      <c r="H33" s="54">
        <v>0.7</v>
      </c>
      <c r="I33" s="54">
        <v>0.14000000000000001</v>
      </c>
      <c r="J33" t="s">
        <v>2814</v>
      </c>
      <c r="K33" s="54">
        <f t="shared" si="0"/>
        <v>0.84</v>
      </c>
      <c r="L33" s="54">
        <v>0.77</v>
      </c>
      <c r="M33" s="54">
        <v>0.25</v>
      </c>
      <c r="N33" t="s">
        <v>2815</v>
      </c>
      <c r="O33" s="54">
        <f t="shared" si="1"/>
        <v>1.02</v>
      </c>
      <c r="P33">
        <v>4.0000000000000001E-3</v>
      </c>
    </row>
    <row r="34" spans="4:16" x14ac:dyDescent="0.2">
      <c r="D34" t="s">
        <v>3011</v>
      </c>
      <c r="E34">
        <v>1</v>
      </c>
      <c r="F34" t="s">
        <v>1170</v>
      </c>
      <c r="G34" t="s">
        <v>2981</v>
      </c>
      <c r="H34" s="54">
        <v>0.84</v>
      </c>
      <c r="I34" s="54">
        <v>0.17</v>
      </c>
      <c r="J34" t="s">
        <v>2814</v>
      </c>
      <c r="K34" s="54">
        <f t="shared" si="0"/>
        <v>1.01</v>
      </c>
      <c r="L34" s="54">
        <v>0.92</v>
      </c>
      <c r="M34" s="54">
        <v>0.28999999999999998</v>
      </c>
      <c r="N34" t="s">
        <v>2815</v>
      </c>
      <c r="O34" s="54">
        <f t="shared" si="1"/>
        <v>1.21</v>
      </c>
      <c r="P34">
        <v>5.0000000000000001E-3</v>
      </c>
    </row>
    <row r="35" spans="4:16" x14ac:dyDescent="0.2">
      <c r="D35" t="s">
        <v>3012</v>
      </c>
      <c r="E35">
        <v>1</v>
      </c>
      <c r="F35" t="s">
        <v>1218</v>
      </c>
      <c r="G35" t="s">
        <v>2981</v>
      </c>
      <c r="H35" s="54">
        <v>7.0000000000000007E-2</v>
      </c>
      <c r="I35" s="54">
        <v>7.0000000000000007E-2</v>
      </c>
      <c r="J35" t="s">
        <v>2814</v>
      </c>
      <c r="K35" s="54">
        <f t="shared" si="0"/>
        <v>0.14000000000000001</v>
      </c>
      <c r="L35" s="54">
        <v>0.08</v>
      </c>
      <c r="M35" s="54">
        <v>0.13</v>
      </c>
      <c r="N35" t="s">
        <v>2815</v>
      </c>
      <c r="O35" s="54">
        <f t="shared" si="1"/>
        <v>0.21000000000000002</v>
      </c>
      <c r="P35">
        <v>2E-3</v>
      </c>
    </row>
    <row r="36" spans="4:16" x14ac:dyDescent="0.2">
      <c r="D36" t="s">
        <v>3013</v>
      </c>
      <c r="E36">
        <v>1</v>
      </c>
      <c r="F36" t="s">
        <v>1170</v>
      </c>
      <c r="G36" t="s">
        <v>2981</v>
      </c>
      <c r="H36" s="54">
        <v>0.88</v>
      </c>
      <c r="I36" s="54">
        <v>0.14000000000000001</v>
      </c>
      <c r="J36" t="s">
        <v>2814</v>
      </c>
      <c r="K36" s="54">
        <f t="shared" si="0"/>
        <v>1.02</v>
      </c>
      <c r="L36" s="54">
        <v>0.97</v>
      </c>
      <c r="M36" s="54">
        <v>0.24</v>
      </c>
      <c r="N36" t="s">
        <v>2815</v>
      </c>
      <c r="O36" s="54">
        <f t="shared" si="1"/>
        <v>1.21</v>
      </c>
      <c r="P36">
        <v>4.0000000000000001E-3</v>
      </c>
    </row>
    <row r="37" spans="4:16" x14ac:dyDescent="0.2">
      <c r="D37" t="s">
        <v>3014</v>
      </c>
      <c r="E37">
        <v>1</v>
      </c>
      <c r="F37" t="s">
        <v>1170</v>
      </c>
      <c r="G37" t="s">
        <v>2981</v>
      </c>
      <c r="H37" s="54">
        <v>0.68</v>
      </c>
      <c r="I37" s="54">
        <v>0.17</v>
      </c>
      <c r="J37" t="s">
        <v>2814</v>
      </c>
      <c r="K37" s="54">
        <f t="shared" si="0"/>
        <v>0.85000000000000009</v>
      </c>
      <c r="L37" s="54">
        <v>0.75</v>
      </c>
      <c r="M37" s="54">
        <v>0.28999999999999998</v>
      </c>
      <c r="N37" t="s">
        <v>2815</v>
      </c>
      <c r="O37" s="54">
        <f t="shared" si="1"/>
        <v>1.04</v>
      </c>
      <c r="P37">
        <v>5.0000000000000001E-3</v>
      </c>
    </row>
    <row r="38" spans="4:16" x14ac:dyDescent="0.2">
      <c r="D38" t="s">
        <v>3015</v>
      </c>
      <c r="E38">
        <v>1</v>
      </c>
      <c r="F38" t="s">
        <v>1170</v>
      </c>
      <c r="G38" t="s">
        <v>2981</v>
      </c>
      <c r="H38" s="54">
        <v>2.04</v>
      </c>
      <c r="I38" s="54">
        <v>0.18</v>
      </c>
      <c r="J38" t="s">
        <v>2814</v>
      </c>
      <c r="K38" s="54">
        <f t="shared" si="0"/>
        <v>2.2200000000000002</v>
      </c>
      <c r="L38" s="54">
        <v>2.2400000000000002</v>
      </c>
      <c r="M38" s="54">
        <v>0.32</v>
      </c>
      <c r="N38" t="s">
        <v>2815</v>
      </c>
      <c r="O38" s="54">
        <f t="shared" si="1"/>
        <v>2.56</v>
      </c>
      <c r="P38">
        <v>5.0000000000000001E-3</v>
      </c>
    </row>
    <row r="39" spans="4:16" x14ac:dyDescent="0.2">
      <c r="D39" t="s">
        <v>3016</v>
      </c>
      <c r="E39">
        <v>1</v>
      </c>
      <c r="F39" t="s">
        <v>1170</v>
      </c>
      <c r="G39" t="s">
        <v>2981</v>
      </c>
      <c r="H39" s="54">
        <v>1.52</v>
      </c>
      <c r="I39" s="54">
        <v>0.17</v>
      </c>
      <c r="J39" t="s">
        <v>2814</v>
      </c>
      <c r="K39" s="54">
        <f t="shared" ref="K39:K70" si="2">SUM(H39,I39,J39)</f>
        <v>1.69</v>
      </c>
      <c r="L39" s="54">
        <v>1.67</v>
      </c>
      <c r="M39" s="54">
        <v>0.28999999999999998</v>
      </c>
      <c r="N39" t="s">
        <v>2815</v>
      </c>
      <c r="O39" s="54">
        <f t="shared" ref="O39:O70" si="3">SUM(L39,M39,N39)</f>
        <v>1.96</v>
      </c>
      <c r="P39">
        <v>5.0000000000000001E-3</v>
      </c>
    </row>
    <row r="40" spans="4:16" x14ac:dyDescent="0.2">
      <c r="D40" t="s">
        <v>3017</v>
      </c>
      <c r="E40">
        <v>1</v>
      </c>
      <c r="F40" t="s">
        <v>1170</v>
      </c>
      <c r="G40" t="s">
        <v>2981</v>
      </c>
      <c r="H40" s="54">
        <v>3.77</v>
      </c>
      <c r="I40" s="54">
        <v>0.21</v>
      </c>
      <c r="J40" t="s">
        <v>2814</v>
      </c>
      <c r="K40" s="54">
        <f t="shared" si="2"/>
        <v>3.98</v>
      </c>
      <c r="L40" s="54">
        <v>4.1399999999999997</v>
      </c>
      <c r="M40" s="54">
        <v>0.36</v>
      </c>
      <c r="N40" t="s">
        <v>2815</v>
      </c>
      <c r="O40" s="54">
        <f t="shared" si="3"/>
        <v>4.5</v>
      </c>
      <c r="P40">
        <v>6.0000000000000001E-3</v>
      </c>
    </row>
    <row r="41" spans="4:16" x14ac:dyDescent="0.2">
      <c r="D41" t="s">
        <v>3018</v>
      </c>
      <c r="E41">
        <v>1</v>
      </c>
      <c r="F41" t="s">
        <v>1170</v>
      </c>
      <c r="G41" t="s">
        <v>2981</v>
      </c>
      <c r="H41" s="54">
        <v>1.02</v>
      </c>
      <c r="I41" s="54">
        <v>0.17</v>
      </c>
      <c r="J41" t="s">
        <v>2814</v>
      </c>
      <c r="K41" s="54">
        <f t="shared" si="2"/>
        <v>1.19</v>
      </c>
      <c r="L41" s="54">
        <v>1.1200000000000001</v>
      </c>
      <c r="M41" s="54">
        <v>0.28999999999999998</v>
      </c>
      <c r="N41" t="s">
        <v>2815</v>
      </c>
      <c r="O41" s="54">
        <f t="shared" si="3"/>
        <v>1.4100000000000001</v>
      </c>
      <c r="P41">
        <v>5.0000000000000001E-3</v>
      </c>
    </row>
    <row r="42" spans="4:16" x14ac:dyDescent="0.2">
      <c r="D42" t="s">
        <v>3019</v>
      </c>
      <c r="E42">
        <v>1</v>
      </c>
      <c r="F42" t="s">
        <v>1170</v>
      </c>
      <c r="G42" t="s">
        <v>2981</v>
      </c>
      <c r="H42" s="54">
        <v>1.36</v>
      </c>
      <c r="I42" s="54">
        <v>0.17</v>
      </c>
      <c r="J42" t="s">
        <v>2814</v>
      </c>
      <c r="K42" s="54">
        <f t="shared" si="2"/>
        <v>1.53</v>
      </c>
      <c r="L42" s="54">
        <v>1.5</v>
      </c>
      <c r="M42" s="54">
        <v>0.28999999999999998</v>
      </c>
      <c r="N42" t="s">
        <v>2815</v>
      </c>
      <c r="O42" s="54">
        <f t="shared" si="3"/>
        <v>1.79</v>
      </c>
      <c r="P42">
        <v>5.0000000000000001E-3</v>
      </c>
    </row>
    <row r="43" spans="4:16" x14ac:dyDescent="0.2">
      <c r="D43" t="s">
        <v>3020</v>
      </c>
      <c r="E43">
        <v>1</v>
      </c>
      <c r="F43" t="s">
        <v>1170</v>
      </c>
      <c r="G43" t="s">
        <v>2981</v>
      </c>
      <c r="H43" s="54">
        <v>1.37</v>
      </c>
      <c r="I43" s="54">
        <v>0.14000000000000001</v>
      </c>
      <c r="J43" t="s">
        <v>2814</v>
      </c>
      <c r="K43" s="54">
        <f t="shared" si="2"/>
        <v>1.5100000000000002</v>
      </c>
      <c r="L43" s="54">
        <v>1.51</v>
      </c>
      <c r="M43" s="54">
        <v>0.24</v>
      </c>
      <c r="N43" t="s">
        <v>2815</v>
      </c>
      <c r="O43" s="54">
        <f t="shared" si="3"/>
        <v>1.75</v>
      </c>
      <c r="P43">
        <v>4.0000000000000001E-3</v>
      </c>
    </row>
    <row r="44" spans="4:16" x14ac:dyDescent="0.2">
      <c r="D44" t="s">
        <v>3021</v>
      </c>
      <c r="E44">
        <v>1</v>
      </c>
      <c r="F44" t="s">
        <v>1170</v>
      </c>
      <c r="G44" t="s">
        <v>2981</v>
      </c>
      <c r="H44" s="54">
        <v>2.4700000000000002</v>
      </c>
      <c r="I44" s="54">
        <v>0.17</v>
      </c>
      <c r="J44" t="s">
        <v>2814</v>
      </c>
      <c r="K44" s="54">
        <f t="shared" si="2"/>
        <v>2.64</v>
      </c>
      <c r="L44" s="54">
        <v>2.72</v>
      </c>
      <c r="M44" s="54">
        <v>0.3</v>
      </c>
      <c r="N44" t="s">
        <v>2815</v>
      </c>
      <c r="O44" s="54">
        <f t="shared" si="3"/>
        <v>3.02</v>
      </c>
      <c r="P44">
        <v>5.0000000000000001E-3</v>
      </c>
    </row>
    <row r="45" spans="4:16" x14ac:dyDescent="0.2">
      <c r="D45" t="s">
        <v>3022</v>
      </c>
      <c r="E45">
        <v>1</v>
      </c>
      <c r="F45" t="s">
        <v>1170</v>
      </c>
      <c r="G45" t="s">
        <v>2981</v>
      </c>
      <c r="H45" s="54">
        <v>2.3199999999999998</v>
      </c>
      <c r="I45" s="54">
        <v>0.21</v>
      </c>
      <c r="J45" t="s">
        <v>2814</v>
      </c>
      <c r="K45" s="54">
        <f t="shared" si="2"/>
        <v>2.5299999999999998</v>
      </c>
      <c r="L45" s="54">
        <v>2.5499999999999998</v>
      </c>
      <c r="M45" s="54">
        <v>0.36</v>
      </c>
      <c r="N45" t="s">
        <v>2815</v>
      </c>
      <c r="O45" s="54">
        <f t="shared" si="3"/>
        <v>2.9099999999999997</v>
      </c>
      <c r="P45">
        <v>6.0000000000000001E-3</v>
      </c>
    </row>
    <row r="46" spans="4:16" x14ac:dyDescent="0.2">
      <c r="D46" t="s">
        <v>3023</v>
      </c>
      <c r="E46">
        <v>1</v>
      </c>
      <c r="H46" t="s">
        <v>3024</v>
      </c>
      <c r="I46" t="s">
        <v>2815</v>
      </c>
      <c r="J46" t="s">
        <v>2814</v>
      </c>
      <c r="K46" s="54">
        <f t="shared" si="2"/>
        <v>0</v>
      </c>
      <c r="L46" t="s">
        <v>2815</v>
      </c>
      <c r="M46" t="s">
        <v>2830</v>
      </c>
      <c r="N46" t="s">
        <v>2815</v>
      </c>
      <c r="O46" s="54">
        <f t="shared" si="3"/>
        <v>0</v>
      </c>
      <c r="P46">
        <v>0</v>
      </c>
    </row>
    <row r="47" spans="4:16" x14ac:dyDescent="0.2">
      <c r="D47" t="s">
        <v>3025</v>
      </c>
      <c r="E47">
        <v>1</v>
      </c>
      <c r="F47" t="s">
        <v>1170</v>
      </c>
      <c r="G47" t="s">
        <v>2981</v>
      </c>
      <c r="H47" s="54">
        <v>1.3</v>
      </c>
      <c r="I47" s="54">
        <v>0.14000000000000001</v>
      </c>
      <c r="J47" t="s">
        <v>2814</v>
      </c>
      <c r="K47" s="54">
        <f t="shared" si="2"/>
        <v>1.44</v>
      </c>
      <c r="L47" s="54">
        <v>1.43</v>
      </c>
      <c r="M47" s="54">
        <v>0.25</v>
      </c>
      <c r="N47" t="s">
        <v>2815</v>
      </c>
      <c r="O47" s="54">
        <f t="shared" si="3"/>
        <v>1.68</v>
      </c>
      <c r="P47">
        <v>4.0000000000000001E-3</v>
      </c>
    </row>
    <row r="48" spans="4:16" x14ac:dyDescent="0.2">
      <c r="D48" t="s">
        <v>3026</v>
      </c>
      <c r="E48">
        <v>1</v>
      </c>
      <c r="F48" t="s">
        <v>3007</v>
      </c>
      <c r="G48" t="s">
        <v>2981</v>
      </c>
      <c r="H48" s="54">
        <v>1.33</v>
      </c>
      <c r="I48" s="54">
        <v>0.15</v>
      </c>
      <c r="J48" t="s">
        <v>2814</v>
      </c>
      <c r="K48" s="54">
        <f t="shared" si="2"/>
        <v>1.48</v>
      </c>
      <c r="L48" s="54">
        <v>1.46</v>
      </c>
      <c r="M48" s="54">
        <v>0.26</v>
      </c>
      <c r="N48" t="s">
        <v>2815</v>
      </c>
      <c r="O48" s="54">
        <f t="shared" si="3"/>
        <v>1.72</v>
      </c>
      <c r="P48">
        <v>4.0000000000000001E-3</v>
      </c>
    </row>
    <row r="49" spans="4:16" x14ac:dyDescent="0.2">
      <c r="D49" t="s">
        <v>3027</v>
      </c>
      <c r="E49">
        <v>1</v>
      </c>
      <c r="F49" t="s">
        <v>3007</v>
      </c>
      <c r="G49" t="s">
        <v>2981</v>
      </c>
      <c r="H49" s="54">
        <v>0.69</v>
      </c>
      <c r="I49" s="54">
        <v>0.14000000000000001</v>
      </c>
      <c r="J49" t="s">
        <v>2814</v>
      </c>
      <c r="K49" s="54">
        <f t="shared" si="2"/>
        <v>0.83</v>
      </c>
      <c r="L49" s="54">
        <v>0.76</v>
      </c>
      <c r="M49" s="54">
        <v>0.24</v>
      </c>
      <c r="N49" t="s">
        <v>2815</v>
      </c>
      <c r="O49" s="54">
        <f t="shared" si="3"/>
        <v>1</v>
      </c>
      <c r="P49">
        <v>4.0000000000000001E-3</v>
      </c>
    </row>
    <row r="50" spans="4:16" x14ac:dyDescent="0.2">
      <c r="D50" t="s">
        <v>3028</v>
      </c>
      <c r="E50">
        <v>1</v>
      </c>
      <c r="F50" t="s">
        <v>1170</v>
      </c>
      <c r="G50" t="s">
        <v>2981</v>
      </c>
      <c r="H50" s="54">
        <v>3.08</v>
      </c>
      <c r="I50" s="54">
        <v>0.21</v>
      </c>
      <c r="J50" t="s">
        <v>2814</v>
      </c>
      <c r="K50" s="54">
        <f t="shared" si="2"/>
        <v>3.29</v>
      </c>
      <c r="L50" s="54">
        <v>3.39</v>
      </c>
      <c r="M50" s="54">
        <v>0.36</v>
      </c>
      <c r="N50" t="s">
        <v>2815</v>
      </c>
      <c r="O50" s="54">
        <f t="shared" si="3"/>
        <v>3.75</v>
      </c>
      <c r="P50">
        <v>6.0000000000000001E-3</v>
      </c>
    </row>
    <row r="51" spans="4:16" x14ac:dyDescent="0.2">
      <c r="D51" t="s">
        <v>3029</v>
      </c>
      <c r="E51">
        <v>1</v>
      </c>
      <c r="F51" t="s">
        <v>1170</v>
      </c>
      <c r="G51" t="s">
        <v>2981</v>
      </c>
      <c r="H51" s="54">
        <v>2.6</v>
      </c>
      <c r="I51" s="54">
        <v>0.17</v>
      </c>
      <c r="J51" t="s">
        <v>2814</v>
      </c>
      <c r="K51" s="54">
        <f t="shared" si="2"/>
        <v>2.77</v>
      </c>
      <c r="L51" s="54">
        <v>2.86</v>
      </c>
      <c r="M51" s="54">
        <v>0.28999999999999998</v>
      </c>
      <c r="N51" t="s">
        <v>2815</v>
      </c>
      <c r="O51" s="54">
        <f t="shared" si="3"/>
        <v>3.15</v>
      </c>
      <c r="P51">
        <v>5.0000000000000001E-3</v>
      </c>
    </row>
    <row r="52" spans="4:16" x14ac:dyDescent="0.2">
      <c r="D52" t="s">
        <v>3030</v>
      </c>
      <c r="E52">
        <v>1</v>
      </c>
      <c r="F52" t="s">
        <v>1170</v>
      </c>
      <c r="G52" t="s">
        <v>2981</v>
      </c>
      <c r="H52" s="54">
        <v>1.67</v>
      </c>
      <c r="I52" s="54">
        <v>0.19</v>
      </c>
      <c r="J52" t="s">
        <v>2814</v>
      </c>
      <c r="K52" s="54">
        <f t="shared" si="2"/>
        <v>1.8599999999999999</v>
      </c>
      <c r="L52" s="54">
        <v>1.84</v>
      </c>
      <c r="M52" s="54">
        <v>0.33</v>
      </c>
      <c r="N52" t="s">
        <v>2815</v>
      </c>
      <c r="O52" s="54">
        <f t="shared" si="3"/>
        <v>2.17</v>
      </c>
      <c r="P52">
        <v>6.0000000000000001E-3</v>
      </c>
    </row>
    <row r="53" spans="4:16" x14ac:dyDescent="0.2">
      <c r="D53" t="s">
        <v>3031</v>
      </c>
      <c r="E53">
        <v>1</v>
      </c>
      <c r="F53" t="s">
        <v>1170</v>
      </c>
      <c r="G53" t="s">
        <v>2981</v>
      </c>
      <c r="H53" s="54">
        <v>2.29</v>
      </c>
      <c r="I53" s="54">
        <v>0.21</v>
      </c>
      <c r="J53" t="s">
        <v>2814</v>
      </c>
      <c r="K53" s="54">
        <f t="shared" si="2"/>
        <v>2.5</v>
      </c>
      <c r="L53" s="54">
        <v>2.52</v>
      </c>
      <c r="M53" s="54">
        <v>0.36</v>
      </c>
      <c r="N53" t="s">
        <v>2815</v>
      </c>
      <c r="O53" s="54">
        <f t="shared" si="3"/>
        <v>2.88</v>
      </c>
      <c r="P53">
        <v>6.0000000000000001E-3</v>
      </c>
    </row>
    <row r="54" spans="4:16" x14ac:dyDescent="0.2">
      <c r="D54" t="s">
        <v>3032</v>
      </c>
      <c r="E54">
        <v>1</v>
      </c>
      <c r="F54" t="s">
        <v>3007</v>
      </c>
      <c r="G54" t="s">
        <v>2981</v>
      </c>
      <c r="H54" s="54">
        <v>1.6</v>
      </c>
      <c r="I54" s="54">
        <v>0.26</v>
      </c>
      <c r="J54" t="s">
        <v>2814</v>
      </c>
      <c r="K54" s="54">
        <f t="shared" si="2"/>
        <v>1.86</v>
      </c>
      <c r="L54" s="54">
        <v>1.76</v>
      </c>
      <c r="M54" s="54">
        <v>0.46</v>
      </c>
      <c r="N54" t="s">
        <v>2815</v>
      </c>
      <c r="O54" s="54">
        <f t="shared" si="3"/>
        <v>2.2200000000000002</v>
      </c>
      <c r="P54">
        <v>8.0000000000000002E-3</v>
      </c>
    </row>
    <row r="55" spans="4:16" x14ac:dyDescent="0.2">
      <c r="D55" t="s">
        <v>3033</v>
      </c>
      <c r="E55">
        <v>1</v>
      </c>
      <c r="F55" t="s">
        <v>1170</v>
      </c>
      <c r="G55" t="s">
        <v>2981</v>
      </c>
      <c r="H55" s="54">
        <v>2.94</v>
      </c>
      <c r="I55" s="54">
        <v>0.21</v>
      </c>
      <c r="J55" t="s">
        <v>2814</v>
      </c>
      <c r="K55" s="54">
        <f t="shared" si="2"/>
        <v>3.15</v>
      </c>
      <c r="L55" s="54">
        <v>3.23</v>
      </c>
      <c r="M55" s="54">
        <v>0.36</v>
      </c>
      <c r="N55" t="s">
        <v>2815</v>
      </c>
      <c r="O55" s="54">
        <f t="shared" si="3"/>
        <v>3.59</v>
      </c>
      <c r="P55">
        <v>6.0000000000000001E-3</v>
      </c>
    </row>
    <row r="56" spans="4:16" x14ac:dyDescent="0.2">
      <c r="D56" t="s">
        <v>3034</v>
      </c>
      <c r="E56">
        <v>1</v>
      </c>
      <c r="F56" t="s">
        <v>1170</v>
      </c>
      <c r="G56" t="s">
        <v>2981</v>
      </c>
      <c r="H56" s="54">
        <v>0.93</v>
      </c>
      <c r="I56" s="54">
        <v>0.22</v>
      </c>
      <c r="J56" t="s">
        <v>2814</v>
      </c>
      <c r="K56" s="54">
        <f t="shared" si="2"/>
        <v>1.1500000000000001</v>
      </c>
      <c r="L56" s="54">
        <v>1.02</v>
      </c>
      <c r="M56" s="54">
        <v>0.4</v>
      </c>
      <c r="N56" t="s">
        <v>2815</v>
      </c>
      <c r="O56" s="54">
        <f t="shared" si="3"/>
        <v>1.42</v>
      </c>
      <c r="P56">
        <v>7.0000000000000001E-3</v>
      </c>
    </row>
    <row r="57" spans="4:16" x14ac:dyDescent="0.2">
      <c r="D57" t="s">
        <v>3035</v>
      </c>
      <c r="E57">
        <v>1</v>
      </c>
      <c r="F57" t="s">
        <v>1170</v>
      </c>
      <c r="G57" t="s">
        <v>2981</v>
      </c>
      <c r="H57" s="54">
        <v>2.5299999999999998</v>
      </c>
      <c r="I57" s="54">
        <v>0.21</v>
      </c>
      <c r="J57" t="s">
        <v>2814</v>
      </c>
      <c r="K57" s="54">
        <f t="shared" si="2"/>
        <v>2.7399999999999998</v>
      </c>
      <c r="L57" s="54">
        <v>2.78</v>
      </c>
      <c r="M57" s="54">
        <v>0.36</v>
      </c>
      <c r="N57" t="s">
        <v>2815</v>
      </c>
      <c r="O57" s="54">
        <f t="shared" si="3"/>
        <v>3.1399999999999997</v>
      </c>
      <c r="P57">
        <v>6.0000000000000001E-3</v>
      </c>
    </row>
    <row r="58" spans="4:16" x14ac:dyDescent="0.2">
      <c r="D58" t="s">
        <v>3036</v>
      </c>
      <c r="E58">
        <v>1</v>
      </c>
      <c r="F58" t="s">
        <v>1170</v>
      </c>
      <c r="G58" t="s">
        <v>2981</v>
      </c>
      <c r="H58" s="54">
        <v>0.69</v>
      </c>
      <c r="I58" s="54">
        <v>0.19</v>
      </c>
      <c r="J58" t="s">
        <v>2814</v>
      </c>
      <c r="K58" s="54">
        <f t="shared" si="2"/>
        <v>0.87999999999999989</v>
      </c>
      <c r="L58" s="54">
        <v>0.76</v>
      </c>
      <c r="M58" s="54">
        <v>0.34</v>
      </c>
      <c r="N58" t="s">
        <v>2815</v>
      </c>
      <c r="O58" s="54">
        <f t="shared" si="3"/>
        <v>1.1000000000000001</v>
      </c>
      <c r="P58">
        <v>6.0000000000000001E-3</v>
      </c>
    </row>
    <row r="59" spans="4:16" x14ac:dyDescent="0.2">
      <c r="D59" t="s">
        <v>3037</v>
      </c>
      <c r="E59">
        <v>1</v>
      </c>
      <c r="F59" t="s">
        <v>1170</v>
      </c>
      <c r="G59" t="s">
        <v>2981</v>
      </c>
      <c r="H59" s="54">
        <v>0.8</v>
      </c>
      <c r="I59" s="54">
        <v>0.14000000000000001</v>
      </c>
      <c r="J59" t="s">
        <v>2814</v>
      </c>
      <c r="K59" s="54">
        <f t="shared" si="2"/>
        <v>0.94000000000000006</v>
      </c>
      <c r="L59" s="54">
        <v>0.88</v>
      </c>
      <c r="M59" s="54">
        <v>0.24</v>
      </c>
      <c r="N59" t="s">
        <v>2815</v>
      </c>
      <c r="O59" s="54">
        <f t="shared" si="3"/>
        <v>1.1200000000000001</v>
      </c>
      <c r="P59">
        <v>4.0000000000000001E-3</v>
      </c>
    </row>
    <row r="60" spans="4:16" x14ac:dyDescent="0.2">
      <c r="D60" t="s">
        <v>3038</v>
      </c>
      <c r="E60">
        <v>1</v>
      </c>
      <c r="F60" t="s">
        <v>1170</v>
      </c>
      <c r="G60" t="s">
        <v>2981</v>
      </c>
      <c r="H60" s="54">
        <v>1.1399999999999999</v>
      </c>
      <c r="I60" s="54">
        <v>0.17</v>
      </c>
      <c r="J60" t="s">
        <v>2814</v>
      </c>
      <c r="K60" s="54">
        <f t="shared" si="2"/>
        <v>1.3099999999999998</v>
      </c>
      <c r="L60" s="54">
        <v>1.26</v>
      </c>
      <c r="M60" s="54">
        <v>0.28999999999999998</v>
      </c>
      <c r="N60" t="s">
        <v>2815</v>
      </c>
      <c r="O60" s="54">
        <f t="shared" si="3"/>
        <v>1.55</v>
      </c>
      <c r="P60">
        <v>5.0000000000000001E-3</v>
      </c>
    </row>
    <row r="61" spans="4:16" x14ac:dyDescent="0.2">
      <c r="D61" t="s">
        <v>3039</v>
      </c>
      <c r="E61">
        <v>1</v>
      </c>
      <c r="F61" t="s">
        <v>1170</v>
      </c>
      <c r="G61" t="s">
        <v>2981</v>
      </c>
      <c r="H61" s="54">
        <v>1.45</v>
      </c>
      <c r="I61" s="54">
        <v>0.3</v>
      </c>
      <c r="J61" t="s">
        <v>2814</v>
      </c>
      <c r="K61" s="54">
        <f t="shared" si="2"/>
        <v>1.75</v>
      </c>
      <c r="L61" s="54">
        <v>1.6</v>
      </c>
      <c r="M61" s="54">
        <v>0.52</v>
      </c>
      <c r="N61" t="s">
        <v>2815</v>
      </c>
      <c r="O61" s="54">
        <f t="shared" si="3"/>
        <v>2.12</v>
      </c>
      <c r="P61">
        <v>8.9999999999999993E-3</v>
      </c>
    </row>
    <row r="62" spans="4:16" x14ac:dyDescent="0.2">
      <c r="D62" t="s">
        <v>3040</v>
      </c>
      <c r="E62">
        <v>1</v>
      </c>
      <c r="F62" t="s">
        <v>1170</v>
      </c>
      <c r="G62" t="s">
        <v>2981</v>
      </c>
      <c r="H62" s="54">
        <v>0.96</v>
      </c>
      <c r="I62" s="54">
        <v>0.26</v>
      </c>
      <c r="J62" t="s">
        <v>2814</v>
      </c>
      <c r="K62" s="54">
        <f t="shared" si="2"/>
        <v>1.22</v>
      </c>
      <c r="L62" s="54">
        <v>1.06</v>
      </c>
      <c r="M62" s="54">
        <v>0.46</v>
      </c>
      <c r="N62" t="s">
        <v>2815</v>
      </c>
      <c r="O62" s="54">
        <f t="shared" si="3"/>
        <v>1.52</v>
      </c>
      <c r="P62">
        <v>8.0000000000000002E-3</v>
      </c>
    </row>
    <row r="63" spans="4:16" x14ac:dyDescent="0.2">
      <c r="D63" t="s">
        <v>3041</v>
      </c>
      <c r="E63">
        <v>1</v>
      </c>
      <c r="F63" t="s">
        <v>1170</v>
      </c>
      <c r="G63" t="s">
        <v>2981</v>
      </c>
      <c r="H63" s="54">
        <v>0.91</v>
      </c>
      <c r="I63" s="54">
        <v>0.21</v>
      </c>
      <c r="J63" t="s">
        <v>2814</v>
      </c>
      <c r="K63" s="54">
        <f t="shared" si="2"/>
        <v>1.1200000000000001</v>
      </c>
      <c r="L63" s="54">
        <v>1</v>
      </c>
      <c r="M63" s="54">
        <v>0.36</v>
      </c>
      <c r="N63" t="s">
        <v>2815</v>
      </c>
      <c r="O63" s="54">
        <f t="shared" si="3"/>
        <v>1.3599999999999999</v>
      </c>
      <c r="P63">
        <v>6.0000000000000001E-3</v>
      </c>
    </row>
    <row r="64" spans="4:16" x14ac:dyDescent="0.2">
      <c r="D64" t="s">
        <v>3042</v>
      </c>
      <c r="E64">
        <v>1</v>
      </c>
      <c r="F64" t="s">
        <v>1170</v>
      </c>
      <c r="G64" t="s">
        <v>2981</v>
      </c>
      <c r="H64" s="54">
        <v>0.41</v>
      </c>
      <c r="I64" s="54">
        <v>0.2</v>
      </c>
      <c r="J64" t="s">
        <v>2814</v>
      </c>
      <c r="K64" s="54">
        <f t="shared" si="2"/>
        <v>0.61</v>
      </c>
      <c r="L64" s="54">
        <v>0.45</v>
      </c>
      <c r="M64" s="54">
        <v>0.35</v>
      </c>
      <c r="N64" t="s">
        <v>2815</v>
      </c>
      <c r="O64" s="54">
        <f t="shared" si="3"/>
        <v>0.8</v>
      </c>
      <c r="P64">
        <v>6.0000000000000001E-3</v>
      </c>
    </row>
    <row r="65" spans="4:16" x14ac:dyDescent="0.2">
      <c r="D65" t="s">
        <v>3043</v>
      </c>
      <c r="E65">
        <v>1</v>
      </c>
      <c r="F65" t="s">
        <v>1170</v>
      </c>
      <c r="G65" t="s">
        <v>2981</v>
      </c>
      <c r="H65" s="54">
        <v>4.8600000000000003</v>
      </c>
      <c r="I65" s="54">
        <v>0.3</v>
      </c>
      <c r="J65" t="s">
        <v>2814</v>
      </c>
      <c r="K65" s="54">
        <f t="shared" si="2"/>
        <v>5.16</v>
      </c>
      <c r="L65" s="54">
        <v>5.35</v>
      </c>
      <c r="M65" s="54">
        <v>0.52</v>
      </c>
      <c r="N65" t="s">
        <v>2815</v>
      </c>
      <c r="O65" s="54">
        <f t="shared" si="3"/>
        <v>5.8699999999999992</v>
      </c>
      <c r="P65">
        <v>8.9999999999999993E-3</v>
      </c>
    </row>
    <row r="66" spans="4:16" x14ac:dyDescent="0.2">
      <c r="D66" t="s">
        <v>3044</v>
      </c>
      <c r="E66">
        <v>1</v>
      </c>
      <c r="F66" t="s">
        <v>3007</v>
      </c>
      <c r="G66" t="s">
        <v>2981</v>
      </c>
      <c r="H66" s="54">
        <v>1.26</v>
      </c>
      <c r="I66" s="54">
        <v>0.15</v>
      </c>
      <c r="J66" t="s">
        <v>2814</v>
      </c>
      <c r="K66" s="54">
        <f t="shared" si="2"/>
        <v>1.41</v>
      </c>
      <c r="L66" s="54">
        <v>1.39</v>
      </c>
      <c r="M66" s="54">
        <v>0.26</v>
      </c>
      <c r="N66" t="s">
        <v>2815</v>
      </c>
      <c r="O66" s="54">
        <f t="shared" si="3"/>
        <v>1.65</v>
      </c>
      <c r="P66">
        <v>4.0000000000000001E-3</v>
      </c>
    </row>
    <row r="67" spans="4:16" x14ac:dyDescent="0.2">
      <c r="D67" t="s">
        <v>3045</v>
      </c>
      <c r="E67">
        <v>1</v>
      </c>
      <c r="F67" t="s">
        <v>1170</v>
      </c>
      <c r="G67" t="s">
        <v>2981</v>
      </c>
      <c r="H67" s="54">
        <v>0.76</v>
      </c>
      <c r="I67" s="54">
        <v>0.14000000000000001</v>
      </c>
      <c r="J67" t="s">
        <v>2814</v>
      </c>
      <c r="K67" s="54">
        <f t="shared" si="2"/>
        <v>0.9</v>
      </c>
      <c r="L67" s="54">
        <v>0.84</v>
      </c>
      <c r="M67" s="54">
        <v>0.24</v>
      </c>
      <c r="N67" t="s">
        <v>2815</v>
      </c>
      <c r="O67" s="54">
        <f t="shared" si="3"/>
        <v>1.08</v>
      </c>
      <c r="P67">
        <v>4.0000000000000001E-3</v>
      </c>
    </row>
    <row r="68" spans="4:16" x14ac:dyDescent="0.2">
      <c r="D68" t="s">
        <v>3046</v>
      </c>
      <c r="E68">
        <v>1</v>
      </c>
      <c r="F68" t="s">
        <v>1170</v>
      </c>
      <c r="G68" t="s">
        <v>2981</v>
      </c>
      <c r="H68" s="54">
        <v>1.03</v>
      </c>
      <c r="I68" s="54">
        <v>0.15</v>
      </c>
      <c r="J68" t="s">
        <v>2814</v>
      </c>
      <c r="K68" s="54">
        <f t="shared" si="2"/>
        <v>1.18</v>
      </c>
      <c r="L68" s="54">
        <v>1.1299999999999999</v>
      </c>
      <c r="M68" s="54">
        <v>0.26</v>
      </c>
      <c r="N68" t="s">
        <v>2815</v>
      </c>
      <c r="O68" s="54">
        <f t="shared" si="3"/>
        <v>1.39</v>
      </c>
      <c r="P68">
        <v>4.0000000000000001E-3</v>
      </c>
    </row>
    <row r="69" spans="4:16" x14ac:dyDescent="0.2">
      <c r="D69" t="s">
        <v>3047</v>
      </c>
      <c r="E69">
        <v>1</v>
      </c>
      <c r="F69" t="s">
        <v>1170</v>
      </c>
      <c r="G69" t="s">
        <v>2981</v>
      </c>
      <c r="H69" s="54">
        <v>0.44</v>
      </c>
      <c r="I69" s="54">
        <v>0.21</v>
      </c>
      <c r="J69" t="s">
        <v>2814</v>
      </c>
      <c r="K69" s="54">
        <f t="shared" si="2"/>
        <v>0.65</v>
      </c>
      <c r="L69" s="54">
        <v>0.48</v>
      </c>
      <c r="M69" s="54">
        <v>0.36</v>
      </c>
      <c r="N69" t="s">
        <v>2815</v>
      </c>
      <c r="O69" s="54">
        <f t="shared" si="3"/>
        <v>0.84</v>
      </c>
      <c r="P69">
        <v>6.0000000000000001E-3</v>
      </c>
    </row>
    <row r="70" spans="4:16" x14ac:dyDescent="0.2">
      <c r="D70" t="s">
        <v>3048</v>
      </c>
      <c r="E70">
        <v>1</v>
      </c>
      <c r="F70" t="s">
        <v>1170</v>
      </c>
      <c r="G70" t="s">
        <v>2981</v>
      </c>
      <c r="H70" s="54">
        <v>1.56</v>
      </c>
      <c r="I70" s="54">
        <v>0.26</v>
      </c>
      <c r="J70" t="s">
        <v>2814</v>
      </c>
      <c r="K70" s="54">
        <f t="shared" si="2"/>
        <v>1.82</v>
      </c>
      <c r="L70" s="54">
        <v>1.72</v>
      </c>
      <c r="M70" s="54">
        <v>0.46</v>
      </c>
      <c r="N70" t="s">
        <v>2815</v>
      </c>
      <c r="O70" s="54">
        <f t="shared" si="3"/>
        <v>2.1800000000000002</v>
      </c>
      <c r="P70">
        <v>8.0000000000000002E-3</v>
      </c>
    </row>
    <row r="71" spans="4:16" x14ac:dyDescent="0.2">
      <c r="D71" t="s">
        <v>3049</v>
      </c>
      <c r="E71">
        <v>1</v>
      </c>
      <c r="F71" t="s">
        <v>1170</v>
      </c>
      <c r="G71" t="s">
        <v>2981</v>
      </c>
      <c r="H71" s="54">
        <v>0.82</v>
      </c>
      <c r="I71" s="54">
        <v>0.26</v>
      </c>
      <c r="J71" t="s">
        <v>2814</v>
      </c>
      <c r="K71" s="54">
        <f t="shared" ref="K71:K92" si="4">SUM(H71,I71,J71)</f>
        <v>1.08</v>
      </c>
      <c r="L71" s="54">
        <v>0.9</v>
      </c>
      <c r="M71" s="54">
        <v>0.46</v>
      </c>
      <c r="N71" t="s">
        <v>2815</v>
      </c>
      <c r="O71" s="54">
        <f t="shared" ref="O71:O92" si="5">SUM(L71,M71,N71)</f>
        <v>1.36</v>
      </c>
      <c r="P71">
        <v>8.0000000000000002E-3</v>
      </c>
    </row>
    <row r="72" spans="4:16" x14ac:dyDescent="0.2">
      <c r="D72" t="s">
        <v>3050</v>
      </c>
      <c r="E72">
        <v>1</v>
      </c>
      <c r="F72" t="s">
        <v>1170</v>
      </c>
      <c r="G72" t="s">
        <v>2981</v>
      </c>
      <c r="H72" s="54">
        <v>2.27</v>
      </c>
      <c r="I72" s="54">
        <v>0.26</v>
      </c>
      <c r="J72" t="s">
        <v>2814</v>
      </c>
      <c r="K72" s="54">
        <f t="shared" si="4"/>
        <v>2.5300000000000002</v>
      </c>
      <c r="L72" s="54">
        <v>2.5</v>
      </c>
      <c r="M72" s="54">
        <v>0.46</v>
      </c>
      <c r="N72" t="s">
        <v>2815</v>
      </c>
      <c r="O72" s="54">
        <f t="shared" si="5"/>
        <v>2.96</v>
      </c>
      <c r="P72">
        <v>8.0000000000000002E-3</v>
      </c>
    </row>
    <row r="73" spans="4:16" x14ac:dyDescent="0.2">
      <c r="D73" t="s">
        <v>3051</v>
      </c>
      <c r="E73">
        <v>1</v>
      </c>
      <c r="F73" t="s">
        <v>1170</v>
      </c>
      <c r="G73" t="s">
        <v>2981</v>
      </c>
      <c r="H73" s="54">
        <v>0.82</v>
      </c>
      <c r="I73" s="54">
        <v>0.19</v>
      </c>
      <c r="J73" t="s">
        <v>2814</v>
      </c>
      <c r="K73" s="54">
        <f t="shared" si="4"/>
        <v>1.01</v>
      </c>
      <c r="L73" s="54">
        <v>0.9</v>
      </c>
      <c r="M73" s="54">
        <v>0.34</v>
      </c>
      <c r="N73" t="s">
        <v>2815</v>
      </c>
      <c r="O73" s="54">
        <f t="shared" si="5"/>
        <v>1.24</v>
      </c>
      <c r="P73">
        <v>6.0000000000000001E-3</v>
      </c>
    </row>
    <row r="74" spans="4:16" x14ac:dyDescent="0.2">
      <c r="D74" t="s">
        <v>3052</v>
      </c>
      <c r="E74">
        <v>1</v>
      </c>
      <c r="F74" t="s">
        <v>1170</v>
      </c>
      <c r="G74" t="s">
        <v>2981</v>
      </c>
      <c r="H74" s="54">
        <v>1.1599999999999999</v>
      </c>
      <c r="I74" s="54">
        <v>0.26</v>
      </c>
      <c r="J74" t="s">
        <v>2814</v>
      </c>
      <c r="K74" s="54">
        <f t="shared" si="4"/>
        <v>1.42</v>
      </c>
      <c r="L74" s="54">
        <v>1.28</v>
      </c>
      <c r="M74" s="54">
        <v>0.46</v>
      </c>
      <c r="N74" t="s">
        <v>2815</v>
      </c>
      <c r="O74" s="54">
        <f t="shared" si="5"/>
        <v>1.74</v>
      </c>
      <c r="P74">
        <v>8.0000000000000002E-3</v>
      </c>
    </row>
    <row r="75" spans="4:16" x14ac:dyDescent="0.2">
      <c r="D75" t="s">
        <v>3053</v>
      </c>
      <c r="E75">
        <v>1</v>
      </c>
      <c r="F75" t="s">
        <v>1170</v>
      </c>
      <c r="G75" t="s">
        <v>2981</v>
      </c>
      <c r="H75" s="54">
        <v>0.9</v>
      </c>
      <c r="I75" s="54">
        <v>0.22</v>
      </c>
      <c r="J75" t="s">
        <v>2814</v>
      </c>
      <c r="K75" s="54">
        <f t="shared" si="4"/>
        <v>1.1200000000000001</v>
      </c>
      <c r="L75" s="54">
        <v>0.99</v>
      </c>
      <c r="M75" s="54">
        <v>0.4</v>
      </c>
      <c r="N75" t="s">
        <v>2815</v>
      </c>
      <c r="O75" s="54">
        <f t="shared" si="5"/>
        <v>1.3900000000000001</v>
      </c>
      <c r="P75">
        <v>7.0000000000000001E-3</v>
      </c>
    </row>
    <row r="76" spans="4:16" x14ac:dyDescent="0.2">
      <c r="D76" t="s">
        <v>3054</v>
      </c>
      <c r="E76">
        <v>1</v>
      </c>
      <c r="F76" t="s">
        <v>1170</v>
      </c>
      <c r="G76" t="s">
        <v>2981</v>
      </c>
      <c r="H76" s="54">
        <v>0.9</v>
      </c>
      <c r="I76" s="54">
        <v>0.21</v>
      </c>
      <c r="J76" t="s">
        <v>2814</v>
      </c>
      <c r="K76" s="54">
        <f t="shared" si="4"/>
        <v>1.1100000000000001</v>
      </c>
      <c r="L76" s="54">
        <v>0.99</v>
      </c>
      <c r="M76" s="54">
        <v>0.36</v>
      </c>
      <c r="N76" t="s">
        <v>2815</v>
      </c>
      <c r="O76" s="54">
        <f t="shared" si="5"/>
        <v>1.35</v>
      </c>
      <c r="P76">
        <v>6.0000000000000001E-3</v>
      </c>
    </row>
    <row r="77" spans="4:16" x14ac:dyDescent="0.2">
      <c r="D77" t="s">
        <v>3055</v>
      </c>
      <c r="E77">
        <v>1</v>
      </c>
      <c r="F77" t="s">
        <v>1170</v>
      </c>
      <c r="G77" t="s">
        <v>2981</v>
      </c>
      <c r="H77" s="54">
        <v>0.53</v>
      </c>
      <c r="I77" s="54">
        <v>0.26</v>
      </c>
      <c r="J77" t="s">
        <v>2814</v>
      </c>
      <c r="K77" s="54">
        <f t="shared" si="4"/>
        <v>0.79</v>
      </c>
      <c r="L77" s="54">
        <v>0.57999999999999996</v>
      </c>
      <c r="M77" s="54">
        <v>0.46</v>
      </c>
      <c r="N77" t="s">
        <v>2815</v>
      </c>
      <c r="O77" s="54">
        <f t="shared" si="5"/>
        <v>1.04</v>
      </c>
      <c r="P77">
        <v>8.0000000000000002E-3</v>
      </c>
    </row>
    <row r="78" spans="4:16" x14ac:dyDescent="0.2">
      <c r="D78" t="s">
        <v>3056</v>
      </c>
      <c r="E78">
        <v>1</v>
      </c>
      <c r="F78" t="s">
        <v>1170</v>
      </c>
      <c r="G78" t="s">
        <v>2981</v>
      </c>
      <c r="H78" s="54">
        <v>1.26</v>
      </c>
      <c r="I78" s="54">
        <v>0.21</v>
      </c>
      <c r="J78" t="s">
        <v>2814</v>
      </c>
      <c r="K78" s="54">
        <f t="shared" si="4"/>
        <v>1.47</v>
      </c>
      <c r="L78" s="54">
        <v>1.39</v>
      </c>
      <c r="M78" s="54">
        <v>0.36</v>
      </c>
      <c r="N78" t="s">
        <v>2815</v>
      </c>
      <c r="O78" s="54">
        <f t="shared" si="5"/>
        <v>1.75</v>
      </c>
      <c r="P78">
        <v>6.0000000000000001E-3</v>
      </c>
    </row>
    <row r="79" spans="4:16" x14ac:dyDescent="0.2">
      <c r="D79" t="s">
        <v>3057</v>
      </c>
      <c r="E79">
        <v>1</v>
      </c>
      <c r="F79" t="s">
        <v>1170</v>
      </c>
      <c r="G79" t="s">
        <v>2981</v>
      </c>
      <c r="H79" s="54">
        <v>2.52</v>
      </c>
      <c r="I79" s="54">
        <v>0.26</v>
      </c>
      <c r="J79" t="s">
        <v>2814</v>
      </c>
      <c r="K79" s="54">
        <f t="shared" si="4"/>
        <v>2.7800000000000002</v>
      </c>
      <c r="L79" s="54">
        <v>2.77</v>
      </c>
      <c r="M79" s="54">
        <v>0.46</v>
      </c>
      <c r="N79" t="s">
        <v>2815</v>
      </c>
      <c r="O79" s="54">
        <f t="shared" si="5"/>
        <v>3.23</v>
      </c>
      <c r="P79">
        <v>8.0000000000000002E-3</v>
      </c>
    </row>
    <row r="80" spans="4:16" x14ac:dyDescent="0.2">
      <c r="D80" t="s">
        <v>3058</v>
      </c>
      <c r="E80">
        <v>1</v>
      </c>
      <c r="F80" t="s">
        <v>1170</v>
      </c>
      <c r="G80" t="s">
        <v>2981</v>
      </c>
      <c r="H80" s="54">
        <v>2.02</v>
      </c>
      <c r="I80" s="54">
        <v>0.21</v>
      </c>
      <c r="J80" t="s">
        <v>2814</v>
      </c>
      <c r="K80" s="54">
        <f t="shared" si="4"/>
        <v>2.23</v>
      </c>
      <c r="L80" s="54">
        <v>2.2200000000000002</v>
      </c>
      <c r="M80" s="54">
        <v>0.36</v>
      </c>
      <c r="N80" t="s">
        <v>2815</v>
      </c>
      <c r="O80" s="54">
        <f t="shared" si="5"/>
        <v>2.58</v>
      </c>
      <c r="P80">
        <v>6.0000000000000001E-3</v>
      </c>
    </row>
    <row r="81" spans="4:16" x14ac:dyDescent="0.2">
      <c r="D81" t="s">
        <v>3059</v>
      </c>
      <c r="E81">
        <v>1</v>
      </c>
      <c r="F81" t="s">
        <v>1170</v>
      </c>
      <c r="G81" t="s">
        <v>2981</v>
      </c>
      <c r="H81" s="54">
        <v>0.4</v>
      </c>
      <c r="I81" s="54">
        <v>0.21</v>
      </c>
      <c r="J81" t="s">
        <v>2814</v>
      </c>
      <c r="K81" s="54">
        <f t="shared" si="4"/>
        <v>0.61</v>
      </c>
      <c r="L81" s="54">
        <v>0.44</v>
      </c>
      <c r="M81" s="54">
        <v>0.36</v>
      </c>
      <c r="N81" t="s">
        <v>2815</v>
      </c>
      <c r="O81" s="54">
        <f t="shared" si="5"/>
        <v>0.8</v>
      </c>
      <c r="P81">
        <v>6.0000000000000001E-3</v>
      </c>
    </row>
    <row r="82" spans="4:16" x14ac:dyDescent="0.2">
      <c r="D82" t="s">
        <v>3060</v>
      </c>
      <c r="E82">
        <v>1</v>
      </c>
      <c r="F82" t="s">
        <v>1170</v>
      </c>
      <c r="G82" t="s">
        <v>2981</v>
      </c>
      <c r="H82" s="54">
        <v>1.72</v>
      </c>
      <c r="I82" s="54">
        <v>0.26</v>
      </c>
      <c r="J82" t="s">
        <v>2814</v>
      </c>
      <c r="K82" s="54">
        <f t="shared" si="4"/>
        <v>1.98</v>
      </c>
      <c r="L82" s="54">
        <v>1.89</v>
      </c>
      <c r="M82" s="54">
        <v>0.46</v>
      </c>
      <c r="N82" t="s">
        <v>2815</v>
      </c>
      <c r="O82" s="54">
        <f t="shared" si="5"/>
        <v>2.35</v>
      </c>
      <c r="P82">
        <v>8.0000000000000002E-3</v>
      </c>
    </row>
    <row r="83" spans="4:16" x14ac:dyDescent="0.2">
      <c r="D83" t="s">
        <v>3061</v>
      </c>
      <c r="E83">
        <v>1</v>
      </c>
      <c r="F83" t="s">
        <v>1170</v>
      </c>
      <c r="G83" t="s">
        <v>2981</v>
      </c>
      <c r="H83" s="54">
        <v>1.69</v>
      </c>
      <c r="I83" s="54">
        <v>0.26</v>
      </c>
      <c r="J83" t="s">
        <v>2814</v>
      </c>
      <c r="K83" s="54">
        <f t="shared" si="4"/>
        <v>1.95</v>
      </c>
      <c r="L83" s="54">
        <v>1.86</v>
      </c>
      <c r="M83" s="54">
        <v>0.46</v>
      </c>
      <c r="N83" t="s">
        <v>2815</v>
      </c>
      <c r="O83" s="54">
        <f t="shared" si="5"/>
        <v>2.3200000000000003</v>
      </c>
      <c r="P83">
        <v>8.0000000000000002E-3</v>
      </c>
    </row>
    <row r="84" spans="4:16" x14ac:dyDescent="0.2">
      <c r="D84" t="s">
        <v>3062</v>
      </c>
      <c r="E84">
        <v>1</v>
      </c>
      <c r="F84" t="s">
        <v>1170</v>
      </c>
      <c r="G84" t="s">
        <v>2981</v>
      </c>
      <c r="H84" s="54">
        <v>1.1599999999999999</v>
      </c>
      <c r="I84" s="54">
        <v>0.21</v>
      </c>
      <c r="J84" t="s">
        <v>2814</v>
      </c>
      <c r="K84" s="54">
        <f t="shared" si="4"/>
        <v>1.3699999999999999</v>
      </c>
      <c r="L84" s="54">
        <v>1.28</v>
      </c>
      <c r="M84" s="54">
        <v>0.36</v>
      </c>
      <c r="N84" t="s">
        <v>2815</v>
      </c>
      <c r="O84" s="54">
        <f t="shared" si="5"/>
        <v>1.6400000000000001</v>
      </c>
      <c r="P84">
        <v>6.0000000000000001E-3</v>
      </c>
    </row>
    <row r="85" spans="4:16" x14ac:dyDescent="0.2">
      <c r="D85" t="s">
        <v>3063</v>
      </c>
      <c r="E85">
        <v>1</v>
      </c>
      <c r="F85" t="s">
        <v>1170</v>
      </c>
      <c r="G85" t="s">
        <v>2981</v>
      </c>
      <c r="H85" s="54">
        <v>4.93</v>
      </c>
      <c r="I85" s="54">
        <v>0.21</v>
      </c>
      <c r="J85" t="s">
        <v>2814</v>
      </c>
      <c r="K85" s="54">
        <f t="shared" si="4"/>
        <v>5.14</v>
      </c>
      <c r="L85" s="54">
        <v>5.45</v>
      </c>
      <c r="M85" s="54">
        <v>0.36</v>
      </c>
      <c r="N85" t="s">
        <v>2815</v>
      </c>
      <c r="O85" s="54">
        <f t="shared" si="5"/>
        <v>5.8100000000000005</v>
      </c>
      <c r="P85">
        <v>6.0000000000000001E-3</v>
      </c>
    </row>
    <row r="86" spans="4:16" x14ac:dyDescent="0.2">
      <c r="D86" t="s">
        <v>3064</v>
      </c>
      <c r="E86">
        <v>1</v>
      </c>
      <c r="F86" t="s">
        <v>3007</v>
      </c>
      <c r="G86" t="s">
        <v>2981</v>
      </c>
      <c r="H86" s="54">
        <v>1.17</v>
      </c>
      <c r="I86" s="54">
        <v>0.15</v>
      </c>
      <c r="J86" t="s">
        <v>2814</v>
      </c>
      <c r="K86" s="54">
        <f t="shared" si="4"/>
        <v>1.3199999999999998</v>
      </c>
      <c r="L86" s="54">
        <v>1.29</v>
      </c>
      <c r="M86" s="54">
        <v>0.26</v>
      </c>
      <c r="N86" t="s">
        <v>2815</v>
      </c>
      <c r="O86" s="54">
        <f t="shared" si="5"/>
        <v>1.55</v>
      </c>
      <c r="P86">
        <v>4.0000000000000001E-3</v>
      </c>
    </row>
    <row r="87" spans="4:16" x14ac:dyDescent="0.2">
      <c r="D87" t="s">
        <v>3065</v>
      </c>
      <c r="E87">
        <v>1</v>
      </c>
      <c r="F87" t="s">
        <v>1170</v>
      </c>
      <c r="G87" t="s">
        <v>2981</v>
      </c>
      <c r="H87" s="54">
        <v>5</v>
      </c>
      <c r="I87" s="54">
        <v>0.22</v>
      </c>
      <c r="J87" t="s">
        <v>2814</v>
      </c>
      <c r="K87" s="54">
        <f t="shared" si="4"/>
        <v>5.22</v>
      </c>
      <c r="L87" s="54">
        <v>5.5</v>
      </c>
      <c r="M87" s="54">
        <v>0.38</v>
      </c>
      <c r="N87" t="s">
        <v>2815</v>
      </c>
      <c r="O87" s="54">
        <f t="shared" si="5"/>
        <v>5.88</v>
      </c>
      <c r="P87">
        <v>6.0000000000000001E-3</v>
      </c>
    </row>
    <row r="88" spans="4:16" x14ac:dyDescent="0.2">
      <c r="D88" t="s">
        <v>3066</v>
      </c>
      <c r="E88">
        <v>1</v>
      </c>
      <c r="F88" t="s">
        <v>1170</v>
      </c>
      <c r="G88" t="s">
        <v>2981</v>
      </c>
      <c r="H88" s="54">
        <v>0.26</v>
      </c>
      <c r="I88" s="54">
        <v>0.14000000000000001</v>
      </c>
      <c r="J88" t="s">
        <v>2814</v>
      </c>
      <c r="K88" s="54">
        <f t="shared" si="4"/>
        <v>0.4</v>
      </c>
      <c r="L88" s="54">
        <v>0.28000000000000003</v>
      </c>
      <c r="M88" s="54">
        <v>0.24</v>
      </c>
      <c r="N88" t="s">
        <v>2815</v>
      </c>
      <c r="O88" s="54">
        <f t="shared" si="5"/>
        <v>0.52</v>
      </c>
      <c r="P88">
        <v>4.0000000000000001E-3</v>
      </c>
    </row>
    <row r="89" spans="4:16" x14ac:dyDescent="0.2">
      <c r="D89" t="s">
        <v>3067</v>
      </c>
      <c r="E89">
        <v>1</v>
      </c>
      <c r="F89" t="s">
        <v>1170</v>
      </c>
      <c r="G89" t="s">
        <v>2981</v>
      </c>
      <c r="H89" s="54">
        <v>1.7</v>
      </c>
      <c r="I89" s="54">
        <v>0.18</v>
      </c>
      <c r="J89" t="s">
        <v>2814</v>
      </c>
      <c r="K89" s="54">
        <f t="shared" si="4"/>
        <v>1.88</v>
      </c>
      <c r="L89" s="54">
        <v>1.87</v>
      </c>
      <c r="M89" s="54">
        <v>0.32</v>
      </c>
      <c r="N89" t="s">
        <v>2815</v>
      </c>
      <c r="O89" s="54">
        <f t="shared" si="5"/>
        <v>2.19</v>
      </c>
      <c r="P89">
        <v>5.0000000000000001E-3</v>
      </c>
    </row>
    <row r="90" spans="4:16" x14ac:dyDescent="0.2">
      <c r="D90" t="s">
        <v>3068</v>
      </c>
      <c r="E90">
        <v>1</v>
      </c>
      <c r="F90" t="s">
        <v>3007</v>
      </c>
      <c r="G90" t="s">
        <v>2981</v>
      </c>
      <c r="H90" s="54">
        <v>0.61</v>
      </c>
      <c r="I90" s="54">
        <v>0.14000000000000001</v>
      </c>
      <c r="J90" t="s">
        <v>2814</v>
      </c>
      <c r="K90" s="54">
        <f t="shared" si="4"/>
        <v>0.75</v>
      </c>
      <c r="L90" s="54">
        <v>0.67</v>
      </c>
      <c r="M90" s="54">
        <v>0.24</v>
      </c>
      <c r="N90" t="s">
        <v>2815</v>
      </c>
      <c r="O90" s="54">
        <f t="shared" si="5"/>
        <v>0.91</v>
      </c>
      <c r="P90">
        <v>4.0000000000000001E-3</v>
      </c>
    </row>
    <row r="91" spans="4:16" x14ac:dyDescent="0.2">
      <c r="D91" t="s">
        <v>3069</v>
      </c>
      <c r="E91">
        <v>1</v>
      </c>
      <c r="F91" t="s">
        <v>1170</v>
      </c>
      <c r="G91" t="s">
        <v>2981</v>
      </c>
      <c r="H91" s="54">
        <v>1.86</v>
      </c>
      <c r="I91" s="54">
        <v>0.26</v>
      </c>
      <c r="J91" t="s">
        <v>2814</v>
      </c>
      <c r="K91" s="54">
        <f t="shared" si="4"/>
        <v>2.12</v>
      </c>
      <c r="L91" s="54">
        <v>2.0499999999999998</v>
      </c>
      <c r="M91" s="54">
        <v>0.46</v>
      </c>
      <c r="N91" t="s">
        <v>2815</v>
      </c>
      <c r="O91" s="54">
        <f t="shared" si="5"/>
        <v>2.5099999999999998</v>
      </c>
      <c r="P91">
        <v>8.0000000000000002E-3</v>
      </c>
    </row>
    <row r="92" spans="4:16" x14ac:dyDescent="0.2">
      <c r="D92" t="s">
        <v>3070</v>
      </c>
      <c r="E92">
        <v>1</v>
      </c>
      <c r="F92" t="s">
        <v>1170</v>
      </c>
      <c r="G92" t="s">
        <v>2981</v>
      </c>
      <c r="H92" s="54">
        <v>1.41</v>
      </c>
      <c r="I92" s="54">
        <v>0.26</v>
      </c>
      <c r="J92" t="s">
        <v>2814</v>
      </c>
      <c r="K92" s="54">
        <f t="shared" si="4"/>
        <v>1.67</v>
      </c>
      <c r="L92" s="54">
        <v>1.55</v>
      </c>
      <c r="M92" s="54">
        <v>0.46</v>
      </c>
      <c r="N92" t="s">
        <v>2815</v>
      </c>
      <c r="O92" s="54">
        <f t="shared" si="5"/>
        <v>2.0100000000000002</v>
      </c>
      <c r="P92">
        <v>8.0000000000000002E-3</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E4308-1469-4FF9-A39B-EFF33CA31E5A}">
  <dimension ref="A1:AH544"/>
  <sheetViews>
    <sheetView topLeftCell="W1" zoomScale="85" zoomScaleNormal="85" workbookViewId="0">
      <selection activeCell="AE36" sqref="AE34:AL36"/>
    </sheetView>
  </sheetViews>
  <sheetFormatPr baseColWidth="10" defaultColWidth="8.5" defaultRowHeight="15" x14ac:dyDescent="0.2"/>
  <cols>
    <col min="1" max="1" width="26.5" hidden="1" customWidth="1"/>
    <col min="2" max="2" width="19.5" hidden="1" customWidth="1"/>
    <col min="3" max="3" width="19.5" customWidth="1"/>
    <col min="4" max="4" width="30.5" customWidth="1"/>
    <col min="5" max="6" width="17" customWidth="1"/>
    <col min="7" max="7" width="16.5" style="39" customWidth="1"/>
    <col min="8" max="8" width="27.5" customWidth="1"/>
    <col min="9" max="9" width="18.6640625" customWidth="1"/>
    <col min="10" max="10" width="14.5" customWidth="1"/>
    <col min="11" max="11" width="19.6640625" customWidth="1"/>
    <col min="12" max="12" width="12.6640625" customWidth="1"/>
    <col min="13" max="13" width="35.5" customWidth="1"/>
    <col min="14" max="14" width="15.6640625" customWidth="1"/>
    <col min="15" max="15" width="19.33203125" customWidth="1"/>
    <col min="16" max="16" width="14" customWidth="1"/>
    <col min="17" max="17" width="22.6640625" customWidth="1"/>
    <col min="18" max="18" width="14.33203125" customWidth="1"/>
    <col min="19" max="19" width="7.5" customWidth="1"/>
    <col min="20" max="20" width="9.5" customWidth="1"/>
    <col min="21" max="21" width="14.33203125" customWidth="1"/>
    <col min="22" max="22" width="13.6640625" customWidth="1"/>
    <col min="23" max="23" width="15.33203125" customWidth="1"/>
    <col min="24" max="24" width="18.5" bestFit="1" customWidth="1"/>
    <col min="25" max="25" width="52.5" customWidth="1"/>
    <col min="26" max="26" width="17.33203125" customWidth="1"/>
    <col min="27" max="27" width="23.6640625" customWidth="1"/>
    <col min="28" max="28" width="20.6640625" customWidth="1"/>
    <col min="29" max="29" width="25.6640625" customWidth="1"/>
    <col min="34" max="34" width="24.5" hidden="1" customWidth="1"/>
    <col min="35" max="35" width="17.33203125" customWidth="1"/>
    <col min="36" max="37" width="23.6640625" customWidth="1"/>
    <col min="38" max="38" width="22.33203125" customWidth="1"/>
    <col min="39" max="39" width="21.5" customWidth="1"/>
  </cols>
  <sheetData>
    <row r="1" spans="1:29" x14ac:dyDescent="0.2">
      <c r="C1" s="4" t="s">
        <v>21</v>
      </c>
      <c r="G1"/>
      <c r="N1" s="43"/>
      <c r="O1" s="43"/>
      <c r="T1" s="41"/>
      <c r="X1" s="44"/>
    </row>
    <row r="2" spans="1:29" ht="19" x14ac:dyDescent="0.25">
      <c r="C2" s="27" t="s">
        <v>22</v>
      </c>
      <c r="F2" s="41"/>
      <c r="G2" s="41"/>
      <c r="H2" s="41"/>
      <c r="J2" s="30"/>
      <c r="K2" s="30"/>
      <c r="M2" s="40" t="s">
        <v>1152</v>
      </c>
      <c r="N2" s="43"/>
      <c r="O2" s="43"/>
      <c r="S2" s="41"/>
      <c r="T2" s="41"/>
      <c r="W2" s="40" t="s">
        <v>5305</v>
      </c>
      <c r="X2" s="41"/>
    </row>
    <row r="3" spans="1:29" x14ac:dyDescent="0.2">
      <c r="A3" s="267" t="s">
        <v>3820</v>
      </c>
      <c r="B3" s="267" t="s">
        <v>4811</v>
      </c>
      <c r="C3" s="267" t="s">
        <v>0</v>
      </c>
      <c r="D3" s="267" t="s">
        <v>348</v>
      </c>
      <c r="E3" s="267" t="s">
        <v>4812</v>
      </c>
      <c r="F3" s="267" t="s">
        <v>4813</v>
      </c>
      <c r="G3" s="267" t="s">
        <v>5302</v>
      </c>
      <c r="H3" s="267" t="s">
        <v>4822</v>
      </c>
      <c r="I3" s="267" t="s">
        <v>4815</v>
      </c>
      <c r="J3" s="267" t="s">
        <v>4816</v>
      </c>
      <c r="K3" s="267" t="s">
        <v>4817</v>
      </c>
      <c r="L3" s="267" t="s">
        <v>4818</v>
      </c>
      <c r="M3" s="57" t="s">
        <v>5184</v>
      </c>
      <c r="N3" s="267" t="s">
        <v>5332</v>
      </c>
      <c r="O3" s="267" t="s">
        <v>4827</v>
      </c>
      <c r="P3" s="267" t="s">
        <v>5333</v>
      </c>
      <c r="Q3" s="57" t="s">
        <v>5334</v>
      </c>
      <c r="R3" t="s">
        <v>4819</v>
      </c>
      <c r="S3" s="267" t="s">
        <v>4820</v>
      </c>
      <c r="T3" s="267" t="s">
        <v>4821</v>
      </c>
      <c r="U3" s="267" t="s">
        <v>4829</v>
      </c>
      <c r="V3" s="268" t="s">
        <v>1211</v>
      </c>
      <c r="W3" s="268" t="s">
        <v>364</v>
      </c>
      <c r="X3" s="267" t="s">
        <v>4823</v>
      </c>
      <c r="Y3" s="267" t="s">
        <v>4824</v>
      </c>
      <c r="Z3" s="267" t="s">
        <v>4828</v>
      </c>
      <c r="AA3" s="267" t="s">
        <v>4830</v>
      </c>
      <c r="AB3" s="268" t="s">
        <v>3434</v>
      </c>
      <c r="AC3" s="268" t="s">
        <v>57</v>
      </c>
    </row>
    <row r="4" spans="1:29" x14ac:dyDescent="0.2">
      <c r="A4" s="282">
        <v>3095</v>
      </c>
      <c r="B4" s="282">
        <v>9428</v>
      </c>
      <c r="C4" s="282" t="s">
        <v>3410</v>
      </c>
      <c r="D4" s="282" t="str">
        <f>IF(Table28[[#This Row],[% Leakage Reduction (Calculated)]]&gt;0.4, "Greater than 40% Air Reduction", "Less than 40% Air Reduction")</f>
        <v>Less than 40% Air Reduction</v>
      </c>
      <c r="E4" s="282" t="s">
        <v>4831</v>
      </c>
      <c r="F4" s="282" t="s">
        <v>4832</v>
      </c>
      <c r="G4" s="282" t="s">
        <v>4833</v>
      </c>
      <c r="H4" s="282" t="s">
        <v>4838</v>
      </c>
      <c r="I4" s="282">
        <v>11.9</v>
      </c>
      <c r="J4" s="282" t="s">
        <v>4834</v>
      </c>
      <c r="K4" s="282">
        <v>7.92</v>
      </c>
      <c r="L4" s="282" t="s">
        <v>4835</v>
      </c>
      <c r="M4" s="283">
        <f t="shared" ref="M4:M67" si="0">ABS((I4-K4)/I4)</f>
        <v>0.33445378151260508</v>
      </c>
      <c r="N4" s="282">
        <v>4200</v>
      </c>
      <c r="O4" s="282">
        <v>2.5</v>
      </c>
      <c r="P4" s="282">
        <v>1865</v>
      </c>
      <c r="Q4" s="282">
        <f>2023-Table28[[#This Row],[year_built]]</f>
        <v>158</v>
      </c>
      <c r="R4" s="282">
        <v>100</v>
      </c>
      <c r="S4" s="282" t="s">
        <v>4948</v>
      </c>
      <c r="T4" s="282" t="s">
        <v>4906</v>
      </c>
      <c r="U4" s="282">
        <v>2019</v>
      </c>
      <c r="V4" s="284">
        <f t="shared" ref="V4:V67" si="1">IFERROR(IF(R4/N4&lt;&gt;0, R4/N4, ""), "")</f>
        <v>2.3809523809523808E-2</v>
      </c>
      <c r="W4" s="291">
        <f>Table28[[#This Row],[$/sqft]]/INDEX(CPI!$A$3:$C$31,MATCH(Table28[[#This Row],[start_year]],CPI!$A$3:$A$31,0),3)</f>
        <v>2.8316293275229529E-2</v>
      </c>
      <c r="X4" s="282"/>
      <c r="Y4" s="282" t="s">
        <v>4917</v>
      </c>
      <c r="Z4" s="282" t="s">
        <v>4840</v>
      </c>
      <c r="AA4" s="282">
        <v>33.445378150000003</v>
      </c>
      <c r="AB4" s="55" t="s">
        <v>72</v>
      </c>
      <c r="AC4" t="s">
        <v>71</v>
      </c>
    </row>
    <row r="5" spans="1:29" x14ac:dyDescent="0.2">
      <c r="A5" s="282">
        <v>6043</v>
      </c>
      <c r="B5" s="282">
        <v>14580</v>
      </c>
      <c r="C5" s="282" t="s">
        <v>3410</v>
      </c>
      <c r="D5" s="282" t="str">
        <f>IF(Table28[[#This Row],[% Leakage Reduction (Calculated)]]&gt;0.4, "Greater than 40% Air Reduction", "Less than 40% Air Reduction")</f>
        <v>Greater than 40% Air Reduction</v>
      </c>
      <c r="E5" s="282" t="s">
        <v>4831</v>
      </c>
      <c r="F5" s="282" t="s">
        <v>4832</v>
      </c>
      <c r="G5" s="282" t="s">
        <v>4833</v>
      </c>
      <c r="H5" s="282" t="s">
        <v>4838</v>
      </c>
      <c r="I5" s="282">
        <v>3980</v>
      </c>
      <c r="J5" s="282" t="s">
        <v>4852</v>
      </c>
      <c r="K5" s="282">
        <v>1420</v>
      </c>
      <c r="L5" s="282" t="s">
        <v>4853</v>
      </c>
      <c r="M5" s="283">
        <f t="shared" si="0"/>
        <v>0.64321608040201006</v>
      </c>
      <c r="N5" s="282">
        <v>2094</v>
      </c>
      <c r="O5" s="282">
        <v>2</v>
      </c>
      <c r="P5" s="282">
        <v>1882</v>
      </c>
      <c r="Q5" s="282">
        <f>2023-Table28[[#This Row],[year_built]]</f>
        <v>141</v>
      </c>
      <c r="R5" s="282">
        <v>55</v>
      </c>
      <c r="S5" s="282" t="s">
        <v>5001</v>
      </c>
      <c r="T5" s="282" t="s">
        <v>5002</v>
      </c>
      <c r="U5" s="282">
        <v>2012</v>
      </c>
      <c r="V5" s="284">
        <f t="shared" si="1"/>
        <v>2.626552053486151E-2</v>
      </c>
      <c r="W5" s="292">
        <f>Table28[[#This Row],[$/sqft]]/INDEX(CPI!$A$3:$C$31,MATCH(Table28[[#This Row],[start_year]],CPI!$A$3:$A$31,0),3)</f>
        <v>3.4788996204828462E-2</v>
      </c>
      <c r="X5" s="282" t="s">
        <v>4844</v>
      </c>
      <c r="Y5" s="282" t="s">
        <v>217</v>
      </c>
      <c r="Z5" s="282" t="s">
        <v>5003</v>
      </c>
      <c r="AA5" s="282">
        <v>64.321608040000001</v>
      </c>
      <c r="AB5" s="55" t="s">
        <v>72</v>
      </c>
      <c r="AC5" t="s">
        <v>72</v>
      </c>
    </row>
    <row r="6" spans="1:29" x14ac:dyDescent="0.2">
      <c r="A6" s="282">
        <v>6043</v>
      </c>
      <c r="B6" s="282">
        <v>14587</v>
      </c>
      <c r="C6" s="282" t="s">
        <v>3410</v>
      </c>
      <c r="D6" s="282" t="str">
        <f>IF(Table28[[#This Row],[% Leakage Reduction (Calculated)]]&gt;0.4, "Greater than 40% Air Reduction", "Less than 40% Air Reduction")</f>
        <v>Greater than 40% Air Reduction</v>
      </c>
      <c r="E6" s="282" t="s">
        <v>4831</v>
      </c>
      <c r="F6" s="282" t="s">
        <v>4832</v>
      </c>
      <c r="G6" s="282" t="s">
        <v>4833</v>
      </c>
      <c r="H6" s="282" t="s">
        <v>4838</v>
      </c>
      <c r="I6" s="282">
        <v>3980</v>
      </c>
      <c r="J6" s="282" t="s">
        <v>4852</v>
      </c>
      <c r="K6" s="282">
        <v>1420</v>
      </c>
      <c r="L6" s="282" t="s">
        <v>4853</v>
      </c>
      <c r="M6" s="283">
        <f t="shared" si="0"/>
        <v>0.64321608040201006</v>
      </c>
      <c r="N6" s="282">
        <v>2094</v>
      </c>
      <c r="O6" s="282">
        <v>2</v>
      </c>
      <c r="P6" s="282">
        <v>1882</v>
      </c>
      <c r="Q6" s="282">
        <f>2023-Table28[[#This Row],[year_built]]</f>
        <v>141</v>
      </c>
      <c r="R6" s="282">
        <v>55</v>
      </c>
      <c r="S6" s="282" t="s">
        <v>5001</v>
      </c>
      <c r="T6" s="282" t="s">
        <v>5002</v>
      </c>
      <c r="U6" s="282">
        <v>2012</v>
      </c>
      <c r="V6" s="284">
        <f t="shared" si="1"/>
        <v>2.626552053486151E-2</v>
      </c>
      <c r="W6" s="292">
        <f>Table28[[#This Row],[$/sqft]]/INDEX(CPI!$A$3:$C$31,MATCH(Table28[[#This Row],[start_year]],CPI!$A$3:$A$31,0),3)</f>
        <v>3.4788996204828462E-2</v>
      </c>
      <c r="X6" s="282" t="s">
        <v>4844</v>
      </c>
      <c r="Y6" s="282" t="s">
        <v>217</v>
      </c>
      <c r="Z6" s="282" t="s">
        <v>5003</v>
      </c>
      <c r="AA6" s="282">
        <v>64.321608040000001</v>
      </c>
      <c r="AB6" s="55" t="s">
        <v>72</v>
      </c>
      <c r="AC6" t="s">
        <v>72</v>
      </c>
    </row>
    <row r="7" spans="1:29" x14ac:dyDescent="0.2">
      <c r="A7" s="282">
        <v>6043</v>
      </c>
      <c r="B7" s="282">
        <v>14594</v>
      </c>
      <c r="C7" s="282" t="s">
        <v>3410</v>
      </c>
      <c r="D7" s="282" t="str">
        <f>IF(Table28[[#This Row],[% Leakage Reduction (Calculated)]]&gt;0.4, "Greater than 40% Air Reduction", "Less than 40% Air Reduction")</f>
        <v>Greater than 40% Air Reduction</v>
      </c>
      <c r="E7" s="282" t="s">
        <v>4831</v>
      </c>
      <c r="F7" s="282" t="s">
        <v>4832</v>
      </c>
      <c r="G7" s="282" t="s">
        <v>4833</v>
      </c>
      <c r="H7" s="282" t="s">
        <v>4838</v>
      </c>
      <c r="I7" s="282">
        <v>3980</v>
      </c>
      <c r="J7" s="282" t="s">
        <v>4852</v>
      </c>
      <c r="K7" s="282">
        <v>1420</v>
      </c>
      <c r="L7" s="282" t="s">
        <v>4853</v>
      </c>
      <c r="M7" s="283">
        <f t="shared" si="0"/>
        <v>0.64321608040201006</v>
      </c>
      <c r="N7" s="282">
        <v>2094</v>
      </c>
      <c r="O7" s="282">
        <v>2</v>
      </c>
      <c r="P7" s="282">
        <v>1882</v>
      </c>
      <c r="Q7" s="282">
        <f>2023-Table28[[#This Row],[year_built]]</f>
        <v>141</v>
      </c>
      <c r="R7" s="282">
        <v>55</v>
      </c>
      <c r="S7" s="282" t="s">
        <v>5001</v>
      </c>
      <c r="T7" s="282" t="s">
        <v>5002</v>
      </c>
      <c r="U7" s="282">
        <v>2012</v>
      </c>
      <c r="V7" s="284">
        <f t="shared" si="1"/>
        <v>2.626552053486151E-2</v>
      </c>
      <c r="W7" s="292">
        <f>Table28[[#This Row],[$/sqft]]/INDEX(CPI!$A$3:$C$31,MATCH(Table28[[#This Row],[start_year]],CPI!$A$3:$A$31,0),3)</f>
        <v>3.4788996204828462E-2</v>
      </c>
      <c r="X7" s="282" t="s">
        <v>4844</v>
      </c>
      <c r="Y7" s="282" t="s">
        <v>217</v>
      </c>
      <c r="Z7" s="282" t="s">
        <v>5003</v>
      </c>
      <c r="AA7" s="282">
        <v>64.321608040000001</v>
      </c>
      <c r="AB7" s="55" t="s">
        <v>72</v>
      </c>
      <c r="AC7" t="s">
        <v>72</v>
      </c>
    </row>
    <row r="8" spans="1:29" x14ac:dyDescent="0.2">
      <c r="A8" s="282">
        <v>6043</v>
      </c>
      <c r="B8" s="282">
        <v>14601</v>
      </c>
      <c r="C8" s="282" t="s">
        <v>3410</v>
      </c>
      <c r="D8" s="282" t="str">
        <f>IF(Table28[[#This Row],[% Leakage Reduction (Calculated)]]&gt;0.4, "Greater than 40% Air Reduction", "Less than 40% Air Reduction")</f>
        <v>Greater than 40% Air Reduction</v>
      </c>
      <c r="E8" s="282" t="s">
        <v>4831</v>
      </c>
      <c r="F8" s="282" t="s">
        <v>4832</v>
      </c>
      <c r="G8" s="282" t="s">
        <v>4833</v>
      </c>
      <c r="H8" s="282" t="s">
        <v>4838</v>
      </c>
      <c r="I8" s="282">
        <v>3980</v>
      </c>
      <c r="J8" s="282" t="s">
        <v>4852</v>
      </c>
      <c r="K8" s="282">
        <v>1420</v>
      </c>
      <c r="L8" s="282" t="s">
        <v>4853</v>
      </c>
      <c r="M8" s="283">
        <f t="shared" si="0"/>
        <v>0.64321608040201006</v>
      </c>
      <c r="N8" s="282">
        <v>2094</v>
      </c>
      <c r="O8" s="282">
        <v>2</v>
      </c>
      <c r="P8" s="282">
        <v>1882</v>
      </c>
      <c r="Q8" s="282">
        <f>2023-Table28[[#This Row],[year_built]]</f>
        <v>141</v>
      </c>
      <c r="R8" s="282">
        <v>55</v>
      </c>
      <c r="S8" s="282" t="s">
        <v>5001</v>
      </c>
      <c r="T8" s="282" t="s">
        <v>5002</v>
      </c>
      <c r="U8" s="282">
        <v>2012</v>
      </c>
      <c r="V8" s="284">
        <f t="shared" si="1"/>
        <v>2.626552053486151E-2</v>
      </c>
      <c r="W8" s="292">
        <f>Table28[[#This Row],[$/sqft]]/INDEX(CPI!$A$3:$C$31,MATCH(Table28[[#This Row],[start_year]],CPI!$A$3:$A$31,0),3)</f>
        <v>3.4788996204828462E-2</v>
      </c>
      <c r="X8" s="282" t="s">
        <v>4844</v>
      </c>
      <c r="Y8" s="282" t="s">
        <v>217</v>
      </c>
      <c r="Z8" s="282" t="s">
        <v>5003</v>
      </c>
      <c r="AA8" s="282">
        <v>64.321608040000001</v>
      </c>
      <c r="AB8" s="55" t="s">
        <v>72</v>
      </c>
      <c r="AC8" t="s">
        <v>72</v>
      </c>
    </row>
    <row r="9" spans="1:29" x14ac:dyDescent="0.2">
      <c r="A9" s="282">
        <v>6043</v>
      </c>
      <c r="B9" s="282">
        <v>14608</v>
      </c>
      <c r="C9" s="282" t="s">
        <v>3410</v>
      </c>
      <c r="D9" s="282" t="str">
        <f>IF(Table28[[#This Row],[% Leakage Reduction (Calculated)]]&gt;0.4, "Greater than 40% Air Reduction", "Less than 40% Air Reduction")</f>
        <v>Greater than 40% Air Reduction</v>
      </c>
      <c r="E9" s="282" t="s">
        <v>4831</v>
      </c>
      <c r="F9" s="282" t="s">
        <v>4832</v>
      </c>
      <c r="G9" s="282" t="s">
        <v>4833</v>
      </c>
      <c r="H9" s="282" t="s">
        <v>4838</v>
      </c>
      <c r="I9" s="282">
        <v>3980</v>
      </c>
      <c r="J9" s="282" t="s">
        <v>4852</v>
      </c>
      <c r="K9" s="282">
        <v>1420</v>
      </c>
      <c r="L9" s="282" t="s">
        <v>4853</v>
      </c>
      <c r="M9" s="283">
        <f t="shared" si="0"/>
        <v>0.64321608040201006</v>
      </c>
      <c r="N9" s="282">
        <v>2094</v>
      </c>
      <c r="O9" s="282">
        <v>2</v>
      </c>
      <c r="P9" s="282">
        <v>1882</v>
      </c>
      <c r="Q9" s="282">
        <f>2023-Table28[[#This Row],[year_built]]</f>
        <v>141</v>
      </c>
      <c r="R9" s="282">
        <v>55</v>
      </c>
      <c r="S9" s="282" t="s">
        <v>5001</v>
      </c>
      <c r="T9" s="282" t="s">
        <v>5002</v>
      </c>
      <c r="U9" s="282">
        <v>2012</v>
      </c>
      <c r="V9" s="284">
        <f t="shared" si="1"/>
        <v>2.626552053486151E-2</v>
      </c>
      <c r="W9" s="292">
        <f>Table28[[#This Row],[$/sqft]]/INDEX(CPI!$A$3:$C$31,MATCH(Table28[[#This Row],[start_year]],CPI!$A$3:$A$31,0),3)</f>
        <v>3.4788996204828462E-2</v>
      </c>
      <c r="X9" s="282" t="s">
        <v>4844</v>
      </c>
      <c r="Y9" s="282" t="s">
        <v>217</v>
      </c>
      <c r="Z9" s="282" t="s">
        <v>5003</v>
      </c>
      <c r="AA9" s="282">
        <v>64.321608040000001</v>
      </c>
      <c r="AB9" s="55" t="s">
        <v>72</v>
      </c>
      <c r="AC9" t="s">
        <v>72</v>
      </c>
    </row>
    <row r="10" spans="1:29" x14ac:dyDescent="0.2">
      <c r="A10" s="282">
        <v>6043</v>
      </c>
      <c r="B10" s="282">
        <v>14615</v>
      </c>
      <c r="C10" s="282" t="s">
        <v>3410</v>
      </c>
      <c r="D10" s="282" t="str">
        <f>IF(Table28[[#This Row],[% Leakage Reduction (Calculated)]]&gt;0.4, "Greater than 40% Air Reduction", "Less than 40% Air Reduction")</f>
        <v>Greater than 40% Air Reduction</v>
      </c>
      <c r="E10" s="282" t="s">
        <v>4831</v>
      </c>
      <c r="F10" s="282" t="s">
        <v>4832</v>
      </c>
      <c r="G10" s="282" t="s">
        <v>4833</v>
      </c>
      <c r="H10" s="282" t="s">
        <v>4838</v>
      </c>
      <c r="I10" s="282">
        <v>3980</v>
      </c>
      <c r="J10" s="282" t="s">
        <v>4852</v>
      </c>
      <c r="K10" s="282">
        <v>1420</v>
      </c>
      <c r="L10" s="282" t="s">
        <v>4853</v>
      </c>
      <c r="M10" s="283">
        <f t="shared" si="0"/>
        <v>0.64321608040201006</v>
      </c>
      <c r="N10" s="282">
        <v>2094</v>
      </c>
      <c r="O10" s="282">
        <v>2</v>
      </c>
      <c r="P10" s="282">
        <v>1882</v>
      </c>
      <c r="Q10" s="282">
        <f>2023-Table28[[#This Row],[year_built]]</f>
        <v>141</v>
      </c>
      <c r="R10" s="282">
        <v>55</v>
      </c>
      <c r="S10" s="282" t="s">
        <v>5001</v>
      </c>
      <c r="T10" s="282" t="s">
        <v>5002</v>
      </c>
      <c r="U10" s="282">
        <v>2012</v>
      </c>
      <c r="V10" s="284">
        <f t="shared" si="1"/>
        <v>2.626552053486151E-2</v>
      </c>
      <c r="W10" s="292">
        <f>Table28[[#This Row],[$/sqft]]/INDEX(CPI!$A$3:$C$31,MATCH(Table28[[#This Row],[start_year]],CPI!$A$3:$A$31,0),3)</f>
        <v>3.4788996204828462E-2</v>
      </c>
      <c r="X10" s="282" t="s">
        <v>4844</v>
      </c>
      <c r="Y10" s="282" t="s">
        <v>217</v>
      </c>
      <c r="Z10" s="282" t="s">
        <v>5003</v>
      </c>
      <c r="AA10" s="282">
        <v>64.321608040000001</v>
      </c>
      <c r="AB10" s="55" t="s">
        <v>72</v>
      </c>
      <c r="AC10" t="s">
        <v>72</v>
      </c>
    </row>
    <row r="11" spans="1:29" x14ac:dyDescent="0.2">
      <c r="A11" s="282">
        <v>6045</v>
      </c>
      <c r="B11" s="282">
        <v>14638</v>
      </c>
      <c r="C11" s="282" t="s">
        <v>3410</v>
      </c>
      <c r="D11" s="282" t="str">
        <f>IF(Table28[[#This Row],[% Leakage Reduction (Calculated)]]&gt;0.4, "Greater than 40% Air Reduction", "Less than 40% Air Reduction")</f>
        <v>Less than 40% Air Reduction</v>
      </c>
      <c r="E11" s="282" t="s">
        <v>4831</v>
      </c>
      <c r="F11" s="282" t="s">
        <v>4832</v>
      </c>
      <c r="G11" s="282" t="s">
        <v>4833</v>
      </c>
      <c r="H11" s="282" t="s">
        <v>4838</v>
      </c>
      <c r="I11" s="282">
        <v>2721</v>
      </c>
      <c r="J11" s="282" t="s">
        <v>4852</v>
      </c>
      <c r="K11" s="282">
        <v>1700</v>
      </c>
      <c r="L11" s="282" t="s">
        <v>4853</v>
      </c>
      <c r="M11" s="283">
        <f t="shared" si="0"/>
        <v>0.37522969496508635</v>
      </c>
      <c r="N11" s="282">
        <v>2569</v>
      </c>
      <c r="O11" s="282">
        <v>2.5</v>
      </c>
      <c r="P11" s="282">
        <v>1912</v>
      </c>
      <c r="Q11" s="282">
        <f>2023-Table28[[#This Row],[year_built]]</f>
        <v>111</v>
      </c>
      <c r="R11" s="282">
        <v>80</v>
      </c>
      <c r="S11" s="282" t="s">
        <v>5001</v>
      </c>
      <c r="T11" s="282" t="s">
        <v>5002</v>
      </c>
      <c r="U11" s="282">
        <v>2019</v>
      </c>
      <c r="V11" s="284">
        <f t="shared" si="1"/>
        <v>3.1140521603736863E-2</v>
      </c>
      <c r="W11" s="292">
        <f>Table28[[#This Row],[$/sqft]]/INDEX(CPI!$A$3:$C$31,MATCH(Table28[[#This Row],[start_year]],CPI!$A$3:$A$31,0),3)</f>
        <v>3.7034933983951433E-2</v>
      </c>
      <c r="X11" s="282" t="s">
        <v>4844</v>
      </c>
      <c r="Y11" s="282" t="s">
        <v>217</v>
      </c>
      <c r="Z11" s="282" t="s">
        <v>4840</v>
      </c>
      <c r="AA11" s="282">
        <v>37.522969500000002</v>
      </c>
      <c r="AB11" s="55" t="s">
        <v>72</v>
      </c>
      <c r="AC11" t="s">
        <v>71</v>
      </c>
    </row>
    <row r="12" spans="1:29" x14ac:dyDescent="0.2">
      <c r="A12" s="282">
        <v>3082</v>
      </c>
      <c r="B12" s="282">
        <v>9363</v>
      </c>
      <c r="C12" s="282" t="s">
        <v>3410</v>
      </c>
      <c r="D12" s="282" t="str">
        <f>IF(Table28[[#This Row],[% Leakage Reduction (Calculated)]]&gt;0.4, "Greater than 40% Air Reduction", "Less than 40% Air Reduction")</f>
        <v>Less than 40% Air Reduction</v>
      </c>
      <c r="E12" s="282" t="s">
        <v>4831</v>
      </c>
      <c r="F12" s="282" t="s">
        <v>4832</v>
      </c>
      <c r="G12" s="282" t="s">
        <v>4833</v>
      </c>
      <c r="H12" s="282" t="s">
        <v>4838</v>
      </c>
      <c r="I12" s="282">
        <v>8.93</v>
      </c>
      <c r="J12" s="282" t="s">
        <v>4834</v>
      </c>
      <c r="K12" s="282">
        <v>5.86</v>
      </c>
      <c r="L12" s="282" t="s">
        <v>4835</v>
      </c>
      <c r="M12" s="283">
        <f t="shared" si="0"/>
        <v>0.34378499440089583</v>
      </c>
      <c r="N12" s="282">
        <v>3791</v>
      </c>
      <c r="O12" s="282">
        <v>3</v>
      </c>
      <c r="P12" s="282">
        <v>1935</v>
      </c>
      <c r="Q12" s="282">
        <f>2023-Table28[[#This Row],[year_built]]</f>
        <v>88</v>
      </c>
      <c r="R12" s="282">
        <v>140</v>
      </c>
      <c r="S12" s="282" t="s">
        <v>4942</v>
      </c>
      <c r="T12" s="282" t="s">
        <v>4906</v>
      </c>
      <c r="U12" s="282">
        <v>2019</v>
      </c>
      <c r="V12" s="284">
        <f t="shared" si="1"/>
        <v>3.6929570034291745E-2</v>
      </c>
      <c r="W12" s="292">
        <f>Table28[[#This Row],[$/sqft]]/INDEX(CPI!$A$3:$C$31,MATCH(Table28[[#This Row],[start_year]],CPI!$A$3:$A$31,0),3)</f>
        <v>4.3919758496003596E-2</v>
      </c>
      <c r="X12" s="282"/>
      <c r="Y12" s="282" t="s">
        <v>217</v>
      </c>
      <c r="Z12" s="282" t="s">
        <v>4907</v>
      </c>
      <c r="AA12" s="282">
        <v>34.378499439999999</v>
      </c>
      <c r="AB12" s="55" t="s">
        <v>72</v>
      </c>
      <c r="AC12" t="s">
        <v>71</v>
      </c>
    </row>
    <row r="13" spans="1:29" x14ac:dyDescent="0.2">
      <c r="A13" s="282">
        <v>4046</v>
      </c>
      <c r="B13" s="282">
        <v>11202</v>
      </c>
      <c r="C13" s="282" t="s">
        <v>3410</v>
      </c>
      <c r="D13" s="282" t="str">
        <f>IF(Table28[[#This Row],[% Leakage Reduction (Calculated)]]&gt;0.4, "Greater than 40% Air Reduction", "Less than 40% Air Reduction")</f>
        <v>Less than 40% Air Reduction</v>
      </c>
      <c r="E13" s="282" t="s">
        <v>4831</v>
      </c>
      <c r="F13" s="282" t="s">
        <v>4832</v>
      </c>
      <c r="G13" s="282" t="s">
        <v>4833</v>
      </c>
      <c r="H13" s="282" t="s">
        <v>4838</v>
      </c>
      <c r="I13" s="282">
        <v>3488</v>
      </c>
      <c r="J13" s="282" t="s">
        <v>4852</v>
      </c>
      <c r="K13" s="282">
        <v>3294</v>
      </c>
      <c r="L13" s="282" t="s">
        <v>4853</v>
      </c>
      <c r="M13" s="283">
        <f t="shared" si="0"/>
        <v>5.5619266055045871E-2</v>
      </c>
      <c r="N13" s="282">
        <v>3550</v>
      </c>
      <c r="O13" s="282"/>
      <c r="P13" s="282">
        <v>1978</v>
      </c>
      <c r="Q13" s="282">
        <f>2023-Table28[[#This Row],[year_built]]</f>
        <v>45</v>
      </c>
      <c r="R13" s="282">
        <v>143.51</v>
      </c>
      <c r="S13" s="282" t="s">
        <v>4973</v>
      </c>
      <c r="T13" s="282" t="s">
        <v>4969</v>
      </c>
      <c r="U13" s="282">
        <v>2019</v>
      </c>
      <c r="V13" s="284">
        <f t="shared" si="1"/>
        <v>4.0425352112676054E-2</v>
      </c>
      <c r="W13" s="292">
        <f>Table28[[#This Row],[$/sqft]]/INDEX(CPI!$A$3:$C$31,MATCH(Table28[[#This Row],[start_year]],CPI!$A$3:$A$31,0),3)</f>
        <v>4.8077237299432099E-2</v>
      </c>
      <c r="X13" s="282" t="s">
        <v>4844</v>
      </c>
      <c r="Y13" s="282"/>
      <c r="Z13" s="282" t="s">
        <v>4840</v>
      </c>
      <c r="AA13" s="282">
        <v>5.5619266060000001</v>
      </c>
      <c r="AB13" s="55" t="s">
        <v>72</v>
      </c>
      <c r="AC13" t="s">
        <v>71</v>
      </c>
    </row>
    <row r="14" spans="1:29" x14ac:dyDescent="0.2">
      <c r="A14" s="282">
        <v>4022</v>
      </c>
      <c r="B14" s="282">
        <v>11092</v>
      </c>
      <c r="C14" s="282" t="s">
        <v>3410</v>
      </c>
      <c r="D14" s="282" t="str">
        <f>IF(Table28[[#This Row],[% Leakage Reduction (Calculated)]]&gt;0.4, "Greater than 40% Air Reduction", "Less than 40% Air Reduction")</f>
        <v>Less than 40% Air Reduction</v>
      </c>
      <c r="E14" s="282" t="s">
        <v>4831</v>
      </c>
      <c r="F14" s="282" t="s">
        <v>4832</v>
      </c>
      <c r="G14" s="282" t="s">
        <v>4833</v>
      </c>
      <c r="H14" s="282" t="s">
        <v>4838</v>
      </c>
      <c r="I14" s="282">
        <v>2654</v>
      </c>
      <c r="J14" s="282" t="s">
        <v>4852</v>
      </c>
      <c r="K14" s="282">
        <v>2485</v>
      </c>
      <c r="L14" s="282" t="s">
        <v>4853</v>
      </c>
      <c r="M14" s="283">
        <f t="shared" si="0"/>
        <v>6.3677467972871132E-2</v>
      </c>
      <c r="N14" s="282">
        <v>2586</v>
      </c>
      <c r="O14" s="282"/>
      <c r="P14" s="282">
        <v>2003</v>
      </c>
      <c r="Q14" s="282">
        <f>2023-Table28[[#This Row],[year_built]]</f>
        <v>20</v>
      </c>
      <c r="R14" s="282">
        <v>106.22</v>
      </c>
      <c r="S14" s="282" t="s">
        <v>4971</v>
      </c>
      <c r="T14" s="282" t="s">
        <v>4969</v>
      </c>
      <c r="U14" s="282">
        <v>2019</v>
      </c>
      <c r="V14" s="284">
        <f t="shared" si="1"/>
        <v>4.1075019334880121E-2</v>
      </c>
      <c r="W14" s="292">
        <f>Table28[[#This Row],[$/sqft]]/INDEX(CPI!$A$3:$C$31,MATCH(Table28[[#This Row],[start_year]],CPI!$A$3:$A$31,0),3)</f>
        <v>4.8849876338431936E-2</v>
      </c>
      <c r="X14" s="282" t="s">
        <v>1241</v>
      </c>
      <c r="Y14" s="282"/>
      <c r="Z14" s="282" t="s">
        <v>4840</v>
      </c>
      <c r="AA14" s="282">
        <v>6.3677467969999997</v>
      </c>
      <c r="AB14" s="55" t="s">
        <v>72</v>
      </c>
      <c r="AC14" t="s">
        <v>71</v>
      </c>
    </row>
    <row r="15" spans="1:29" x14ac:dyDescent="0.2">
      <c r="A15" s="282">
        <v>1256</v>
      </c>
      <c r="B15" s="282">
        <v>3311</v>
      </c>
      <c r="C15" s="282" t="s">
        <v>3410</v>
      </c>
      <c r="D15" s="282" t="str">
        <f>IF(Table28[[#This Row],[% Leakage Reduction (Calculated)]]&gt;0.4, "Greater than 40% Air Reduction", "Less than 40% Air Reduction")</f>
        <v>Less than 40% Air Reduction</v>
      </c>
      <c r="E15" s="282" t="s">
        <v>4831</v>
      </c>
      <c r="F15" s="282" t="s">
        <v>4832</v>
      </c>
      <c r="G15" s="282" t="s">
        <v>4833</v>
      </c>
      <c r="H15" s="282" t="s">
        <v>4838</v>
      </c>
      <c r="I15" s="282">
        <v>11</v>
      </c>
      <c r="J15" s="282" t="s">
        <v>4834</v>
      </c>
      <c r="K15" s="282">
        <v>7.28</v>
      </c>
      <c r="L15" s="282" t="s">
        <v>4835</v>
      </c>
      <c r="M15" s="283">
        <f t="shared" si="0"/>
        <v>0.33818181818181814</v>
      </c>
      <c r="N15" s="282">
        <v>1522</v>
      </c>
      <c r="O15" s="282">
        <v>1</v>
      </c>
      <c r="P15" s="282">
        <v>1966</v>
      </c>
      <c r="Q15" s="282">
        <f>2023-Table28[[#This Row],[year_built]]</f>
        <v>57</v>
      </c>
      <c r="R15" s="282">
        <v>2400</v>
      </c>
      <c r="S15" s="282" t="s">
        <v>4846</v>
      </c>
      <c r="T15" s="282" t="s">
        <v>4837</v>
      </c>
      <c r="U15" s="282">
        <v>2011</v>
      </c>
      <c r="V15" s="284">
        <f t="shared" si="1"/>
        <v>1.5768725361366622</v>
      </c>
      <c r="W15" s="292">
        <f>Table28[[#This Row],[$/sqft]]/INDEX(CPI!$A$3:$C$31,MATCH(Table28[[#This Row],[start_year]],CPI!$A$3:$A$31,0),3)</f>
        <v>2.1318087936692125</v>
      </c>
      <c r="X15" s="282" t="s">
        <v>56</v>
      </c>
      <c r="Y15" s="282" t="s">
        <v>4839</v>
      </c>
      <c r="Z15" s="282" t="s">
        <v>4840</v>
      </c>
      <c r="AA15" s="282">
        <v>33.81818182</v>
      </c>
      <c r="AB15" s="55" t="s">
        <v>71</v>
      </c>
      <c r="AC15" t="s">
        <v>72</v>
      </c>
    </row>
    <row r="16" spans="1:29" x14ac:dyDescent="0.2">
      <c r="A16" s="282">
        <v>1267</v>
      </c>
      <c r="B16" s="282">
        <v>3420</v>
      </c>
      <c r="C16" s="282" t="s">
        <v>3410</v>
      </c>
      <c r="D16" s="282" t="str">
        <f>IF(Table28[[#This Row],[% Leakage Reduction (Calculated)]]&gt;0.4, "Greater than 40% Air Reduction", "Less than 40% Air Reduction")</f>
        <v>Less than 40% Air Reduction</v>
      </c>
      <c r="E16" s="282" t="s">
        <v>4831</v>
      </c>
      <c r="F16" s="282" t="s">
        <v>4832</v>
      </c>
      <c r="G16" s="282" t="s">
        <v>4833</v>
      </c>
      <c r="H16" s="282" t="s">
        <v>4838</v>
      </c>
      <c r="I16" s="282">
        <v>6.79</v>
      </c>
      <c r="J16" s="282" t="s">
        <v>4834</v>
      </c>
      <c r="K16" s="282">
        <v>6.2</v>
      </c>
      <c r="L16" s="282" t="s">
        <v>4835</v>
      </c>
      <c r="M16" s="283">
        <f t="shared" si="0"/>
        <v>8.6892488954344607E-2</v>
      </c>
      <c r="N16" s="282">
        <v>2134</v>
      </c>
      <c r="O16" s="282">
        <v>1</v>
      </c>
      <c r="P16" s="282">
        <v>1997</v>
      </c>
      <c r="Q16" s="282">
        <f>2023-Table28[[#This Row],[year_built]]</f>
        <v>26</v>
      </c>
      <c r="R16" s="282">
        <v>81</v>
      </c>
      <c r="S16" s="282" t="s">
        <v>4851</v>
      </c>
      <c r="T16" s="282" t="s">
        <v>4837</v>
      </c>
      <c r="U16" s="282">
        <v>2013</v>
      </c>
      <c r="V16" s="284">
        <f t="shared" si="1"/>
        <v>3.7956888472352387E-2</v>
      </c>
      <c r="W16" s="292">
        <f>Table28[[#This Row],[$/sqft]]/INDEX(CPI!$A$3:$C$31,MATCH(Table28[[#This Row],[start_year]],CPI!$A$3:$A$31,0),3)</f>
        <v>4.9548585294463619E-2</v>
      </c>
      <c r="X16" s="282" t="s">
        <v>4844</v>
      </c>
      <c r="Y16" s="282" t="s">
        <v>4839</v>
      </c>
      <c r="Z16" s="282" t="s">
        <v>4840</v>
      </c>
      <c r="AA16" s="282">
        <v>8.6892488950000004</v>
      </c>
      <c r="AB16" s="55" t="s">
        <v>72</v>
      </c>
      <c r="AC16" t="s">
        <v>71</v>
      </c>
    </row>
    <row r="17" spans="1:29" x14ac:dyDescent="0.2">
      <c r="A17" s="282">
        <v>4051</v>
      </c>
      <c r="B17" s="282">
        <v>11220</v>
      </c>
      <c r="C17" s="282" t="s">
        <v>3410</v>
      </c>
      <c r="D17" s="282" t="str">
        <f>IF(Table28[[#This Row],[% Leakage Reduction (Calculated)]]&gt;0.4, "Greater than 40% Air Reduction", "Less than 40% Air Reduction")</f>
        <v>Less than 40% Air Reduction</v>
      </c>
      <c r="E17" s="282" t="s">
        <v>4831</v>
      </c>
      <c r="F17" s="282" t="s">
        <v>4832</v>
      </c>
      <c r="G17" s="282" t="s">
        <v>4833</v>
      </c>
      <c r="H17" s="282" t="s">
        <v>4972</v>
      </c>
      <c r="I17" s="282">
        <v>2364</v>
      </c>
      <c r="J17" s="282" t="s">
        <v>4852</v>
      </c>
      <c r="K17" s="282">
        <v>1974</v>
      </c>
      <c r="L17" s="282" t="s">
        <v>4853</v>
      </c>
      <c r="M17" s="283">
        <f t="shared" si="0"/>
        <v>0.1649746192893401</v>
      </c>
      <c r="N17" s="282">
        <v>1906</v>
      </c>
      <c r="O17" s="282"/>
      <c r="P17" s="282">
        <v>2009</v>
      </c>
      <c r="Q17" s="282">
        <f>2023-Table28[[#This Row],[year_built]]</f>
        <v>14</v>
      </c>
      <c r="R17" s="282">
        <v>104.53</v>
      </c>
      <c r="S17" s="282" t="s">
        <v>4973</v>
      </c>
      <c r="T17" s="282" t="s">
        <v>4969</v>
      </c>
      <c r="U17" s="282">
        <v>2019</v>
      </c>
      <c r="V17" s="284">
        <f t="shared" si="1"/>
        <v>5.4842602308499473E-2</v>
      </c>
      <c r="W17" s="292">
        <f>Table28[[#This Row],[$/sqft]]/INDEX(CPI!$A$3:$C$31,MATCH(Table28[[#This Row],[start_year]],CPI!$A$3:$A$31,0),3)</f>
        <v>6.5223446859658543E-2</v>
      </c>
      <c r="X17" s="282" t="s">
        <v>1241</v>
      </c>
      <c r="Y17" s="282"/>
      <c r="Z17" s="282" t="s">
        <v>4840</v>
      </c>
      <c r="AA17" s="282">
        <v>16.49746193</v>
      </c>
      <c r="AB17" s="55" t="s">
        <v>72</v>
      </c>
      <c r="AC17" t="s">
        <v>71</v>
      </c>
    </row>
    <row r="18" spans="1:29" x14ac:dyDescent="0.2">
      <c r="A18" s="282">
        <v>1265</v>
      </c>
      <c r="B18" s="282">
        <v>3403</v>
      </c>
      <c r="C18" s="282" t="s">
        <v>3410</v>
      </c>
      <c r="D18" s="282" t="str">
        <f>IF(Table28[[#This Row],[% Leakage Reduction (Calculated)]]&gt;0.4, "Greater than 40% Air Reduction", "Less than 40% Air Reduction")</f>
        <v>Greater than 40% Air Reduction</v>
      </c>
      <c r="E18" s="282" t="s">
        <v>4831</v>
      </c>
      <c r="F18" s="282" t="s">
        <v>4832</v>
      </c>
      <c r="G18" s="282" t="s">
        <v>4833</v>
      </c>
      <c r="H18" s="282" t="s">
        <v>4838</v>
      </c>
      <c r="I18" s="282">
        <v>41.8</v>
      </c>
      <c r="J18" s="282" t="s">
        <v>4834</v>
      </c>
      <c r="K18" s="282">
        <v>8.2100000000000009</v>
      </c>
      <c r="L18" s="282" t="s">
        <v>4834</v>
      </c>
      <c r="M18" s="283">
        <f t="shared" si="0"/>
        <v>0.80358851674641141</v>
      </c>
      <c r="N18" s="282">
        <v>1190</v>
      </c>
      <c r="O18" s="282">
        <v>1</v>
      </c>
      <c r="P18" s="282">
        <v>1967</v>
      </c>
      <c r="Q18" s="282">
        <f>2023-Table28[[#This Row],[year_built]]</f>
        <v>56</v>
      </c>
      <c r="R18" s="282">
        <v>4</v>
      </c>
      <c r="S18" s="282" t="s">
        <v>4848</v>
      </c>
      <c r="T18" s="282" t="s">
        <v>4837</v>
      </c>
      <c r="U18" s="282">
        <v>2010</v>
      </c>
      <c r="V18" s="284">
        <f t="shared" si="1"/>
        <v>3.3613445378151263E-3</v>
      </c>
      <c r="W18" s="292">
        <f>Table28[[#This Row],[$/sqft]]/INDEX(CPI!$A$3:$C$31,MATCH(Table28[[#This Row],[start_year]],CPI!$A$3:$A$31,0),3)</f>
        <v>4.6877172558864692E-3</v>
      </c>
      <c r="X18" s="282" t="s">
        <v>56</v>
      </c>
      <c r="Y18" s="282" t="s">
        <v>4839</v>
      </c>
      <c r="Z18" s="282" t="s">
        <v>4840</v>
      </c>
      <c r="AA18" s="282"/>
      <c r="AB18" s="55" t="s">
        <v>71</v>
      </c>
      <c r="AC18" t="s">
        <v>72</v>
      </c>
    </row>
    <row r="19" spans="1:29" x14ac:dyDescent="0.2">
      <c r="A19" s="282">
        <v>1266</v>
      </c>
      <c r="B19" s="282">
        <v>3411</v>
      </c>
      <c r="C19" s="282" t="s">
        <v>3410</v>
      </c>
      <c r="D19" s="282" t="str">
        <f>IF(Table28[[#This Row],[% Leakage Reduction (Calculated)]]&gt;0.4, "Greater than 40% Air Reduction", "Less than 40% Air Reduction")</f>
        <v>Less than 40% Air Reduction</v>
      </c>
      <c r="E19" s="282" t="s">
        <v>4831</v>
      </c>
      <c r="F19" s="282" t="s">
        <v>4832</v>
      </c>
      <c r="G19" s="282" t="s">
        <v>4833</v>
      </c>
      <c r="H19" s="282" t="s">
        <v>4850</v>
      </c>
      <c r="I19" s="282">
        <v>8.26</v>
      </c>
      <c r="J19" s="282" t="s">
        <v>4834</v>
      </c>
      <c r="K19" s="282">
        <v>8.25</v>
      </c>
      <c r="L19" s="282" t="s">
        <v>4835</v>
      </c>
      <c r="M19" s="283">
        <f t="shared" si="0"/>
        <v>1.2106537530266086E-3</v>
      </c>
      <c r="N19" s="282">
        <v>2650</v>
      </c>
      <c r="O19" s="282">
        <v>2</v>
      </c>
      <c r="P19" s="282">
        <v>1989</v>
      </c>
      <c r="Q19" s="282">
        <f>2023-Table28[[#This Row],[year_built]]</f>
        <v>34</v>
      </c>
      <c r="R19" s="282">
        <v>45</v>
      </c>
      <c r="S19" s="282" t="s">
        <v>4836</v>
      </c>
      <c r="T19" s="282" t="s">
        <v>4837</v>
      </c>
      <c r="U19" s="282">
        <v>2013</v>
      </c>
      <c r="V19" s="284">
        <f t="shared" si="1"/>
        <v>1.6981132075471698E-2</v>
      </c>
      <c r="W19" s="292">
        <f>Table28[[#This Row],[$/sqft]]/INDEX(CPI!$A$3:$C$31,MATCH(Table28[[#This Row],[start_year]],CPI!$A$3:$A$31,0),3)</f>
        <v>2.2167019081422511E-2</v>
      </c>
      <c r="X19" s="282" t="s">
        <v>56</v>
      </c>
      <c r="Y19" s="282" t="s">
        <v>4839</v>
      </c>
      <c r="Z19" s="282" t="s">
        <v>4840</v>
      </c>
      <c r="AA19" s="282">
        <v>0.121065375</v>
      </c>
      <c r="AB19" s="55" t="s">
        <v>71</v>
      </c>
      <c r="AC19" t="s">
        <v>72</v>
      </c>
    </row>
    <row r="20" spans="1:29" x14ac:dyDescent="0.2">
      <c r="A20" s="282">
        <v>1274</v>
      </c>
      <c r="B20" s="282">
        <v>3485</v>
      </c>
      <c r="C20" s="282" t="s">
        <v>3410</v>
      </c>
      <c r="D20" s="282" t="str">
        <f>IF(Table28[[#This Row],[% Leakage Reduction (Calculated)]]&gt;0.4, "Greater than 40% Air Reduction", "Less than 40% Air Reduction")</f>
        <v>Less than 40% Air Reduction</v>
      </c>
      <c r="E20" s="282" t="s">
        <v>4831</v>
      </c>
      <c r="F20" s="282" t="s">
        <v>4832</v>
      </c>
      <c r="G20" s="282" t="s">
        <v>4833</v>
      </c>
      <c r="H20" s="282" t="s">
        <v>4838</v>
      </c>
      <c r="I20" s="282">
        <v>11.38</v>
      </c>
      <c r="J20" s="282" t="s">
        <v>4834</v>
      </c>
      <c r="K20" s="282">
        <v>8.31</v>
      </c>
      <c r="L20" s="282" t="s">
        <v>4835</v>
      </c>
      <c r="M20" s="283">
        <f t="shared" si="0"/>
        <v>0.26977152899824253</v>
      </c>
      <c r="N20" s="282">
        <v>2233</v>
      </c>
      <c r="O20" s="282">
        <v>2</v>
      </c>
      <c r="P20" s="282">
        <v>1994</v>
      </c>
      <c r="Q20" s="282">
        <f>2023-Table28[[#This Row],[year_built]]</f>
        <v>29</v>
      </c>
      <c r="R20" s="282">
        <v>132</v>
      </c>
      <c r="S20" s="282" t="s">
        <v>4842</v>
      </c>
      <c r="T20" s="282" t="s">
        <v>4837</v>
      </c>
      <c r="U20" s="282">
        <v>2013</v>
      </c>
      <c r="V20" s="284">
        <f t="shared" si="1"/>
        <v>5.9113300492610835E-2</v>
      </c>
      <c r="W20" s="292">
        <f>Table28[[#This Row],[$/sqft]]/INDEX(CPI!$A$3:$C$31,MATCH(Table28[[#This Row],[start_year]],CPI!$A$3:$A$31,0),3)</f>
        <v>7.7165977754705614E-2</v>
      </c>
      <c r="X20" s="282" t="s">
        <v>4844</v>
      </c>
      <c r="Y20" s="282" t="s">
        <v>4839</v>
      </c>
      <c r="Z20" s="282" t="s">
        <v>4840</v>
      </c>
      <c r="AA20" s="282">
        <v>26.9771529</v>
      </c>
      <c r="AB20" s="55" t="s">
        <v>72</v>
      </c>
      <c r="AC20" t="s">
        <v>71</v>
      </c>
    </row>
    <row r="21" spans="1:29" x14ac:dyDescent="0.2">
      <c r="A21" s="282">
        <v>4001</v>
      </c>
      <c r="B21" s="282">
        <v>11004</v>
      </c>
      <c r="C21" s="282" t="s">
        <v>3410</v>
      </c>
      <c r="D21" s="282" t="str">
        <f>IF(Table28[[#This Row],[% Leakage Reduction (Calculated)]]&gt;0.4, "Greater than 40% Air Reduction", "Less than 40% Air Reduction")</f>
        <v>Less than 40% Air Reduction</v>
      </c>
      <c r="E21" s="282" t="s">
        <v>4831</v>
      </c>
      <c r="F21" s="282" t="s">
        <v>4832</v>
      </c>
      <c r="G21" s="282" t="s">
        <v>4833</v>
      </c>
      <c r="H21" s="282" t="s">
        <v>4838</v>
      </c>
      <c r="I21" s="282">
        <v>2016</v>
      </c>
      <c r="J21" s="282" t="s">
        <v>4852</v>
      </c>
      <c r="K21" s="282">
        <v>1646</v>
      </c>
      <c r="L21" s="282" t="s">
        <v>4853</v>
      </c>
      <c r="M21" s="283">
        <f t="shared" si="0"/>
        <v>0.18353174603174602</v>
      </c>
      <c r="N21" s="282">
        <v>1588</v>
      </c>
      <c r="O21" s="282"/>
      <c r="P21" s="282">
        <v>1996</v>
      </c>
      <c r="Q21" s="282">
        <f>2023-Table28[[#This Row],[year_built]]</f>
        <v>27</v>
      </c>
      <c r="R21" s="282">
        <v>122.61</v>
      </c>
      <c r="S21" s="282" t="s">
        <v>4968</v>
      </c>
      <c r="T21" s="282" t="s">
        <v>4969</v>
      </c>
      <c r="U21" s="282">
        <v>2019</v>
      </c>
      <c r="V21" s="284">
        <f t="shared" si="1"/>
        <v>7.7210327455919395E-2</v>
      </c>
      <c r="W21" s="292">
        <f>Table28[[#This Row],[$/sqft]]/INDEX(CPI!$A$3:$C$31,MATCH(Table28[[#This Row],[start_year]],CPI!$A$3:$A$31,0),3)</f>
        <v>9.1825031596969448E-2</v>
      </c>
      <c r="X21" s="282" t="s">
        <v>1241</v>
      </c>
      <c r="Y21" s="282"/>
      <c r="Z21" s="282" t="s">
        <v>4840</v>
      </c>
      <c r="AA21" s="282">
        <v>18.353174599999999</v>
      </c>
      <c r="AB21" s="55" t="s">
        <v>72</v>
      </c>
      <c r="AC21" t="s">
        <v>71</v>
      </c>
    </row>
    <row r="22" spans="1:29" x14ac:dyDescent="0.2">
      <c r="A22" s="282">
        <v>4005</v>
      </c>
      <c r="B22" s="282">
        <v>11021</v>
      </c>
      <c r="C22" s="282" t="s">
        <v>3410</v>
      </c>
      <c r="D22" s="282" t="str">
        <f>IF(Table28[[#This Row],[% Leakage Reduction (Calculated)]]&gt;0.4, "Greater than 40% Air Reduction", "Less than 40% Air Reduction")</f>
        <v>Less than 40% Air Reduction</v>
      </c>
      <c r="E22" s="282" t="s">
        <v>4831</v>
      </c>
      <c r="F22" s="282" t="s">
        <v>4832</v>
      </c>
      <c r="G22" s="282" t="s">
        <v>4833</v>
      </c>
      <c r="H22" s="282" t="s">
        <v>4972</v>
      </c>
      <c r="I22" s="282">
        <v>2241</v>
      </c>
      <c r="J22" s="282" t="s">
        <v>4852</v>
      </c>
      <c r="K22" s="282">
        <v>1705</v>
      </c>
      <c r="L22" s="282" t="s">
        <v>4853</v>
      </c>
      <c r="M22" s="283">
        <f t="shared" si="0"/>
        <v>0.23917893797411871</v>
      </c>
      <c r="N22" s="282">
        <v>1350</v>
      </c>
      <c r="O22" s="282"/>
      <c r="P22" s="282">
        <v>1998</v>
      </c>
      <c r="Q22" s="282">
        <f>2023-Table28[[#This Row],[year_built]]</f>
        <v>25</v>
      </c>
      <c r="R22" s="282">
        <v>122.61</v>
      </c>
      <c r="S22" s="282" t="s">
        <v>4971</v>
      </c>
      <c r="T22" s="282" t="s">
        <v>4969</v>
      </c>
      <c r="U22" s="282">
        <v>2019</v>
      </c>
      <c r="V22" s="284">
        <f t="shared" si="1"/>
        <v>9.0822222222222221E-2</v>
      </c>
      <c r="W22" s="292">
        <f>Table28[[#This Row],[$/sqft]]/INDEX(CPI!$A$3:$C$31,MATCH(Table28[[#This Row],[start_year]],CPI!$A$3:$A$31,0),3)</f>
        <v>0.10801344457480555</v>
      </c>
      <c r="X22" s="282" t="s">
        <v>4844</v>
      </c>
      <c r="Y22" s="282"/>
      <c r="Z22" s="282" t="s">
        <v>4840</v>
      </c>
      <c r="AA22" s="282">
        <v>23.917893800000002</v>
      </c>
      <c r="AB22" s="55" t="s">
        <v>72</v>
      </c>
      <c r="AC22" t="s">
        <v>71</v>
      </c>
    </row>
    <row r="23" spans="1:29" x14ac:dyDescent="0.2">
      <c r="A23" s="282">
        <v>1281</v>
      </c>
      <c r="B23" s="282">
        <v>3581</v>
      </c>
      <c r="C23" s="282" t="s">
        <v>3410</v>
      </c>
      <c r="D23" s="282" t="str">
        <f>IF(Table28[[#This Row],[% Leakage Reduction (Calculated)]]&gt;0.4, "Greater than 40% Air Reduction", "Less than 40% Air Reduction")</f>
        <v>Greater than 40% Air Reduction</v>
      </c>
      <c r="E23" s="282" t="s">
        <v>4831</v>
      </c>
      <c r="F23" s="282" t="s">
        <v>4832</v>
      </c>
      <c r="G23" s="282" t="s">
        <v>4833</v>
      </c>
      <c r="H23" s="282" t="s">
        <v>4838</v>
      </c>
      <c r="I23" s="282">
        <v>3950</v>
      </c>
      <c r="J23" s="282" t="s">
        <v>4852</v>
      </c>
      <c r="K23" s="282">
        <v>1065</v>
      </c>
      <c r="L23" s="282" t="s">
        <v>4853</v>
      </c>
      <c r="M23" s="283">
        <f t="shared" si="0"/>
        <v>0.73037974683544304</v>
      </c>
      <c r="N23" s="282">
        <v>1800</v>
      </c>
      <c r="O23" s="282"/>
      <c r="P23" s="282">
        <v>1950</v>
      </c>
      <c r="Q23" s="282">
        <f>2023-Table28[[#This Row],[year_built]]</f>
        <v>73</v>
      </c>
      <c r="R23" s="282">
        <v>4000</v>
      </c>
      <c r="S23" s="282" t="s">
        <v>4854</v>
      </c>
      <c r="T23" s="282" t="s">
        <v>4855</v>
      </c>
      <c r="U23" s="282">
        <v>2013</v>
      </c>
      <c r="V23" s="284">
        <f t="shared" si="1"/>
        <v>2.2222222222222223</v>
      </c>
      <c r="W23" s="292">
        <f>Table28[[#This Row],[$/sqft]]/INDEX(CPI!$A$3:$C$31,MATCH(Table28[[#This Row],[start_year]],CPI!$A$3:$A$31,0),3)</f>
        <v>2.9008691637417114</v>
      </c>
      <c r="X23" s="282" t="s">
        <v>4844</v>
      </c>
      <c r="Y23" s="282" t="s">
        <v>217</v>
      </c>
      <c r="Z23" s="282" t="s">
        <v>4840</v>
      </c>
      <c r="AA23" s="282">
        <v>73.037974680000005</v>
      </c>
      <c r="AB23" s="55" t="s">
        <v>71</v>
      </c>
      <c r="AC23" t="s">
        <v>72</v>
      </c>
    </row>
    <row r="24" spans="1:29" x14ac:dyDescent="0.2">
      <c r="A24" s="282">
        <v>1284</v>
      </c>
      <c r="B24" s="282">
        <v>3636</v>
      </c>
      <c r="C24" s="282" t="s">
        <v>3410</v>
      </c>
      <c r="D24" s="282" t="str">
        <f>IF(Table28[[#This Row],[% Leakage Reduction (Calculated)]]&gt;0.4, "Greater than 40% Air Reduction", "Less than 40% Air Reduction")</f>
        <v>Greater than 40% Air Reduction</v>
      </c>
      <c r="E24" s="282" t="s">
        <v>4831</v>
      </c>
      <c r="F24" s="282" t="s">
        <v>4832</v>
      </c>
      <c r="G24" s="282" t="s">
        <v>4833</v>
      </c>
      <c r="H24" s="282" t="s">
        <v>4838</v>
      </c>
      <c r="I24" s="282">
        <v>5850</v>
      </c>
      <c r="J24" s="282" t="s">
        <v>4852</v>
      </c>
      <c r="K24" s="282">
        <v>2500</v>
      </c>
      <c r="L24" s="282" t="s">
        <v>4853</v>
      </c>
      <c r="M24" s="283">
        <f t="shared" si="0"/>
        <v>0.57264957264957261</v>
      </c>
      <c r="N24" s="282"/>
      <c r="O24" s="282"/>
      <c r="P24" s="282">
        <v>1939</v>
      </c>
      <c r="Q24" s="282">
        <f>2023-Table28[[#This Row],[year_built]]</f>
        <v>84</v>
      </c>
      <c r="R24" s="282">
        <v>1754</v>
      </c>
      <c r="S24" s="282" t="s">
        <v>4856</v>
      </c>
      <c r="T24" s="282" t="s">
        <v>4857</v>
      </c>
      <c r="U24" s="282">
        <v>2010</v>
      </c>
      <c r="V24" s="284" t="str">
        <f t="shared" si="1"/>
        <v/>
      </c>
      <c r="W24" s="292" t="e">
        <f>Table28[[#This Row],[$/sqft]]/INDEX(CPI!$A$3:$C$31,MATCH(Table28[[#This Row],[start_year]],CPI!$A$3:$A$31,0),3)</f>
        <v>#VALUE!</v>
      </c>
      <c r="X24" s="282" t="s">
        <v>4844</v>
      </c>
      <c r="Y24" s="282"/>
      <c r="Z24" s="282" t="s">
        <v>4840</v>
      </c>
      <c r="AA24" s="282">
        <v>57.264957260000003</v>
      </c>
      <c r="AB24" s="55" t="s">
        <v>71</v>
      </c>
      <c r="AC24" t="s">
        <v>72</v>
      </c>
    </row>
    <row r="25" spans="1:29" x14ac:dyDescent="0.2">
      <c r="A25" s="282">
        <v>5247</v>
      </c>
      <c r="B25" s="282">
        <v>13461</v>
      </c>
      <c r="C25" s="282" t="s">
        <v>3410</v>
      </c>
      <c r="D25" s="282" t="str">
        <f>IF(Table28[[#This Row],[% Leakage Reduction (Calculated)]]&gt;0.4, "Greater than 40% Air Reduction", "Less than 40% Air Reduction")</f>
        <v>Less than 40% Air Reduction</v>
      </c>
      <c r="E25" s="282" t="s">
        <v>4831</v>
      </c>
      <c r="F25" s="282" t="s">
        <v>4832</v>
      </c>
      <c r="G25" s="282" t="s">
        <v>4833</v>
      </c>
      <c r="H25" s="282" t="s">
        <v>4838</v>
      </c>
      <c r="I25" s="282">
        <v>2190</v>
      </c>
      <c r="J25" s="282" t="s">
        <v>4852</v>
      </c>
      <c r="K25" s="282">
        <v>1726</v>
      </c>
      <c r="L25" s="282" t="s">
        <v>4853</v>
      </c>
      <c r="M25" s="283">
        <f t="shared" si="0"/>
        <v>0.21187214611872146</v>
      </c>
      <c r="N25" s="282">
        <v>2100</v>
      </c>
      <c r="O25" s="282"/>
      <c r="P25" s="282">
        <v>2000</v>
      </c>
      <c r="Q25" s="282">
        <f>2023-Table28[[#This Row],[year_built]]</f>
        <v>23</v>
      </c>
      <c r="R25" s="282">
        <v>210</v>
      </c>
      <c r="S25" s="282" t="s">
        <v>4978</v>
      </c>
      <c r="T25" s="282" t="s">
        <v>4979</v>
      </c>
      <c r="U25" s="282">
        <v>2018</v>
      </c>
      <c r="V25" s="284">
        <f t="shared" si="1"/>
        <v>0.1</v>
      </c>
      <c r="W25" s="292">
        <f>Table28[[#This Row],[$/sqft]]/INDEX(CPI!$A$3:$C$31,MATCH(Table28[[#This Row],[start_year]],CPI!$A$3:$A$31,0),3)</f>
        <v>0.12110712863401037</v>
      </c>
      <c r="X25" s="282" t="s">
        <v>4844</v>
      </c>
      <c r="Y25" s="282"/>
      <c r="Z25" s="282" t="s">
        <v>4840</v>
      </c>
      <c r="AA25" s="282">
        <v>21.187214610000002</v>
      </c>
      <c r="AB25" s="55" t="s">
        <v>72</v>
      </c>
      <c r="AC25" t="s">
        <v>71</v>
      </c>
    </row>
    <row r="26" spans="1:29" x14ac:dyDescent="0.2">
      <c r="A26" s="282">
        <v>4044</v>
      </c>
      <c r="B26" s="282">
        <v>11193</v>
      </c>
      <c r="C26" s="282" t="s">
        <v>3410</v>
      </c>
      <c r="D26" s="282" t="str">
        <f>IF(Table28[[#This Row],[% Leakage Reduction (Calculated)]]&gt;0.4, "Greater than 40% Air Reduction", "Less than 40% Air Reduction")</f>
        <v>Less than 40% Air Reduction</v>
      </c>
      <c r="E26" s="282" t="s">
        <v>4831</v>
      </c>
      <c r="F26" s="282" t="s">
        <v>4832</v>
      </c>
      <c r="G26" s="282" t="s">
        <v>4833</v>
      </c>
      <c r="H26" s="282" t="s">
        <v>4838</v>
      </c>
      <c r="I26" s="282">
        <v>1910</v>
      </c>
      <c r="J26" s="282" t="s">
        <v>4852</v>
      </c>
      <c r="K26" s="282">
        <v>1405</v>
      </c>
      <c r="L26" s="282" t="s">
        <v>4853</v>
      </c>
      <c r="M26" s="283">
        <f t="shared" si="0"/>
        <v>0.26439790575916228</v>
      </c>
      <c r="N26" s="282">
        <v>1222</v>
      </c>
      <c r="O26" s="282"/>
      <c r="P26" s="282">
        <v>2000</v>
      </c>
      <c r="Q26" s="282">
        <f>2023-Table28[[#This Row],[year_built]]</f>
        <v>23</v>
      </c>
      <c r="R26" s="282">
        <v>131.5</v>
      </c>
      <c r="S26" s="282" t="s">
        <v>4971</v>
      </c>
      <c r="T26" s="282" t="s">
        <v>4969</v>
      </c>
      <c r="U26" s="282">
        <v>2019</v>
      </c>
      <c r="V26" s="284">
        <f t="shared" si="1"/>
        <v>0.10761047463175123</v>
      </c>
      <c r="W26" s="292">
        <f>Table28[[#This Row],[$/sqft]]/INDEX(CPI!$A$3:$C$31,MATCH(Table28[[#This Row],[start_year]],CPI!$A$3:$A$31,0),3)</f>
        <v>0.12797944988469123</v>
      </c>
      <c r="X26" s="282" t="s">
        <v>1241</v>
      </c>
      <c r="Y26" s="282"/>
      <c r="Z26" s="282" t="s">
        <v>4840</v>
      </c>
      <c r="AA26" s="282">
        <v>26.43979058</v>
      </c>
      <c r="AB26" s="55" t="s">
        <v>72</v>
      </c>
      <c r="AC26" t="s">
        <v>71</v>
      </c>
    </row>
    <row r="27" spans="1:29" x14ac:dyDescent="0.2">
      <c r="A27" s="282">
        <v>3111</v>
      </c>
      <c r="B27" s="282">
        <v>9480</v>
      </c>
      <c r="C27" s="282" t="s">
        <v>3410</v>
      </c>
      <c r="D27" s="282" t="str">
        <f>IF(Table28[[#This Row],[% Leakage Reduction (Calculated)]]&gt;0.4, "Greater than 40% Air Reduction", "Less than 40% Air Reduction")</f>
        <v>Less than 40% Air Reduction</v>
      </c>
      <c r="E27" s="282" t="s">
        <v>4831</v>
      </c>
      <c r="F27" s="282" t="s">
        <v>4832</v>
      </c>
      <c r="G27" s="282" t="s">
        <v>4833</v>
      </c>
      <c r="H27" s="282" t="s">
        <v>4838</v>
      </c>
      <c r="I27" s="282">
        <v>5.9</v>
      </c>
      <c r="J27" s="282" t="s">
        <v>4834</v>
      </c>
      <c r="K27" s="282">
        <v>5.0199999999999996</v>
      </c>
      <c r="L27" s="282" t="s">
        <v>4835</v>
      </c>
      <c r="M27" s="283">
        <f t="shared" si="0"/>
        <v>0.14915254237288147</v>
      </c>
      <c r="N27" s="282">
        <v>4620</v>
      </c>
      <c r="O27" s="282">
        <v>2</v>
      </c>
      <c r="P27" s="282">
        <v>1989</v>
      </c>
      <c r="Q27" s="282">
        <f>2023-Table28[[#This Row],[year_built]]</f>
        <v>34</v>
      </c>
      <c r="R27" s="282">
        <v>500</v>
      </c>
      <c r="S27" s="282" t="s">
        <v>4950</v>
      </c>
      <c r="T27" s="282" t="s">
        <v>4906</v>
      </c>
      <c r="U27" s="282">
        <v>2019</v>
      </c>
      <c r="V27" s="284">
        <f t="shared" si="1"/>
        <v>0.10822510822510822</v>
      </c>
      <c r="W27" s="292">
        <f>Table28[[#This Row],[$/sqft]]/INDEX(CPI!$A$3:$C$31,MATCH(Table28[[#This Row],[start_year]],CPI!$A$3:$A$31,0),3)</f>
        <v>0.12871042397831606</v>
      </c>
      <c r="X27" s="282"/>
      <c r="Y27" s="282" t="s">
        <v>4917</v>
      </c>
      <c r="Z27" s="282" t="s">
        <v>4840</v>
      </c>
      <c r="AA27" s="282">
        <v>14.915254239999999</v>
      </c>
      <c r="AB27" s="55" t="s">
        <v>72</v>
      </c>
      <c r="AC27" t="s">
        <v>71</v>
      </c>
    </row>
    <row r="28" spans="1:29" x14ac:dyDescent="0.2">
      <c r="A28" s="282">
        <v>3045</v>
      </c>
      <c r="B28" s="282">
        <v>9210</v>
      </c>
      <c r="C28" s="282" t="s">
        <v>3410</v>
      </c>
      <c r="D28" s="282" t="str">
        <f>IF(Table28[[#This Row],[% Leakage Reduction (Calculated)]]&gt;0.4, "Greater than 40% Air Reduction", "Less than 40% Air Reduction")</f>
        <v>Greater than 40% Air Reduction</v>
      </c>
      <c r="E28" s="282" t="s">
        <v>4831</v>
      </c>
      <c r="F28" s="282" t="s">
        <v>4832</v>
      </c>
      <c r="G28" s="282" t="s">
        <v>4833</v>
      </c>
      <c r="H28" s="282" t="s">
        <v>4838</v>
      </c>
      <c r="I28" s="282">
        <v>8.33</v>
      </c>
      <c r="J28" s="282" t="s">
        <v>4834</v>
      </c>
      <c r="K28" s="282">
        <v>4.57</v>
      </c>
      <c r="L28" s="282" t="s">
        <v>4835</v>
      </c>
      <c r="M28" s="283">
        <f t="shared" si="0"/>
        <v>0.45138055222088835</v>
      </c>
      <c r="N28" s="282">
        <v>3388</v>
      </c>
      <c r="O28" s="282">
        <v>2</v>
      </c>
      <c r="P28" s="282">
        <v>1984</v>
      </c>
      <c r="Q28" s="282">
        <f>2023-Table28[[#This Row],[year_built]]</f>
        <v>39</v>
      </c>
      <c r="R28" s="282">
        <v>400</v>
      </c>
      <c r="S28" s="282" t="s">
        <v>4905</v>
      </c>
      <c r="T28" s="282" t="s">
        <v>4906</v>
      </c>
      <c r="U28" s="282">
        <v>2019</v>
      </c>
      <c r="V28" s="284">
        <f t="shared" si="1"/>
        <v>0.1180637544273908</v>
      </c>
      <c r="W28" s="292">
        <f>Table28[[#This Row],[$/sqft]]/INDEX(CPI!$A$3:$C$31,MATCH(Table28[[#This Row],[start_year]],CPI!$A$3:$A$31,0),3)</f>
        <v>0.14041137161270842</v>
      </c>
      <c r="X28" s="282"/>
      <c r="Y28" s="282" t="s">
        <v>217</v>
      </c>
      <c r="Z28" s="282" t="s">
        <v>4907</v>
      </c>
      <c r="AA28" s="282">
        <v>45.138055219999998</v>
      </c>
      <c r="AB28" s="55" t="s">
        <v>72</v>
      </c>
      <c r="AC28" t="s">
        <v>71</v>
      </c>
    </row>
    <row r="29" spans="1:29" x14ac:dyDescent="0.2">
      <c r="A29" s="282">
        <v>1291</v>
      </c>
      <c r="B29" s="282">
        <v>3728</v>
      </c>
      <c r="C29" s="282" t="s">
        <v>3410</v>
      </c>
      <c r="D29" s="282" t="str">
        <f>IF(Table28[[#This Row],[% Leakage Reduction (Calculated)]]&gt;0.4, "Greater than 40% Air Reduction", "Less than 40% Air Reduction")</f>
        <v>Less than 40% Air Reduction</v>
      </c>
      <c r="E29" s="282" t="s">
        <v>4831</v>
      </c>
      <c r="F29" s="282" t="s">
        <v>4832</v>
      </c>
      <c r="G29" s="282" t="s">
        <v>4833</v>
      </c>
      <c r="H29" s="282" t="s">
        <v>4838</v>
      </c>
      <c r="I29" s="282">
        <v>4879</v>
      </c>
      <c r="J29" s="282" t="s">
        <v>4852</v>
      </c>
      <c r="K29" s="282">
        <v>3646</v>
      </c>
      <c r="L29" s="282" t="s">
        <v>4853</v>
      </c>
      <c r="M29" s="283">
        <f t="shared" si="0"/>
        <v>0.25271572043451529</v>
      </c>
      <c r="N29" s="282">
        <v>3072</v>
      </c>
      <c r="O29" s="282"/>
      <c r="P29" s="282" t="s">
        <v>5294</v>
      </c>
      <c r="Q29" s="282" t="e">
        <f>2023-Table28[[#This Row],[year_built]]</f>
        <v>#VALUE!</v>
      </c>
      <c r="R29" s="282">
        <v>350</v>
      </c>
      <c r="S29" s="282" t="s">
        <v>4865</v>
      </c>
      <c r="T29" s="282" t="s">
        <v>4859</v>
      </c>
      <c r="U29" s="282">
        <v>2017</v>
      </c>
      <c r="V29" s="284">
        <f t="shared" si="1"/>
        <v>0.11393229166666667</v>
      </c>
      <c r="W29" s="292">
        <f>Table28[[#This Row],[$/sqft]]/INDEX(CPI!$A$3:$C$31,MATCH(Table28[[#This Row],[start_year]],CPI!$A$3:$A$31,0),3)</f>
        <v>0.14135785351217192</v>
      </c>
      <c r="X29" s="282"/>
      <c r="Y29" s="282"/>
      <c r="Z29" s="282" t="s">
        <v>4861</v>
      </c>
      <c r="AA29" s="282">
        <v>25.271572039999999</v>
      </c>
      <c r="AB29" s="55" t="s">
        <v>72</v>
      </c>
      <c r="AC29" t="s">
        <v>72</v>
      </c>
    </row>
    <row r="30" spans="1:29" x14ac:dyDescent="0.2">
      <c r="A30" s="282">
        <v>1290</v>
      </c>
      <c r="B30" s="282">
        <v>3709</v>
      </c>
      <c r="C30" s="282" t="s">
        <v>3410</v>
      </c>
      <c r="D30" s="282" t="str">
        <f>IF(Table28[[#This Row],[% Leakage Reduction (Calculated)]]&gt;0.4, "Greater than 40% Air Reduction", "Less than 40% Air Reduction")</f>
        <v>Less than 40% Air Reduction</v>
      </c>
      <c r="E30" s="282" t="s">
        <v>4831</v>
      </c>
      <c r="F30" s="282" t="s">
        <v>4832</v>
      </c>
      <c r="G30" s="282" t="s">
        <v>4833</v>
      </c>
      <c r="H30" s="282" t="s">
        <v>4838</v>
      </c>
      <c r="I30" s="282">
        <v>2950</v>
      </c>
      <c r="J30" s="282" t="s">
        <v>4852</v>
      </c>
      <c r="K30" s="282">
        <v>2645</v>
      </c>
      <c r="L30" s="282" t="s">
        <v>4853</v>
      </c>
      <c r="M30" s="283">
        <f t="shared" si="0"/>
        <v>0.10338983050847457</v>
      </c>
      <c r="N30" s="282">
        <v>2568</v>
      </c>
      <c r="O30" s="282">
        <v>1</v>
      </c>
      <c r="P30" s="282">
        <v>1980</v>
      </c>
      <c r="Q30" s="282">
        <f>2023-Table28[[#This Row],[year_built]]</f>
        <v>43</v>
      </c>
      <c r="R30" s="282">
        <v>1</v>
      </c>
      <c r="S30" s="282" t="s">
        <v>4864</v>
      </c>
      <c r="T30" s="282" t="s">
        <v>4859</v>
      </c>
      <c r="U30" s="282">
        <v>2016</v>
      </c>
      <c r="V30" s="284">
        <f t="shared" si="1"/>
        <v>3.8940809968847351E-4</v>
      </c>
      <c r="W30" s="292">
        <f>Table28[[#This Row],[$/sqft]]/INDEX(CPI!$A$3:$C$31,MATCH(Table28[[#This Row],[start_year]],CPI!$A$3:$A$31,0),3)</f>
        <v>4.9339812220170571E-4</v>
      </c>
      <c r="X30" s="282" t="s">
        <v>4844</v>
      </c>
      <c r="Y30" s="282" t="s">
        <v>217</v>
      </c>
      <c r="Z30" s="282" t="s">
        <v>4861</v>
      </c>
      <c r="AA30" s="282">
        <v>10.33898305</v>
      </c>
      <c r="AB30" s="55" t="s">
        <v>71</v>
      </c>
      <c r="AC30" t="s">
        <v>72</v>
      </c>
    </row>
    <row r="31" spans="1:29" x14ac:dyDescent="0.2">
      <c r="A31" s="282">
        <v>3272</v>
      </c>
      <c r="B31" s="282">
        <v>10009</v>
      </c>
      <c r="C31" s="282" t="s">
        <v>3410</v>
      </c>
      <c r="D31" s="282" t="str">
        <f>IF(Table28[[#This Row],[% Leakage Reduction (Calculated)]]&gt;0.4, "Greater than 40% Air Reduction", "Less than 40% Air Reduction")</f>
        <v>Less than 40% Air Reduction</v>
      </c>
      <c r="E31" s="282" t="s">
        <v>4831</v>
      </c>
      <c r="F31" s="282" t="s">
        <v>4832</v>
      </c>
      <c r="G31" s="282" t="s">
        <v>4833</v>
      </c>
      <c r="H31" s="282" t="s">
        <v>4838</v>
      </c>
      <c r="I31" s="282">
        <v>8.73</v>
      </c>
      <c r="J31" s="282" t="s">
        <v>4834</v>
      </c>
      <c r="K31" s="282">
        <v>6.26</v>
      </c>
      <c r="L31" s="282" t="s">
        <v>4835</v>
      </c>
      <c r="M31" s="283">
        <f t="shared" si="0"/>
        <v>0.28293241695303556</v>
      </c>
      <c r="N31" s="282">
        <v>3172</v>
      </c>
      <c r="O31" s="282">
        <v>2.5</v>
      </c>
      <c r="P31" s="282">
        <v>1967</v>
      </c>
      <c r="Q31" s="282">
        <f>2023-Table28[[#This Row],[year_built]]</f>
        <v>56</v>
      </c>
      <c r="R31" s="282">
        <v>400</v>
      </c>
      <c r="S31" s="282" t="s">
        <v>4937</v>
      </c>
      <c r="T31" s="282" t="s">
        <v>4906</v>
      </c>
      <c r="U31" s="282">
        <v>2020</v>
      </c>
      <c r="V31" s="284">
        <f t="shared" si="1"/>
        <v>0.12610340479192939</v>
      </c>
      <c r="W31" s="292">
        <f>Table28[[#This Row],[$/sqft]]/INDEX(CPI!$A$3:$C$31,MATCH(Table28[[#This Row],[start_year]],CPI!$A$3:$A$31,0),3)</f>
        <v>0.1481763732504858</v>
      </c>
      <c r="X31" s="282"/>
      <c r="Y31" s="282" t="s">
        <v>217</v>
      </c>
      <c r="Z31" s="282" t="s">
        <v>4907</v>
      </c>
      <c r="AA31" s="282">
        <v>28.293241699999999</v>
      </c>
      <c r="AB31" s="55" t="s">
        <v>72</v>
      </c>
      <c r="AC31" t="s">
        <v>71</v>
      </c>
    </row>
    <row r="32" spans="1:29" x14ac:dyDescent="0.2">
      <c r="A32" s="282">
        <v>4031</v>
      </c>
      <c r="B32" s="282">
        <v>11131</v>
      </c>
      <c r="C32" s="282" t="s">
        <v>3410</v>
      </c>
      <c r="D32" s="282" t="str">
        <f>IF(Table28[[#This Row],[% Leakage Reduction (Calculated)]]&gt;0.4, "Greater than 40% Air Reduction", "Less than 40% Air Reduction")</f>
        <v>Less than 40% Air Reduction</v>
      </c>
      <c r="E32" s="282" t="s">
        <v>4831</v>
      </c>
      <c r="F32" s="282" t="s">
        <v>4832</v>
      </c>
      <c r="G32" s="282" t="s">
        <v>4833</v>
      </c>
      <c r="H32" s="282" t="s">
        <v>4838</v>
      </c>
      <c r="I32" s="282">
        <v>5374</v>
      </c>
      <c r="J32" s="282" t="s">
        <v>4852</v>
      </c>
      <c r="K32" s="282">
        <v>4324</v>
      </c>
      <c r="L32" s="282" t="s">
        <v>4853</v>
      </c>
      <c r="M32" s="283">
        <f t="shared" si="0"/>
        <v>0.19538518794194268</v>
      </c>
      <c r="N32" s="282">
        <v>2756</v>
      </c>
      <c r="O32" s="282"/>
      <c r="P32" s="282">
        <v>1971</v>
      </c>
      <c r="Q32" s="282">
        <f>2023-Table28[[#This Row],[year_built]]</f>
        <v>52</v>
      </c>
      <c r="R32" s="282">
        <v>348.61</v>
      </c>
      <c r="S32" s="282" t="s">
        <v>4976</v>
      </c>
      <c r="T32" s="282" t="s">
        <v>4969</v>
      </c>
      <c r="U32" s="282">
        <v>2019</v>
      </c>
      <c r="V32" s="284">
        <f t="shared" si="1"/>
        <v>0.1264912917271408</v>
      </c>
      <c r="W32" s="292">
        <f>Table28[[#This Row],[$/sqft]]/INDEX(CPI!$A$3:$C$31,MATCH(Table28[[#This Row],[start_year]],CPI!$A$3:$A$31,0),3)</f>
        <v>0.15043410955895001</v>
      </c>
      <c r="X32" s="282" t="s">
        <v>4844</v>
      </c>
      <c r="Y32" s="282"/>
      <c r="Z32" s="282" t="s">
        <v>4840</v>
      </c>
      <c r="AA32" s="282">
        <v>19.538518790000001</v>
      </c>
      <c r="AB32" s="55" t="s">
        <v>72</v>
      </c>
      <c r="AC32" t="s">
        <v>71</v>
      </c>
    </row>
    <row r="33" spans="1:29" x14ac:dyDescent="0.2">
      <c r="A33" s="282">
        <v>3022</v>
      </c>
      <c r="B33" s="282">
        <v>9105</v>
      </c>
      <c r="C33" s="282" t="s">
        <v>3410</v>
      </c>
      <c r="D33" s="282" t="str">
        <f>IF(Table28[[#This Row],[% Leakage Reduction (Calculated)]]&gt;0.4, "Greater than 40% Air Reduction", "Less than 40% Air Reduction")</f>
        <v>Greater than 40% Air Reduction</v>
      </c>
      <c r="E33" s="282" t="s">
        <v>4831</v>
      </c>
      <c r="F33" s="282" t="s">
        <v>4832</v>
      </c>
      <c r="G33" s="282" t="s">
        <v>4833</v>
      </c>
      <c r="H33" s="282" t="s">
        <v>4838</v>
      </c>
      <c r="I33" s="282">
        <v>14.44</v>
      </c>
      <c r="J33" s="282" t="s">
        <v>4834</v>
      </c>
      <c r="K33" s="282">
        <v>5.51</v>
      </c>
      <c r="L33" s="282" t="s">
        <v>4835</v>
      </c>
      <c r="M33" s="283">
        <f t="shared" si="0"/>
        <v>0.61842105263157898</v>
      </c>
      <c r="N33" s="282">
        <v>2440</v>
      </c>
      <c r="O33" s="282">
        <v>1.74</v>
      </c>
      <c r="P33" s="282">
        <v>1978</v>
      </c>
      <c r="Q33" s="282">
        <f>2023-Table28[[#This Row],[year_built]]</f>
        <v>45</v>
      </c>
      <c r="R33" s="282">
        <v>309.64</v>
      </c>
      <c r="S33" s="282" t="s">
        <v>4920</v>
      </c>
      <c r="T33" s="282" t="s">
        <v>4906</v>
      </c>
      <c r="U33" s="282">
        <v>2019</v>
      </c>
      <c r="V33" s="284">
        <f t="shared" si="1"/>
        <v>0.1269016393442623</v>
      </c>
      <c r="W33" s="292">
        <f>Table28[[#This Row],[$/sqft]]/INDEX(CPI!$A$3:$C$31,MATCH(Table28[[#This Row],[start_year]],CPI!$A$3:$A$31,0),3)</f>
        <v>0.15092212954474057</v>
      </c>
      <c r="X33" s="282"/>
      <c r="Y33" s="282" t="s">
        <v>217</v>
      </c>
      <c r="Z33" s="282" t="s">
        <v>4840</v>
      </c>
      <c r="AA33" s="282">
        <v>61.842105259999997</v>
      </c>
      <c r="AB33" s="55" t="s">
        <v>72</v>
      </c>
      <c r="AC33" t="s">
        <v>71</v>
      </c>
    </row>
    <row r="34" spans="1:29" x14ac:dyDescent="0.2">
      <c r="A34" s="282">
        <v>4015</v>
      </c>
      <c r="B34" s="282">
        <v>11062</v>
      </c>
      <c r="C34" s="282" t="s">
        <v>3410</v>
      </c>
      <c r="D34" s="282" t="str">
        <f>IF(Table28[[#This Row],[% Leakage Reduction (Calculated)]]&gt;0.4, "Greater than 40% Air Reduction", "Less than 40% Air Reduction")</f>
        <v>Less than 40% Air Reduction</v>
      </c>
      <c r="E34" s="282" t="s">
        <v>4831</v>
      </c>
      <c r="F34" s="282" t="s">
        <v>4832</v>
      </c>
      <c r="G34" s="282" t="s">
        <v>4833</v>
      </c>
      <c r="H34" s="282" t="s">
        <v>4838</v>
      </c>
      <c r="I34" s="282">
        <v>1672</v>
      </c>
      <c r="J34" s="282" t="s">
        <v>4852</v>
      </c>
      <c r="K34" s="282">
        <v>1319</v>
      </c>
      <c r="L34" s="282" t="s">
        <v>4853</v>
      </c>
      <c r="M34" s="283">
        <f t="shared" si="0"/>
        <v>0.2111244019138756</v>
      </c>
      <c r="N34" s="282">
        <v>1288</v>
      </c>
      <c r="O34" s="282"/>
      <c r="P34" s="282">
        <v>1973</v>
      </c>
      <c r="Q34" s="282">
        <f>2023-Table28[[#This Row],[year_built]]</f>
        <v>50</v>
      </c>
      <c r="R34" s="282">
        <v>166.11</v>
      </c>
      <c r="S34" s="282" t="s">
        <v>4970</v>
      </c>
      <c r="T34" s="282" t="s">
        <v>4969</v>
      </c>
      <c r="U34" s="282">
        <v>2019</v>
      </c>
      <c r="V34" s="284">
        <f t="shared" si="1"/>
        <v>0.12896739130434784</v>
      </c>
      <c r="W34" s="292">
        <f>Table28[[#This Row],[$/sqft]]/INDEX(CPI!$A$3:$C$31,MATCH(Table28[[#This Row],[start_year]],CPI!$A$3:$A$31,0),3)</f>
        <v>0.15337889595483842</v>
      </c>
      <c r="X34" s="282" t="s">
        <v>1241</v>
      </c>
      <c r="Y34" s="282"/>
      <c r="Z34" s="282" t="s">
        <v>4840</v>
      </c>
      <c r="AA34" s="282">
        <v>21.112440190000001</v>
      </c>
      <c r="AB34" s="55" t="s">
        <v>72</v>
      </c>
      <c r="AC34" t="s">
        <v>71</v>
      </c>
    </row>
    <row r="35" spans="1:29" x14ac:dyDescent="0.2">
      <c r="A35" s="282">
        <v>1250</v>
      </c>
      <c r="B35" s="282">
        <v>3242</v>
      </c>
      <c r="C35" s="282" t="s">
        <v>3410</v>
      </c>
      <c r="D35" s="282" t="str">
        <f>IF(Table28[[#This Row],[% Leakage Reduction (Calculated)]]&gt;0.4, "Greater than 40% Air Reduction", "Less than 40% Air Reduction")</f>
        <v>Greater than 40% Air Reduction</v>
      </c>
      <c r="E35" s="282" t="s">
        <v>4831</v>
      </c>
      <c r="F35" s="282" t="s">
        <v>4832</v>
      </c>
      <c r="G35" s="282" t="s">
        <v>4833</v>
      </c>
      <c r="H35" s="282" t="s">
        <v>4838</v>
      </c>
      <c r="I35" s="282">
        <v>21.95</v>
      </c>
      <c r="J35" s="282" t="s">
        <v>4834</v>
      </c>
      <c r="K35" s="282">
        <v>8</v>
      </c>
      <c r="L35" s="282" t="s">
        <v>4835</v>
      </c>
      <c r="M35" s="283">
        <f t="shared" si="0"/>
        <v>0.63553530751708431</v>
      </c>
      <c r="N35" s="282">
        <v>1740</v>
      </c>
      <c r="O35" s="282">
        <v>1</v>
      </c>
      <c r="P35" s="282">
        <v>1963</v>
      </c>
      <c r="Q35" s="282">
        <f>2023-Table28[[#This Row],[year_built]]</f>
        <v>60</v>
      </c>
      <c r="R35" s="282">
        <v>200</v>
      </c>
      <c r="S35" s="282" t="s">
        <v>4836</v>
      </c>
      <c r="T35" s="282" t="s">
        <v>4837</v>
      </c>
      <c r="U35" s="282">
        <v>2011</v>
      </c>
      <c r="V35" s="284">
        <f t="shared" si="1"/>
        <v>0.11494252873563218</v>
      </c>
      <c r="W35" s="292">
        <f>Table28[[#This Row],[$/sqft]]/INDEX(CPI!$A$3:$C$31,MATCH(Table28[[#This Row],[start_year]],CPI!$A$3:$A$31,0),3)</f>
        <v>0.15539334214389566</v>
      </c>
      <c r="X35" s="282" t="s">
        <v>56</v>
      </c>
      <c r="Y35" s="282" t="s">
        <v>4839</v>
      </c>
      <c r="Z35" s="282" t="s">
        <v>4840</v>
      </c>
      <c r="AA35" s="282">
        <v>63.55353075</v>
      </c>
      <c r="AB35" s="55" t="s">
        <v>72</v>
      </c>
      <c r="AC35" t="s">
        <v>71</v>
      </c>
    </row>
    <row r="36" spans="1:29" x14ac:dyDescent="0.2">
      <c r="A36" s="282">
        <v>3094</v>
      </c>
      <c r="B36" s="282">
        <v>9422</v>
      </c>
      <c r="C36" s="282" t="s">
        <v>3410</v>
      </c>
      <c r="D36" s="282" t="str">
        <f>IF(Table28[[#This Row],[% Leakage Reduction (Calculated)]]&gt;0.4, "Greater than 40% Air Reduction", "Less than 40% Air Reduction")</f>
        <v>Less than 40% Air Reduction</v>
      </c>
      <c r="E36" s="282" t="s">
        <v>4831</v>
      </c>
      <c r="F36" s="282" t="s">
        <v>4832</v>
      </c>
      <c r="G36" s="282" t="s">
        <v>4833</v>
      </c>
      <c r="H36" s="282" t="s">
        <v>4838</v>
      </c>
      <c r="I36" s="282">
        <v>16.64</v>
      </c>
      <c r="J36" s="282" t="s">
        <v>4834</v>
      </c>
      <c r="K36" s="282">
        <v>12.96</v>
      </c>
      <c r="L36" s="282" t="s">
        <v>4835</v>
      </c>
      <c r="M36" s="283">
        <f t="shared" si="0"/>
        <v>0.22115384615384612</v>
      </c>
      <c r="N36" s="282">
        <v>2796</v>
      </c>
      <c r="O36" s="282">
        <v>1.65</v>
      </c>
      <c r="P36" s="282">
        <v>1978</v>
      </c>
      <c r="Q36" s="282">
        <f>2023-Table28[[#This Row],[year_built]]</f>
        <v>45</v>
      </c>
      <c r="R36" s="282">
        <v>400</v>
      </c>
      <c r="S36" s="282" t="s">
        <v>4927</v>
      </c>
      <c r="T36" s="282" t="s">
        <v>4906</v>
      </c>
      <c r="U36" s="282">
        <v>2019</v>
      </c>
      <c r="V36" s="284">
        <f t="shared" si="1"/>
        <v>0.14306151645207441</v>
      </c>
      <c r="W36" s="292">
        <f>Table28[[#This Row],[$/sqft]]/INDEX(CPI!$A$3:$C$31,MATCH(Table28[[#This Row],[start_year]],CPI!$A$3:$A$31,0),3)</f>
        <v>0.17014081796275254</v>
      </c>
      <c r="X36" s="282"/>
      <c r="Y36" s="282" t="s">
        <v>4917</v>
      </c>
      <c r="Z36" s="282" t="s">
        <v>4907</v>
      </c>
      <c r="AA36" s="282">
        <v>22.11538462</v>
      </c>
      <c r="AB36" s="55" t="s">
        <v>72</v>
      </c>
      <c r="AC36" t="s">
        <v>71</v>
      </c>
    </row>
    <row r="37" spans="1:29" x14ac:dyDescent="0.2">
      <c r="A37" s="282">
        <v>1269</v>
      </c>
      <c r="B37" s="282">
        <v>3439</v>
      </c>
      <c r="C37" s="282" t="s">
        <v>3410</v>
      </c>
      <c r="D37" s="282" t="str">
        <f>IF(Table28[[#This Row],[% Leakage Reduction (Calculated)]]&gt;0.4, "Greater than 40% Air Reduction", "Less than 40% Air Reduction")</f>
        <v>Less than 40% Air Reduction</v>
      </c>
      <c r="E37" s="282" t="s">
        <v>4831</v>
      </c>
      <c r="F37" s="282" t="s">
        <v>4832</v>
      </c>
      <c r="G37" s="282" t="s">
        <v>4833</v>
      </c>
      <c r="H37" s="282" t="s">
        <v>4838</v>
      </c>
      <c r="I37" s="282">
        <v>6.59</v>
      </c>
      <c r="J37" s="282" t="s">
        <v>4834</v>
      </c>
      <c r="K37" s="282">
        <v>6.11</v>
      </c>
      <c r="L37" s="282" t="s">
        <v>4835</v>
      </c>
      <c r="M37" s="283">
        <f t="shared" si="0"/>
        <v>7.2837632776934683E-2</v>
      </c>
      <c r="N37" s="282">
        <v>2554</v>
      </c>
      <c r="O37" s="282">
        <v>1</v>
      </c>
      <c r="P37" s="282">
        <v>1988</v>
      </c>
      <c r="Q37" s="282">
        <f>2023-Table28[[#This Row],[year_built]]</f>
        <v>35</v>
      </c>
      <c r="R37" s="282">
        <v>337</v>
      </c>
      <c r="S37" s="282" t="s">
        <v>4849</v>
      </c>
      <c r="T37" s="282" t="s">
        <v>4837</v>
      </c>
      <c r="U37" s="282">
        <v>2013</v>
      </c>
      <c r="V37" s="284">
        <f t="shared" si="1"/>
        <v>0.13194988253719656</v>
      </c>
      <c r="W37" s="292">
        <f>Table28[[#This Row],[$/sqft]]/INDEX(CPI!$A$3:$C$31,MATCH(Table28[[#This Row],[start_year]],CPI!$A$3:$A$31,0),3)</f>
        <v>0.17224620543517247</v>
      </c>
      <c r="X37" s="282" t="s">
        <v>56</v>
      </c>
      <c r="Y37" s="282" t="s">
        <v>4839</v>
      </c>
      <c r="Z37" s="282" t="s">
        <v>4840</v>
      </c>
      <c r="AA37" s="282">
        <v>7.2837632780000003</v>
      </c>
      <c r="AB37" s="55" t="s">
        <v>72</v>
      </c>
      <c r="AC37" t="s">
        <v>71</v>
      </c>
    </row>
    <row r="38" spans="1:29" x14ac:dyDescent="0.2">
      <c r="A38" s="282">
        <v>2067</v>
      </c>
      <c r="B38" s="282">
        <v>5445</v>
      </c>
      <c r="C38" s="282" t="s">
        <v>3410</v>
      </c>
      <c r="D38" s="282" t="str">
        <f>IF(Table28[[#This Row],[% Leakage Reduction (Calculated)]]&gt;0.4, "Greater than 40% Air Reduction", "Less than 40% Air Reduction")</f>
        <v>Less than 40% Air Reduction</v>
      </c>
      <c r="E38" s="282" t="s">
        <v>4831</v>
      </c>
      <c r="F38" s="282" t="s">
        <v>4832</v>
      </c>
      <c r="G38" s="282" t="s">
        <v>4833</v>
      </c>
      <c r="H38" s="282"/>
      <c r="I38" s="282">
        <v>5708</v>
      </c>
      <c r="J38" s="282" t="s">
        <v>4853</v>
      </c>
      <c r="K38" s="282">
        <v>7000</v>
      </c>
      <c r="L38" s="282" t="s">
        <v>4852</v>
      </c>
      <c r="M38" s="283">
        <f t="shared" si="0"/>
        <v>0.22634898388227051</v>
      </c>
      <c r="N38" s="282">
        <v>3566</v>
      </c>
      <c r="O38" s="282"/>
      <c r="P38" s="282">
        <v>1975</v>
      </c>
      <c r="Q38" s="282">
        <f>2023-Table28[[#This Row],[year_built]]</f>
        <v>48</v>
      </c>
      <c r="R38" s="282">
        <v>529</v>
      </c>
      <c r="S38" s="282" t="s">
        <v>4891</v>
      </c>
      <c r="T38" s="282" t="s">
        <v>4857</v>
      </c>
      <c r="U38" s="282">
        <v>2020</v>
      </c>
      <c r="V38" s="284">
        <f t="shared" si="1"/>
        <v>0.14834548513740886</v>
      </c>
      <c r="W38" s="292">
        <f>Table28[[#This Row],[$/sqft]]/INDEX(CPI!$A$3:$C$31,MATCH(Table28[[#This Row],[start_year]],CPI!$A$3:$A$31,0),3)</f>
        <v>0.17431167708765857</v>
      </c>
      <c r="X38" s="282"/>
      <c r="Y38" s="282"/>
      <c r="Z38" s="282" t="s">
        <v>4840</v>
      </c>
      <c r="AA38" s="282">
        <v>18.457142860000001</v>
      </c>
      <c r="AB38" s="55" t="s">
        <v>72</v>
      </c>
      <c r="AC38" t="s">
        <v>71</v>
      </c>
    </row>
    <row r="39" spans="1:29" x14ac:dyDescent="0.2">
      <c r="A39" s="282">
        <v>3009</v>
      </c>
      <c r="B39" s="282">
        <v>9049</v>
      </c>
      <c r="C39" s="282" t="s">
        <v>3410</v>
      </c>
      <c r="D39" s="282" t="str">
        <f>IF(Table28[[#This Row],[% Leakage Reduction (Calculated)]]&gt;0.4, "Greater than 40% Air Reduction", "Less than 40% Air Reduction")</f>
        <v>Less than 40% Air Reduction</v>
      </c>
      <c r="E39" s="282" t="s">
        <v>4831</v>
      </c>
      <c r="F39" s="282" t="s">
        <v>4832</v>
      </c>
      <c r="G39" s="282" t="s">
        <v>4833</v>
      </c>
      <c r="H39" s="282" t="s">
        <v>4913</v>
      </c>
      <c r="I39" s="282">
        <v>13.19</v>
      </c>
      <c r="J39" s="282" t="s">
        <v>4834</v>
      </c>
      <c r="K39" s="282">
        <v>12.22</v>
      </c>
      <c r="L39" s="282" t="s">
        <v>4835</v>
      </c>
      <c r="M39" s="283">
        <f t="shared" si="0"/>
        <v>7.354056103108407E-2</v>
      </c>
      <c r="N39" s="282">
        <v>1657</v>
      </c>
      <c r="O39" s="282">
        <v>3</v>
      </c>
      <c r="P39" s="282">
        <v>1900</v>
      </c>
      <c r="Q39" s="282">
        <f>2023-Table28[[#This Row],[year_built]]</f>
        <v>123</v>
      </c>
      <c r="R39" s="282">
        <v>240</v>
      </c>
      <c r="S39" s="282" t="s">
        <v>4912</v>
      </c>
      <c r="T39" s="282" t="s">
        <v>4906</v>
      </c>
      <c r="U39" s="282">
        <v>2018</v>
      </c>
      <c r="V39" s="284">
        <f t="shared" si="1"/>
        <v>0.14484007242003621</v>
      </c>
      <c r="W39" s="292">
        <f>Table28[[#This Row],[$/sqft]]/INDEX(CPI!$A$3:$C$31,MATCH(Table28[[#This Row],[start_year]],CPI!$A$3:$A$31,0),3)</f>
        <v>0.17541165281932702</v>
      </c>
      <c r="X39" s="282"/>
      <c r="Y39" s="282" t="s">
        <v>217</v>
      </c>
      <c r="Z39" s="282" t="s">
        <v>4907</v>
      </c>
      <c r="AA39" s="282">
        <v>7.3540561029999996</v>
      </c>
      <c r="AB39" s="55" t="s">
        <v>72</v>
      </c>
      <c r="AC39" t="s">
        <v>71</v>
      </c>
    </row>
    <row r="40" spans="1:29" x14ac:dyDescent="0.2">
      <c r="A40" s="282">
        <v>1299</v>
      </c>
      <c r="B40" s="282">
        <v>3813</v>
      </c>
      <c r="C40" s="282" t="s">
        <v>3410</v>
      </c>
      <c r="D40" s="282" t="str">
        <f>IF(Table28[[#This Row],[% Leakage Reduction (Calculated)]]&gt;0.4, "Greater than 40% Air Reduction", "Less than 40% Air Reduction")</f>
        <v>Less than 40% Air Reduction</v>
      </c>
      <c r="E40" s="282" t="s">
        <v>4831</v>
      </c>
      <c r="F40" s="282" t="s">
        <v>4832</v>
      </c>
      <c r="G40" s="282" t="s">
        <v>4833</v>
      </c>
      <c r="H40" s="282" t="s">
        <v>4838</v>
      </c>
      <c r="I40" s="282">
        <v>1929</v>
      </c>
      <c r="J40" s="282" t="s">
        <v>4852</v>
      </c>
      <c r="K40" s="282">
        <v>1734</v>
      </c>
      <c r="L40" s="282" t="s">
        <v>4853</v>
      </c>
      <c r="M40" s="283">
        <f t="shared" si="0"/>
        <v>0.10108864696734059</v>
      </c>
      <c r="N40" s="282"/>
      <c r="O40" s="282">
        <v>1</v>
      </c>
      <c r="P40" s="282">
        <v>1950</v>
      </c>
      <c r="Q40" s="282">
        <f>2023-Table28[[#This Row],[year_built]]</f>
        <v>73</v>
      </c>
      <c r="R40" s="282">
        <v>1124</v>
      </c>
      <c r="S40" s="282" t="s">
        <v>4874</v>
      </c>
      <c r="T40" s="282" t="s">
        <v>4859</v>
      </c>
      <c r="U40" s="282">
        <v>2016</v>
      </c>
      <c r="V40" s="284" t="str">
        <f t="shared" si="1"/>
        <v/>
      </c>
      <c r="W40" s="292" t="e">
        <f>Table28[[#This Row],[$/sqft]]/INDEX(CPI!$A$3:$C$31,MATCH(Table28[[#This Row],[start_year]],CPI!$A$3:$A$31,0),3)</f>
        <v>#VALUE!</v>
      </c>
      <c r="X40" s="282" t="s">
        <v>4844</v>
      </c>
      <c r="Y40" s="282" t="s">
        <v>16</v>
      </c>
      <c r="Z40" s="282" t="s">
        <v>4861</v>
      </c>
      <c r="AA40" s="282">
        <v>10.1088647</v>
      </c>
      <c r="AB40" s="55" t="s">
        <v>71</v>
      </c>
      <c r="AC40" t="s">
        <v>72</v>
      </c>
    </row>
    <row r="41" spans="1:29" x14ac:dyDescent="0.2">
      <c r="A41" s="282">
        <v>4003</v>
      </c>
      <c r="B41" s="282">
        <v>11013</v>
      </c>
      <c r="C41" s="282" t="s">
        <v>3410</v>
      </c>
      <c r="D41" s="282" t="str">
        <f>IF(Table28[[#This Row],[% Leakage Reduction (Calculated)]]&gt;0.4, "Greater than 40% Air Reduction", "Less than 40% Air Reduction")</f>
        <v>Less than 40% Air Reduction</v>
      </c>
      <c r="E41" s="282" t="s">
        <v>4831</v>
      </c>
      <c r="F41" s="282" t="s">
        <v>4832</v>
      </c>
      <c r="G41" s="282" t="s">
        <v>4833</v>
      </c>
      <c r="H41" s="282" t="s">
        <v>4838</v>
      </c>
      <c r="I41" s="282">
        <v>1972</v>
      </c>
      <c r="J41" s="282" t="s">
        <v>4852</v>
      </c>
      <c r="K41" s="282">
        <v>1447</v>
      </c>
      <c r="L41" s="282" t="s">
        <v>4853</v>
      </c>
      <c r="M41" s="283">
        <f t="shared" si="0"/>
        <v>0.26622718052738337</v>
      </c>
      <c r="N41" s="282">
        <v>1800</v>
      </c>
      <c r="O41" s="282"/>
      <c r="P41" s="282">
        <v>1998</v>
      </c>
      <c r="Q41" s="282">
        <f>2023-Table28[[#This Row],[year_built]]</f>
        <v>25</v>
      </c>
      <c r="R41" s="282">
        <v>267.81</v>
      </c>
      <c r="S41" s="282" t="s">
        <v>4970</v>
      </c>
      <c r="T41" s="282" t="s">
        <v>4969</v>
      </c>
      <c r="U41" s="282">
        <v>2019</v>
      </c>
      <c r="V41" s="284">
        <f t="shared" si="1"/>
        <v>0.14878333333333332</v>
      </c>
      <c r="W41" s="292">
        <f>Table28[[#This Row],[$/sqft]]/INDEX(CPI!$A$3:$C$31,MATCH(Table28[[#This Row],[start_year]],CPI!$A$3:$A$31,0),3)</f>
        <v>0.17694568504758179</v>
      </c>
      <c r="X41" s="282" t="s">
        <v>4844</v>
      </c>
      <c r="Y41" s="282"/>
      <c r="Z41" s="282" t="s">
        <v>4840</v>
      </c>
      <c r="AA41" s="282">
        <v>26.62271805</v>
      </c>
      <c r="AB41" s="55" t="s">
        <v>72</v>
      </c>
      <c r="AC41" t="s">
        <v>71</v>
      </c>
    </row>
    <row r="42" spans="1:29" x14ac:dyDescent="0.2">
      <c r="A42" s="282">
        <v>3220</v>
      </c>
      <c r="B42" s="282">
        <v>9848</v>
      </c>
      <c r="C42" s="282" t="s">
        <v>3410</v>
      </c>
      <c r="D42" s="282" t="str">
        <f>IF(Table28[[#This Row],[% Leakage Reduction (Calculated)]]&gt;0.4, "Greater than 40% Air Reduction", "Less than 40% Air Reduction")</f>
        <v>Greater than 40% Air Reduction</v>
      </c>
      <c r="E42" s="282" t="s">
        <v>4831</v>
      </c>
      <c r="F42" s="282" t="s">
        <v>4832</v>
      </c>
      <c r="G42" s="282" t="s">
        <v>4833</v>
      </c>
      <c r="H42" s="282" t="s">
        <v>4913</v>
      </c>
      <c r="I42" s="282">
        <v>13.53</v>
      </c>
      <c r="J42" s="282" t="s">
        <v>4834</v>
      </c>
      <c r="K42" s="282">
        <v>5.0199999999999996</v>
      </c>
      <c r="L42" s="282" t="s">
        <v>4835</v>
      </c>
      <c r="M42" s="283">
        <f t="shared" si="0"/>
        <v>0.62897265336289732</v>
      </c>
      <c r="N42" s="282">
        <v>2638</v>
      </c>
      <c r="O42" s="282">
        <v>2.2999999999999998</v>
      </c>
      <c r="P42" s="282">
        <v>1920</v>
      </c>
      <c r="Q42" s="282">
        <f>2023-Table28[[#This Row],[year_built]]</f>
        <v>103</v>
      </c>
      <c r="R42" s="282">
        <v>400</v>
      </c>
      <c r="S42" s="282" t="s">
        <v>4942</v>
      </c>
      <c r="T42" s="282" t="s">
        <v>4906</v>
      </c>
      <c r="U42" s="282">
        <v>2020</v>
      </c>
      <c r="V42" s="284">
        <f t="shared" si="1"/>
        <v>0.15163002274450341</v>
      </c>
      <c r="W42" s="292">
        <f>Table28[[#This Row],[$/sqft]]/INDEX(CPI!$A$3:$C$31,MATCH(Table28[[#This Row],[start_year]],CPI!$A$3:$A$31,0),3)</f>
        <v>0.17817113569012166</v>
      </c>
      <c r="X42" s="282"/>
      <c r="Y42" s="282" t="s">
        <v>217</v>
      </c>
      <c r="Z42" s="282" t="s">
        <v>4907</v>
      </c>
      <c r="AA42" s="282">
        <v>62.897265339999997</v>
      </c>
      <c r="AB42" s="55" t="s">
        <v>72</v>
      </c>
      <c r="AC42" t="s">
        <v>71</v>
      </c>
    </row>
    <row r="43" spans="1:29" x14ac:dyDescent="0.2">
      <c r="A43" s="282">
        <v>5209</v>
      </c>
      <c r="B43" s="282">
        <v>13252</v>
      </c>
      <c r="C43" s="282" t="s">
        <v>3410</v>
      </c>
      <c r="D43" s="282" t="str">
        <f>IF(Table28[[#This Row],[% Leakage Reduction (Calculated)]]&gt;0.4, "Greater than 40% Air Reduction", "Less than 40% Air Reduction")</f>
        <v>Less than 40% Air Reduction</v>
      </c>
      <c r="E43" s="282" t="s">
        <v>4831</v>
      </c>
      <c r="F43" s="282" t="s">
        <v>4832</v>
      </c>
      <c r="G43" s="282" t="s">
        <v>4833</v>
      </c>
      <c r="H43" s="282" t="s">
        <v>4838</v>
      </c>
      <c r="I43" s="282">
        <v>2876</v>
      </c>
      <c r="J43" s="282" t="s">
        <v>4852</v>
      </c>
      <c r="K43" s="282">
        <v>2183</v>
      </c>
      <c r="L43" s="282" t="s">
        <v>4853</v>
      </c>
      <c r="M43" s="283">
        <f t="shared" si="0"/>
        <v>0.24095966620305981</v>
      </c>
      <c r="N43" s="282">
        <v>2950</v>
      </c>
      <c r="O43" s="282"/>
      <c r="P43" s="282">
        <v>2007</v>
      </c>
      <c r="Q43" s="282">
        <f>2023-Table28[[#This Row],[year_built]]</f>
        <v>16</v>
      </c>
      <c r="R43" s="282">
        <v>455.65</v>
      </c>
      <c r="S43" s="282" t="s">
        <v>4982</v>
      </c>
      <c r="T43" s="282" t="s">
        <v>4979</v>
      </c>
      <c r="U43" s="282">
        <v>2017</v>
      </c>
      <c r="V43" s="284">
        <f t="shared" si="1"/>
        <v>0.15445762711864405</v>
      </c>
      <c r="W43" s="292">
        <f>Table28[[#This Row],[$/sqft]]/INDEX(CPI!$A$3:$C$31,MATCH(Table28[[#This Row],[start_year]],CPI!$A$3:$A$31,0),3)</f>
        <v>0.19163836967270365</v>
      </c>
      <c r="X43" s="282" t="s">
        <v>1241</v>
      </c>
      <c r="Y43" s="282"/>
      <c r="Z43" s="282" t="s">
        <v>4840</v>
      </c>
      <c r="AA43" s="282">
        <v>24.095966619999999</v>
      </c>
      <c r="AB43" s="55" t="s">
        <v>72</v>
      </c>
      <c r="AC43" t="s">
        <v>71</v>
      </c>
    </row>
    <row r="44" spans="1:29" x14ac:dyDescent="0.2">
      <c r="A44" s="282">
        <v>1303</v>
      </c>
      <c r="B44" s="282">
        <v>3852</v>
      </c>
      <c r="C44" s="282" t="s">
        <v>3410</v>
      </c>
      <c r="D44" s="282" t="str">
        <f>IF(Table28[[#This Row],[% Leakage Reduction (Calculated)]]&gt;0.4, "Greater than 40% Air Reduction", "Less than 40% Air Reduction")</f>
        <v>Greater than 40% Air Reduction</v>
      </c>
      <c r="E44" s="282" t="s">
        <v>4831</v>
      </c>
      <c r="F44" s="282" t="s">
        <v>4832</v>
      </c>
      <c r="G44" s="282" t="s">
        <v>4833</v>
      </c>
      <c r="H44" s="282" t="s">
        <v>4838</v>
      </c>
      <c r="I44" s="282">
        <v>1678</v>
      </c>
      <c r="J44" s="282" t="s">
        <v>4852</v>
      </c>
      <c r="K44" s="282">
        <v>740</v>
      </c>
      <c r="L44" s="282" t="s">
        <v>4853</v>
      </c>
      <c r="M44" s="283">
        <f t="shared" si="0"/>
        <v>0.55899880810488678</v>
      </c>
      <c r="N44" s="282">
        <v>1336</v>
      </c>
      <c r="O44" s="282">
        <v>1</v>
      </c>
      <c r="P44" s="282">
        <v>1950</v>
      </c>
      <c r="Q44" s="282">
        <f>2023-Table28[[#This Row],[year_built]]</f>
        <v>73</v>
      </c>
      <c r="R44" s="282">
        <v>2500</v>
      </c>
      <c r="S44" s="282" t="s">
        <v>4870</v>
      </c>
      <c r="T44" s="282" t="s">
        <v>4859</v>
      </c>
      <c r="U44" s="282">
        <v>2016</v>
      </c>
      <c r="V44" s="284">
        <f t="shared" si="1"/>
        <v>1.8712574850299402</v>
      </c>
      <c r="W44" s="292">
        <f>Table28[[#This Row],[$/sqft]]/INDEX(CPI!$A$3:$C$31,MATCH(Table28[[#This Row],[start_year]],CPI!$A$3:$A$31,0),3)</f>
        <v>2.3709700183644844</v>
      </c>
      <c r="X44" s="282" t="s">
        <v>4844</v>
      </c>
      <c r="Y44" s="282" t="s">
        <v>217</v>
      </c>
      <c r="Z44" s="282" t="s">
        <v>4861</v>
      </c>
      <c r="AA44" s="282">
        <v>55.899880809999999</v>
      </c>
      <c r="AB44" s="55" t="s">
        <v>71</v>
      </c>
      <c r="AC44" t="s">
        <v>72</v>
      </c>
    </row>
    <row r="45" spans="1:29" x14ac:dyDescent="0.2">
      <c r="A45" s="282">
        <v>1301</v>
      </c>
      <c r="B45" s="282">
        <v>3834</v>
      </c>
      <c r="C45" s="282" t="s">
        <v>3410</v>
      </c>
      <c r="D45" s="282" t="str">
        <f>IF(Table28[[#This Row],[% Leakage Reduction (Calculated)]]&gt;0.4, "Greater than 40% Air Reduction", "Less than 40% Air Reduction")</f>
        <v>Less than 40% Air Reduction</v>
      </c>
      <c r="E45" s="282" t="s">
        <v>4831</v>
      </c>
      <c r="F45" s="282" t="s">
        <v>4832</v>
      </c>
      <c r="G45" s="282" t="s">
        <v>4833</v>
      </c>
      <c r="H45" s="282" t="s">
        <v>4838</v>
      </c>
      <c r="I45" s="282">
        <v>3115</v>
      </c>
      <c r="J45" s="282" t="s">
        <v>4852</v>
      </c>
      <c r="K45" s="282">
        <v>2534</v>
      </c>
      <c r="L45" s="282" t="s">
        <v>4853</v>
      </c>
      <c r="M45" s="283">
        <f t="shared" si="0"/>
        <v>0.18651685393258427</v>
      </c>
      <c r="N45" s="282">
        <v>3800</v>
      </c>
      <c r="O45" s="282">
        <v>2</v>
      </c>
      <c r="P45" s="282" t="s">
        <v>5294</v>
      </c>
      <c r="Q45" s="282" t="e">
        <f>2023-Table28[[#This Row],[year_built]]</f>
        <v>#VALUE!</v>
      </c>
      <c r="R45" s="282">
        <v>584</v>
      </c>
      <c r="S45" s="282" t="s">
        <v>4876</v>
      </c>
      <c r="T45" s="282" t="s">
        <v>4859</v>
      </c>
      <c r="U45" s="282">
        <v>2016</v>
      </c>
      <c r="V45" s="284">
        <f t="shared" si="1"/>
        <v>0.15368421052631578</v>
      </c>
      <c r="W45" s="292">
        <f>Table28[[#This Row],[$/sqft]]/INDEX(CPI!$A$3:$C$31,MATCH(Table28[[#This Row],[start_year]],CPI!$A$3:$A$31,0),3)</f>
        <v>0.19472502227456961</v>
      </c>
      <c r="X45" s="282" t="s">
        <v>4877</v>
      </c>
      <c r="Y45" s="282" t="s">
        <v>217</v>
      </c>
      <c r="Z45" s="282" t="s">
        <v>4861</v>
      </c>
      <c r="AA45" s="282">
        <v>18.651685390000001</v>
      </c>
      <c r="AB45" s="55" t="s">
        <v>72</v>
      </c>
      <c r="AC45" t="s">
        <v>72</v>
      </c>
    </row>
    <row r="46" spans="1:29" x14ac:dyDescent="0.2">
      <c r="A46" s="282">
        <v>3085</v>
      </c>
      <c r="B46" s="282">
        <v>9379</v>
      </c>
      <c r="C46" s="282" t="s">
        <v>3410</v>
      </c>
      <c r="D46" s="282" t="str">
        <f>IF(Table28[[#This Row],[% Leakage Reduction (Calculated)]]&gt;0.4, "Greater than 40% Air Reduction", "Less than 40% Air Reduction")</f>
        <v>Greater than 40% Air Reduction</v>
      </c>
      <c r="E46" s="282" t="s">
        <v>4831</v>
      </c>
      <c r="F46" s="282" t="s">
        <v>4832</v>
      </c>
      <c r="G46" s="282" t="s">
        <v>4833</v>
      </c>
      <c r="H46" s="282" t="s">
        <v>4838</v>
      </c>
      <c r="I46" s="282">
        <v>24.52</v>
      </c>
      <c r="J46" s="282" t="s">
        <v>4834</v>
      </c>
      <c r="K46" s="282">
        <v>11.94</v>
      </c>
      <c r="L46" s="282" t="s">
        <v>4835</v>
      </c>
      <c r="M46" s="283">
        <f t="shared" si="0"/>
        <v>0.51305057096247964</v>
      </c>
      <c r="N46" s="282">
        <v>2012</v>
      </c>
      <c r="O46" s="282">
        <v>1.6</v>
      </c>
      <c r="P46" s="282">
        <v>1920</v>
      </c>
      <c r="Q46" s="282">
        <f>2023-Table28[[#This Row],[year_built]]</f>
        <v>103</v>
      </c>
      <c r="R46" s="282">
        <v>333</v>
      </c>
      <c r="S46" s="282" t="s">
        <v>4908</v>
      </c>
      <c r="T46" s="282" t="s">
        <v>4906</v>
      </c>
      <c r="U46" s="282">
        <v>2019</v>
      </c>
      <c r="V46" s="284">
        <f t="shared" si="1"/>
        <v>0.16550695825049702</v>
      </c>
      <c r="W46" s="292">
        <f>Table28[[#This Row],[$/sqft]]/INDEX(CPI!$A$3:$C$31,MATCH(Table28[[#This Row],[start_year]],CPI!$A$3:$A$31,0),3)</f>
        <v>0.19683482989431422</v>
      </c>
      <c r="X46" s="282"/>
      <c r="Y46" s="282" t="s">
        <v>4872</v>
      </c>
      <c r="Z46" s="282" t="s">
        <v>4840</v>
      </c>
      <c r="AA46" s="282">
        <v>51.305057099999999</v>
      </c>
      <c r="AB46" s="55" t="s">
        <v>72</v>
      </c>
      <c r="AC46" t="s">
        <v>71</v>
      </c>
    </row>
    <row r="47" spans="1:29" x14ac:dyDescent="0.2">
      <c r="A47" s="282">
        <v>1306</v>
      </c>
      <c r="B47" s="282">
        <v>3881</v>
      </c>
      <c r="C47" s="282" t="s">
        <v>3410</v>
      </c>
      <c r="D47" s="282" t="str">
        <f>IF(Table28[[#This Row],[% Leakage Reduction (Calculated)]]&gt;0.4, "Greater than 40% Air Reduction", "Less than 40% Air Reduction")</f>
        <v>Less than 40% Air Reduction</v>
      </c>
      <c r="E47" s="282" t="s">
        <v>4831</v>
      </c>
      <c r="F47" s="282" t="s">
        <v>4832</v>
      </c>
      <c r="G47" s="282" t="s">
        <v>4833</v>
      </c>
      <c r="H47" s="282" t="s">
        <v>4838</v>
      </c>
      <c r="I47" s="282">
        <v>1943</v>
      </c>
      <c r="J47" s="282" t="s">
        <v>4852</v>
      </c>
      <c r="K47" s="282">
        <v>1506</v>
      </c>
      <c r="L47" s="282" t="s">
        <v>4853</v>
      </c>
      <c r="M47" s="283">
        <f t="shared" si="0"/>
        <v>0.22490993309315491</v>
      </c>
      <c r="N47" s="282"/>
      <c r="O47" s="282">
        <v>1</v>
      </c>
      <c r="P47" s="282" t="s">
        <v>5294</v>
      </c>
      <c r="Q47" s="282" t="e">
        <f>2023-Table28[[#This Row],[year_built]]</f>
        <v>#VALUE!</v>
      </c>
      <c r="R47" s="282">
        <v>1134</v>
      </c>
      <c r="S47" s="282" t="s">
        <v>4881</v>
      </c>
      <c r="T47" s="282" t="s">
        <v>4859</v>
      </c>
      <c r="U47" s="282">
        <v>2016</v>
      </c>
      <c r="V47" s="284" t="str">
        <f t="shared" si="1"/>
        <v/>
      </c>
      <c r="W47" s="292" t="e">
        <f>Table28[[#This Row],[$/sqft]]/INDEX(CPI!$A$3:$C$31,MATCH(Table28[[#This Row],[start_year]],CPI!$A$3:$A$31,0),3)</f>
        <v>#VALUE!</v>
      </c>
      <c r="X47" s="282"/>
      <c r="Y47" s="282"/>
      <c r="Z47" s="282" t="s">
        <v>4861</v>
      </c>
      <c r="AA47" s="282">
        <v>22.49099331</v>
      </c>
      <c r="AB47" s="55" t="s">
        <v>71</v>
      </c>
      <c r="AC47" t="s">
        <v>72</v>
      </c>
    </row>
    <row r="48" spans="1:29" x14ac:dyDescent="0.2">
      <c r="A48" s="282">
        <v>1308</v>
      </c>
      <c r="B48" s="282">
        <v>3900</v>
      </c>
      <c r="C48" s="282" t="s">
        <v>3410</v>
      </c>
      <c r="D48" s="282" t="str">
        <f>IF(Table28[[#This Row],[% Leakage Reduction (Calculated)]]&gt;0.4, "Greater than 40% Air Reduction", "Less than 40% Air Reduction")</f>
        <v>Less than 40% Air Reduction</v>
      </c>
      <c r="E48" s="282" t="s">
        <v>4831</v>
      </c>
      <c r="F48" s="282" t="s">
        <v>4832</v>
      </c>
      <c r="G48" s="282" t="s">
        <v>4833</v>
      </c>
      <c r="H48" s="282" t="s">
        <v>4838</v>
      </c>
      <c r="I48" s="282">
        <v>1800</v>
      </c>
      <c r="J48" s="282" t="s">
        <v>4852</v>
      </c>
      <c r="K48" s="282">
        <v>1568</v>
      </c>
      <c r="L48" s="282" t="s">
        <v>4853</v>
      </c>
      <c r="M48" s="283">
        <f t="shared" si="0"/>
        <v>0.12888888888888889</v>
      </c>
      <c r="N48" s="282">
        <v>1073</v>
      </c>
      <c r="O48" s="282">
        <v>1</v>
      </c>
      <c r="P48" s="282">
        <v>1990</v>
      </c>
      <c r="Q48" s="282">
        <f>2023-Table28[[#This Row],[year_built]]</f>
        <v>33</v>
      </c>
      <c r="R48" s="282">
        <v>2386</v>
      </c>
      <c r="S48" s="282" t="s">
        <v>4882</v>
      </c>
      <c r="T48" s="282" t="s">
        <v>4859</v>
      </c>
      <c r="U48" s="282">
        <v>2016</v>
      </c>
      <c r="V48" s="284">
        <f t="shared" si="1"/>
        <v>2.223671947809879</v>
      </c>
      <c r="W48" s="292">
        <f>Table28[[#This Row],[$/sqft]]/INDEX(CPI!$A$3:$C$31,MATCH(Table28[[#This Row],[start_year]],CPI!$A$3:$A$31,0),3)</f>
        <v>2.8174954869190656</v>
      </c>
      <c r="X48" s="282" t="s">
        <v>4844</v>
      </c>
      <c r="Y48" s="282" t="s">
        <v>217</v>
      </c>
      <c r="Z48" s="282" t="s">
        <v>4861</v>
      </c>
      <c r="AA48" s="282">
        <v>12.88888889</v>
      </c>
      <c r="AB48" s="55" t="s">
        <v>71</v>
      </c>
      <c r="AC48" t="s">
        <v>72</v>
      </c>
    </row>
    <row r="49" spans="1:29" x14ac:dyDescent="0.2">
      <c r="A49" s="282">
        <v>3076</v>
      </c>
      <c r="B49" s="282">
        <v>9336</v>
      </c>
      <c r="C49" s="282" t="s">
        <v>3410</v>
      </c>
      <c r="D49" s="282" t="str">
        <f>IF(Table28[[#This Row],[% Leakage Reduction (Calculated)]]&gt;0.4, "Greater than 40% Air Reduction", "Less than 40% Air Reduction")</f>
        <v>Less than 40% Air Reduction</v>
      </c>
      <c r="E49" s="282" t="s">
        <v>4831</v>
      </c>
      <c r="F49" s="282" t="s">
        <v>4832</v>
      </c>
      <c r="G49" s="282" t="s">
        <v>4833</v>
      </c>
      <c r="H49" s="282" t="s">
        <v>4838</v>
      </c>
      <c r="I49" s="282">
        <v>6.81</v>
      </c>
      <c r="J49" s="282" t="s">
        <v>4834</v>
      </c>
      <c r="K49" s="282">
        <v>6.23</v>
      </c>
      <c r="L49" s="282" t="s">
        <v>4835</v>
      </c>
      <c r="M49" s="283">
        <f t="shared" si="0"/>
        <v>8.5168869309838358E-2</v>
      </c>
      <c r="N49" s="282">
        <v>2231</v>
      </c>
      <c r="O49" s="282">
        <v>1.65</v>
      </c>
      <c r="P49" s="282">
        <v>1948</v>
      </c>
      <c r="Q49" s="282">
        <f>2023-Table28[[#This Row],[year_built]]</f>
        <v>75</v>
      </c>
      <c r="R49" s="282">
        <v>372</v>
      </c>
      <c r="S49" s="282" t="s">
        <v>4909</v>
      </c>
      <c r="T49" s="282" t="s">
        <v>4906</v>
      </c>
      <c r="U49" s="282">
        <v>2019</v>
      </c>
      <c r="V49" s="284">
        <f t="shared" si="1"/>
        <v>0.16674137158225011</v>
      </c>
      <c r="W49" s="292">
        <f>Table28[[#This Row],[$/sqft]]/INDEX(CPI!$A$3:$C$31,MATCH(Table28[[#This Row],[start_year]],CPI!$A$3:$A$31,0),3)</f>
        <v>0.19830289831115472</v>
      </c>
      <c r="X49" s="282"/>
      <c r="Y49" s="282" t="s">
        <v>4872</v>
      </c>
      <c r="Z49" s="282" t="s">
        <v>4840</v>
      </c>
      <c r="AA49" s="282">
        <v>8.5168869310000002</v>
      </c>
      <c r="AB49" s="55" t="s">
        <v>72</v>
      </c>
      <c r="AC49" t="s">
        <v>71</v>
      </c>
    </row>
    <row r="50" spans="1:29" x14ac:dyDescent="0.2">
      <c r="A50" s="282">
        <v>1311</v>
      </c>
      <c r="B50" s="282">
        <v>3928</v>
      </c>
      <c r="C50" s="282" t="s">
        <v>3410</v>
      </c>
      <c r="D50" s="282" t="str">
        <f>IF(Table28[[#This Row],[% Leakage Reduction (Calculated)]]&gt;0.4, "Greater than 40% Air Reduction", "Less than 40% Air Reduction")</f>
        <v>Less than 40% Air Reduction</v>
      </c>
      <c r="E50" s="282" t="s">
        <v>4831</v>
      </c>
      <c r="F50" s="282" t="s">
        <v>4832</v>
      </c>
      <c r="G50" s="282" t="s">
        <v>4833</v>
      </c>
      <c r="H50" s="282" t="s">
        <v>4838</v>
      </c>
      <c r="I50" s="282">
        <v>3150</v>
      </c>
      <c r="J50" s="282" t="s">
        <v>4852</v>
      </c>
      <c r="K50" s="282">
        <v>2300</v>
      </c>
      <c r="L50" s="282" t="s">
        <v>4853</v>
      </c>
      <c r="M50" s="283">
        <f t="shared" si="0"/>
        <v>0.26984126984126983</v>
      </c>
      <c r="N50" s="282">
        <v>2520</v>
      </c>
      <c r="O50" s="282">
        <v>1</v>
      </c>
      <c r="P50" s="282" t="s">
        <v>5294</v>
      </c>
      <c r="Q50" s="282" t="e">
        <f>2023-Table28[[#This Row],[year_built]]</f>
        <v>#VALUE!</v>
      </c>
      <c r="R50" s="282">
        <v>1</v>
      </c>
      <c r="S50" s="282" t="s">
        <v>4884</v>
      </c>
      <c r="T50" s="282" t="s">
        <v>4859</v>
      </c>
      <c r="U50" s="282">
        <v>2017</v>
      </c>
      <c r="V50" s="284">
        <f t="shared" si="1"/>
        <v>3.9682539682539683E-4</v>
      </c>
      <c r="W50" s="292">
        <f>Table28[[#This Row],[$/sqft]]/INDEX(CPI!$A$3:$C$31,MATCH(Table28[[#This Row],[start_year]],CPI!$A$3:$A$31,0),3)</f>
        <v>4.9234844216484368E-4</v>
      </c>
      <c r="X50" s="282" t="s">
        <v>4844</v>
      </c>
      <c r="Y50" s="282" t="s">
        <v>4872</v>
      </c>
      <c r="Z50" s="282" t="s">
        <v>4861</v>
      </c>
      <c r="AA50" s="282">
        <v>26.984126979999999</v>
      </c>
      <c r="AB50" s="55" t="s">
        <v>71</v>
      </c>
      <c r="AC50" t="s">
        <v>72</v>
      </c>
    </row>
    <row r="51" spans="1:29" x14ac:dyDescent="0.2">
      <c r="A51" s="282">
        <v>1311</v>
      </c>
      <c r="B51" s="282">
        <v>3933</v>
      </c>
      <c r="C51" s="282" t="s">
        <v>3410</v>
      </c>
      <c r="D51" s="282" t="str">
        <f>IF(Table28[[#This Row],[% Leakage Reduction (Calculated)]]&gt;0.4, "Greater than 40% Air Reduction", "Less than 40% Air Reduction")</f>
        <v>Less than 40% Air Reduction</v>
      </c>
      <c r="E51" s="282" t="s">
        <v>4831</v>
      </c>
      <c r="F51" s="282" t="s">
        <v>4832</v>
      </c>
      <c r="G51" s="282" t="s">
        <v>4833</v>
      </c>
      <c r="H51" s="282" t="s">
        <v>4838</v>
      </c>
      <c r="I51" s="282">
        <v>3150</v>
      </c>
      <c r="J51" s="282" t="s">
        <v>4852</v>
      </c>
      <c r="K51" s="282">
        <v>2300</v>
      </c>
      <c r="L51" s="282" t="s">
        <v>4853</v>
      </c>
      <c r="M51" s="283">
        <f t="shared" si="0"/>
        <v>0.26984126984126983</v>
      </c>
      <c r="N51" s="282">
        <v>2520</v>
      </c>
      <c r="O51" s="282">
        <v>1</v>
      </c>
      <c r="P51" s="282" t="s">
        <v>5294</v>
      </c>
      <c r="Q51" s="282" t="e">
        <f>2023-Table28[[#This Row],[year_built]]</f>
        <v>#VALUE!</v>
      </c>
      <c r="R51" s="282">
        <v>1</v>
      </c>
      <c r="S51" s="282" t="s">
        <v>4884</v>
      </c>
      <c r="T51" s="282" t="s">
        <v>4859</v>
      </c>
      <c r="U51" s="282">
        <v>2017</v>
      </c>
      <c r="V51" s="284">
        <f t="shared" si="1"/>
        <v>3.9682539682539683E-4</v>
      </c>
      <c r="W51" s="292">
        <f>Table28[[#This Row],[$/sqft]]/INDEX(CPI!$A$3:$C$31,MATCH(Table28[[#This Row],[start_year]],CPI!$A$3:$A$31,0),3)</f>
        <v>4.9234844216484368E-4</v>
      </c>
      <c r="X51" s="282" t="s">
        <v>4844</v>
      </c>
      <c r="Y51" s="282" t="s">
        <v>4872</v>
      </c>
      <c r="Z51" s="282" t="s">
        <v>4861</v>
      </c>
      <c r="AA51" s="282">
        <v>26.984126979999999</v>
      </c>
      <c r="AB51" s="55" t="s">
        <v>71</v>
      </c>
      <c r="AC51" t="s">
        <v>72</v>
      </c>
    </row>
    <row r="52" spans="1:29" x14ac:dyDescent="0.2">
      <c r="A52" s="282">
        <v>3012</v>
      </c>
      <c r="B52" s="282">
        <v>9065</v>
      </c>
      <c r="C52" s="282" t="s">
        <v>3410</v>
      </c>
      <c r="D52" s="282" t="str">
        <f>IF(Table28[[#This Row],[% Leakage Reduction (Calculated)]]&gt;0.4, "Greater than 40% Air Reduction", "Less than 40% Air Reduction")</f>
        <v>Less than 40% Air Reduction</v>
      </c>
      <c r="E52" s="282" t="s">
        <v>4831</v>
      </c>
      <c r="F52" s="282" t="s">
        <v>4832</v>
      </c>
      <c r="G52" s="282" t="s">
        <v>4833</v>
      </c>
      <c r="H52" s="282" t="s">
        <v>4838</v>
      </c>
      <c r="I52" s="282">
        <v>10.050000000000001</v>
      </c>
      <c r="J52" s="282" t="s">
        <v>4834</v>
      </c>
      <c r="K52" s="282">
        <v>7.49</v>
      </c>
      <c r="L52" s="282" t="s">
        <v>4835</v>
      </c>
      <c r="M52" s="283">
        <f t="shared" si="0"/>
        <v>0.25472636815920402</v>
      </c>
      <c r="N52" s="282">
        <v>2406</v>
      </c>
      <c r="O52" s="282">
        <v>1.5</v>
      </c>
      <c r="P52" s="282">
        <v>1962</v>
      </c>
      <c r="Q52" s="282">
        <f>2023-Table28[[#This Row],[year_built]]</f>
        <v>61</v>
      </c>
      <c r="R52" s="282">
        <v>400</v>
      </c>
      <c r="S52" s="282" t="s">
        <v>4915</v>
      </c>
      <c r="T52" s="282" t="s">
        <v>4906</v>
      </c>
      <c r="U52" s="282">
        <v>2018</v>
      </c>
      <c r="V52" s="284">
        <f t="shared" si="1"/>
        <v>0.16625103906899419</v>
      </c>
      <c r="W52" s="292">
        <f>Table28[[#This Row],[$/sqft]]/INDEX(CPI!$A$3:$C$31,MATCH(Table28[[#This Row],[start_year]],CPI!$A$3:$A$31,0),3)</f>
        <v>0.20134185974066562</v>
      </c>
      <c r="X52" s="282"/>
      <c r="Y52" s="282" t="s">
        <v>217</v>
      </c>
      <c r="Z52" s="282" t="s">
        <v>4907</v>
      </c>
      <c r="AA52" s="282">
        <v>25.472636820000002</v>
      </c>
      <c r="AB52" s="55" t="s">
        <v>72</v>
      </c>
      <c r="AC52" t="s">
        <v>71</v>
      </c>
    </row>
    <row r="53" spans="1:29" x14ac:dyDescent="0.2">
      <c r="A53" s="282">
        <v>1314</v>
      </c>
      <c r="B53" s="282">
        <v>3952</v>
      </c>
      <c r="C53" s="282" t="s">
        <v>3410</v>
      </c>
      <c r="D53" s="282" t="str">
        <f>IF(Table28[[#This Row],[% Leakage Reduction (Calculated)]]&gt;0.4, "Greater than 40% Air Reduction", "Less than 40% Air Reduction")</f>
        <v>Less than 40% Air Reduction</v>
      </c>
      <c r="E53" s="282" t="s">
        <v>4831</v>
      </c>
      <c r="F53" s="282" t="s">
        <v>4832</v>
      </c>
      <c r="G53" s="282" t="s">
        <v>4833</v>
      </c>
      <c r="H53" s="282" t="s">
        <v>4838</v>
      </c>
      <c r="I53" s="282">
        <v>2336</v>
      </c>
      <c r="J53" s="282" t="s">
        <v>4852</v>
      </c>
      <c r="K53" s="282">
        <v>1600</v>
      </c>
      <c r="L53" s="282" t="s">
        <v>4853</v>
      </c>
      <c r="M53" s="283">
        <f t="shared" si="0"/>
        <v>0.31506849315068491</v>
      </c>
      <c r="N53" s="282">
        <v>1428</v>
      </c>
      <c r="O53" s="282"/>
      <c r="P53" s="282" t="s">
        <v>5294</v>
      </c>
      <c r="Q53" s="282" t="e">
        <f>2023-Table28[[#This Row],[year_built]]</f>
        <v>#VALUE!</v>
      </c>
      <c r="R53" s="282">
        <v>1</v>
      </c>
      <c r="S53" s="282" t="s">
        <v>4875</v>
      </c>
      <c r="T53" s="282" t="s">
        <v>4859</v>
      </c>
      <c r="U53" s="282">
        <v>2017</v>
      </c>
      <c r="V53" s="284">
        <f t="shared" si="1"/>
        <v>7.0028011204481793E-4</v>
      </c>
      <c r="W53" s="292">
        <f>Table28[[#This Row],[$/sqft]]/INDEX(CPI!$A$3:$C$31,MATCH(Table28[[#This Row],[start_year]],CPI!$A$3:$A$31,0),3)</f>
        <v>8.6885019205560656E-4</v>
      </c>
      <c r="X53" s="282" t="s">
        <v>4844</v>
      </c>
      <c r="Y53" s="282" t="s">
        <v>217</v>
      </c>
      <c r="Z53" s="282" t="s">
        <v>4861</v>
      </c>
      <c r="AA53" s="282">
        <v>31.506849320000001</v>
      </c>
      <c r="AB53" s="55" t="s">
        <v>71</v>
      </c>
      <c r="AC53" t="s">
        <v>72</v>
      </c>
    </row>
    <row r="54" spans="1:29" x14ac:dyDescent="0.2">
      <c r="A54" s="282">
        <v>1316</v>
      </c>
      <c r="B54" s="282">
        <v>3967</v>
      </c>
      <c r="C54" s="282" t="s">
        <v>3410</v>
      </c>
      <c r="D54" s="282" t="str">
        <f>IF(Table28[[#This Row],[% Leakage Reduction (Calculated)]]&gt;0.4, "Greater than 40% Air Reduction", "Less than 40% Air Reduction")</f>
        <v>Less than 40% Air Reduction</v>
      </c>
      <c r="E54" s="282" t="s">
        <v>4831</v>
      </c>
      <c r="F54" s="282" t="s">
        <v>4832</v>
      </c>
      <c r="G54" s="282" t="s">
        <v>4833</v>
      </c>
      <c r="H54" s="282" t="s">
        <v>4838</v>
      </c>
      <c r="I54" s="282">
        <v>1215</v>
      </c>
      <c r="J54" s="282" t="s">
        <v>4852</v>
      </c>
      <c r="K54" s="282">
        <v>1050</v>
      </c>
      <c r="L54" s="282" t="s">
        <v>4853</v>
      </c>
      <c r="M54" s="283">
        <f t="shared" si="0"/>
        <v>0.13580246913580246</v>
      </c>
      <c r="N54" s="282">
        <v>2278</v>
      </c>
      <c r="O54" s="282">
        <v>3</v>
      </c>
      <c r="P54" s="282">
        <v>1980</v>
      </c>
      <c r="Q54" s="282">
        <f>2023-Table28[[#This Row],[year_built]]</f>
        <v>43</v>
      </c>
      <c r="R54" s="282">
        <v>1</v>
      </c>
      <c r="S54" s="282" t="s">
        <v>4886</v>
      </c>
      <c r="T54" s="282" t="s">
        <v>4859</v>
      </c>
      <c r="U54" s="282">
        <v>2017</v>
      </c>
      <c r="V54" s="284">
        <f t="shared" si="1"/>
        <v>4.3898156277436348E-4</v>
      </c>
      <c r="W54" s="292">
        <f>Table28[[#This Row],[$/sqft]]/INDEX(CPI!$A$3:$C$31,MATCH(Table28[[#This Row],[start_year]],CPI!$A$3:$A$31,0),3)</f>
        <v>5.446523591990369E-4</v>
      </c>
      <c r="X54" s="282" t="s">
        <v>4844</v>
      </c>
      <c r="Y54" s="282" t="s">
        <v>4839</v>
      </c>
      <c r="Z54" s="282" t="s">
        <v>4861</v>
      </c>
      <c r="AA54" s="282">
        <v>13.58024691</v>
      </c>
      <c r="AB54" s="55" t="s">
        <v>71</v>
      </c>
      <c r="AC54" t="s">
        <v>72</v>
      </c>
    </row>
    <row r="55" spans="1:29" x14ac:dyDescent="0.2">
      <c r="A55" s="282">
        <v>1317</v>
      </c>
      <c r="B55" s="282">
        <v>3974</v>
      </c>
      <c r="C55" s="282" t="s">
        <v>3410</v>
      </c>
      <c r="D55" s="282" t="str">
        <f>IF(Table28[[#This Row],[% Leakage Reduction (Calculated)]]&gt;0.4, "Greater than 40% Air Reduction", "Less than 40% Air Reduction")</f>
        <v>Greater than 40% Air Reduction</v>
      </c>
      <c r="E55" s="282" t="s">
        <v>4831</v>
      </c>
      <c r="F55" s="282" t="s">
        <v>4832</v>
      </c>
      <c r="G55" s="282" t="s">
        <v>4833</v>
      </c>
      <c r="H55" s="282" t="s">
        <v>4838</v>
      </c>
      <c r="I55" s="282">
        <v>2400</v>
      </c>
      <c r="J55" s="282" t="s">
        <v>4852</v>
      </c>
      <c r="K55" s="282">
        <v>1140</v>
      </c>
      <c r="L55" s="282" t="s">
        <v>4853</v>
      </c>
      <c r="M55" s="283">
        <f t="shared" si="0"/>
        <v>0.52500000000000002</v>
      </c>
      <c r="N55" s="282">
        <v>1527</v>
      </c>
      <c r="O55" s="282">
        <v>2</v>
      </c>
      <c r="P55" s="282">
        <v>1970</v>
      </c>
      <c r="Q55" s="282">
        <f>2023-Table28[[#This Row],[year_built]]</f>
        <v>53</v>
      </c>
      <c r="R55" s="282">
        <v>3141</v>
      </c>
      <c r="S55" s="282" t="s">
        <v>4887</v>
      </c>
      <c r="T55" s="282" t="s">
        <v>4859</v>
      </c>
      <c r="U55" s="282">
        <v>2017</v>
      </c>
      <c r="V55" s="284">
        <f t="shared" si="1"/>
        <v>2.0569744597249509</v>
      </c>
      <c r="W55" s="292">
        <f>Table28[[#This Row],[$/sqft]]/INDEX(CPI!$A$3:$C$31,MATCH(Table28[[#This Row],[start_year]],CPI!$A$3:$A$31,0),3)</f>
        <v>2.5521253904624954</v>
      </c>
      <c r="X55" s="282" t="s">
        <v>4844</v>
      </c>
      <c r="Y55" s="282" t="s">
        <v>217</v>
      </c>
      <c r="Z55" s="282" t="s">
        <v>4861</v>
      </c>
      <c r="AA55" s="282">
        <v>52.5</v>
      </c>
      <c r="AB55" s="55" t="s">
        <v>71</v>
      </c>
      <c r="AC55" t="s">
        <v>72</v>
      </c>
    </row>
    <row r="56" spans="1:29" x14ac:dyDescent="0.2">
      <c r="A56" s="282">
        <v>1318</v>
      </c>
      <c r="B56" s="282">
        <v>3981</v>
      </c>
      <c r="C56" s="282" t="s">
        <v>3410</v>
      </c>
      <c r="D56" s="282" t="str">
        <f>IF(Table28[[#This Row],[% Leakage Reduction (Calculated)]]&gt;0.4, "Greater than 40% Air Reduction", "Less than 40% Air Reduction")</f>
        <v>Greater than 40% Air Reduction</v>
      </c>
      <c r="E56" s="282" t="s">
        <v>4831</v>
      </c>
      <c r="F56" s="282" t="s">
        <v>4832</v>
      </c>
      <c r="G56" s="282" t="s">
        <v>4833</v>
      </c>
      <c r="H56" s="282" t="s">
        <v>4838</v>
      </c>
      <c r="I56" s="282">
        <v>3563</v>
      </c>
      <c r="J56" s="282" t="s">
        <v>4852</v>
      </c>
      <c r="K56" s="282">
        <v>1952</v>
      </c>
      <c r="L56" s="282" t="s">
        <v>4853</v>
      </c>
      <c r="M56" s="283">
        <f t="shared" si="0"/>
        <v>0.45214706707830482</v>
      </c>
      <c r="N56" s="282">
        <v>1814</v>
      </c>
      <c r="O56" s="282">
        <v>1</v>
      </c>
      <c r="P56" s="282">
        <v>1970</v>
      </c>
      <c r="Q56" s="282">
        <f>2023-Table28[[#This Row],[year_built]]</f>
        <v>53</v>
      </c>
      <c r="R56" s="282">
        <v>1</v>
      </c>
      <c r="S56" s="282" t="s">
        <v>4888</v>
      </c>
      <c r="T56" s="282" t="s">
        <v>4859</v>
      </c>
      <c r="U56" s="282">
        <v>2015</v>
      </c>
      <c r="V56" s="284">
        <f t="shared" si="1"/>
        <v>5.5126791620727675E-4</v>
      </c>
      <c r="W56" s="292">
        <f>Table28[[#This Row],[$/sqft]]/INDEX(CPI!$A$3:$C$31,MATCH(Table28[[#This Row],[start_year]],CPI!$A$3:$A$31,0),3)</f>
        <v>7.0729345708802694E-4</v>
      </c>
      <c r="X56" s="282" t="s">
        <v>4844</v>
      </c>
      <c r="Y56" s="282" t="s">
        <v>4872</v>
      </c>
      <c r="Z56" s="282" t="s">
        <v>4861</v>
      </c>
      <c r="AA56" s="282">
        <v>45.214706710000002</v>
      </c>
      <c r="AB56" s="55" t="s">
        <v>71</v>
      </c>
      <c r="AC56" t="s">
        <v>72</v>
      </c>
    </row>
    <row r="57" spans="1:29" x14ac:dyDescent="0.2">
      <c r="A57" s="282">
        <v>5249</v>
      </c>
      <c r="B57" s="282">
        <v>13474</v>
      </c>
      <c r="C57" s="282" t="s">
        <v>3410</v>
      </c>
      <c r="D57" s="282" t="str">
        <f>IF(Table28[[#This Row],[% Leakage Reduction (Calculated)]]&gt;0.4, "Greater than 40% Air Reduction", "Less than 40% Air Reduction")</f>
        <v>Less than 40% Air Reduction</v>
      </c>
      <c r="E57" s="282" t="s">
        <v>4831</v>
      </c>
      <c r="F57" s="282" t="s">
        <v>4832</v>
      </c>
      <c r="G57" s="282" t="s">
        <v>4833</v>
      </c>
      <c r="H57" s="282" t="s">
        <v>4972</v>
      </c>
      <c r="I57" s="282">
        <v>2145</v>
      </c>
      <c r="J57" s="282" t="s">
        <v>4852</v>
      </c>
      <c r="K57" s="282">
        <v>1695</v>
      </c>
      <c r="L57" s="282" t="s">
        <v>4853</v>
      </c>
      <c r="M57" s="283">
        <f t="shared" si="0"/>
        <v>0.20979020979020979</v>
      </c>
      <c r="N57" s="282">
        <v>1872</v>
      </c>
      <c r="O57" s="282"/>
      <c r="P57" s="282">
        <v>1998</v>
      </c>
      <c r="Q57" s="282">
        <f>2023-Table28[[#This Row],[year_built]]</f>
        <v>25</v>
      </c>
      <c r="R57" s="282">
        <v>312.95</v>
      </c>
      <c r="S57" s="282" t="s">
        <v>4980</v>
      </c>
      <c r="T57" s="282" t="s">
        <v>4979</v>
      </c>
      <c r="U57" s="282">
        <v>2018</v>
      </c>
      <c r="V57" s="284">
        <f t="shared" si="1"/>
        <v>0.16717414529914529</v>
      </c>
      <c r="W57" s="292">
        <f>Table28[[#This Row],[$/sqft]]/INDEX(CPI!$A$3:$C$31,MATCH(Table28[[#This Row],[start_year]],CPI!$A$3:$A$31,0),3)</f>
        <v>0.20245980719024328</v>
      </c>
      <c r="X57" s="282" t="s">
        <v>4844</v>
      </c>
      <c r="Y57" s="282"/>
      <c r="Z57" s="282" t="s">
        <v>4840</v>
      </c>
      <c r="AA57" s="282">
        <v>20.979020980000001</v>
      </c>
      <c r="AB57" s="55" t="s">
        <v>72</v>
      </c>
      <c r="AC57" t="s">
        <v>71</v>
      </c>
    </row>
    <row r="58" spans="1:29" x14ac:dyDescent="0.2">
      <c r="A58" s="282">
        <v>4035</v>
      </c>
      <c r="B58" s="282">
        <v>11150</v>
      </c>
      <c r="C58" s="282" t="s">
        <v>3410</v>
      </c>
      <c r="D58" s="282" t="str">
        <f>IF(Table28[[#This Row],[% Leakage Reduction (Calculated)]]&gt;0.4, "Greater than 40% Air Reduction", "Less than 40% Air Reduction")</f>
        <v>Less than 40% Air Reduction</v>
      </c>
      <c r="E58" s="282" t="s">
        <v>4831</v>
      </c>
      <c r="F58" s="282" t="s">
        <v>4832</v>
      </c>
      <c r="G58" s="282" t="s">
        <v>4833</v>
      </c>
      <c r="H58" s="282" t="s">
        <v>4838</v>
      </c>
      <c r="I58" s="282">
        <v>3076</v>
      </c>
      <c r="J58" s="282" t="s">
        <v>4852</v>
      </c>
      <c r="K58" s="282">
        <v>2520</v>
      </c>
      <c r="L58" s="282" t="s">
        <v>4853</v>
      </c>
      <c r="M58" s="283">
        <f t="shared" si="0"/>
        <v>0.18075422626788037</v>
      </c>
      <c r="N58" s="282">
        <v>2577</v>
      </c>
      <c r="O58" s="282"/>
      <c r="P58" s="282">
        <v>2003</v>
      </c>
      <c r="Q58" s="282">
        <f>2023-Table28[[#This Row],[year_built]]</f>
        <v>20</v>
      </c>
      <c r="R58" s="282">
        <v>442.24</v>
      </c>
      <c r="S58" s="282" t="s">
        <v>4977</v>
      </c>
      <c r="T58" s="282" t="s">
        <v>4969</v>
      </c>
      <c r="U58" s="282">
        <v>2019</v>
      </c>
      <c r="V58" s="284">
        <f t="shared" si="1"/>
        <v>0.17161039968956152</v>
      </c>
      <c r="W58" s="292">
        <f>Table28[[#This Row],[$/sqft]]/INDEX(CPI!$A$3:$C$31,MATCH(Table28[[#This Row],[start_year]],CPI!$A$3:$A$31,0),3)</f>
        <v>0.20409355708093727</v>
      </c>
      <c r="X58" s="282" t="s">
        <v>1241</v>
      </c>
      <c r="Y58" s="282"/>
      <c r="Z58" s="282" t="s">
        <v>4840</v>
      </c>
      <c r="AA58" s="282">
        <v>18.075422629999998</v>
      </c>
      <c r="AB58" s="55" t="s">
        <v>72</v>
      </c>
      <c r="AC58" t="s">
        <v>71</v>
      </c>
    </row>
    <row r="59" spans="1:29" x14ac:dyDescent="0.2">
      <c r="A59" s="282">
        <v>2081</v>
      </c>
      <c r="B59" s="282">
        <v>5930</v>
      </c>
      <c r="C59" s="282" t="s">
        <v>3410</v>
      </c>
      <c r="D59" s="282" t="str">
        <f>IF(Table28[[#This Row],[% Leakage Reduction (Calculated)]]&gt;0.4, "Greater than 40% Air Reduction", "Less than 40% Air Reduction")</f>
        <v>Greater than 40% Air Reduction</v>
      </c>
      <c r="E59" s="282" t="s">
        <v>4831</v>
      </c>
      <c r="F59" s="282" t="s">
        <v>4832</v>
      </c>
      <c r="G59" s="282" t="s">
        <v>4833</v>
      </c>
      <c r="H59" s="282"/>
      <c r="I59" s="282">
        <v>2778</v>
      </c>
      <c r="J59" s="282" t="s">
        <v>4853</v>
      </c>
      <c r="K59" s="282">
        <v>4457</v>
      </c>
      <c r="L59" s="282" t="s">
        <v>4852</v>
      </c>
      <c r="M59" s="283">
        <f t="shared" si="0"/>
        <v>0.60439164866810657</v>
      </c>
      <c r="N59" s="282">
        <v>2463</v>
      </c>
      <c r="O59" s="282"/>
      <c r="P59" s="282">
        <v>1975</v>
      </c>
      <c r="Q59" s="282">
        <f>2023-Table28[[#This Row],[year_built]]</f>
        <v>48</v>
      </c>
      <c r="R59" s="282">
        <v>4811</v>
      </c>
      <c r="S59" s="282" t="s">
        <v>4892</v>
      </c>
      <c r="T59" s="282" t="s">
        <v>4857</v>
      </c>
      <c r="U59" s="282">
        <v>2020</v>
      </c>
      <c r="V59" s="284">
        <f t="shared" si="1"/>
        <v>1.9533089727974016</v>
      </c>
      <c r="W59" s="292">
        <f>Table28[[#This Row],[$/sqft]]/INDEX(CPI!$A$3:$C$31,MATCH(Table28[[#This Row],[start_year]],CPI!$A$3:$A$31,0),3)</f>
        <v>2.2952135186541338</v>
      </c>
      <c r="X59" s="282"/>
      <c r="Y59" s="282"/>
      <c r="Z59" s="282" t="s">
        <v>4840</v>
      </c>
      <c r="AA59" s="282">
        <v>37.671079200000001</v>
      </c>
      <c r="AB59" s="55" t="s">
        <v>71</v>
      </c>
      <c r="AC59" t="s">
        <v>72</v>
      </c>
    </row>
    <row r="60" spans="1:29" x14ac:dyDescent="0.2">
      <c r="A60" s="282">
        <v>4039</v>
      </c>
      <c r="B60" s="282">
        <v>11170</v>
      </c>
      <c r="C60" s="282" t="s">
        <v>3410</v>
      </c>
      <c r="D60" s="282" t="str">
        <f>IF(Table28[[#This Row],[% Leakage Reduction (Calculated)]]&gt;0.4, "Greater than 40% Air Reduction", "Less than 40% Air Reduction")</f>
        <v>Less than 40% Air Reduction</v>
      </c>
      <c r="E60" s="282" t="s">
        <v>4831</v>
      </c>
      <c r="F60" s="282" t="s">
        <v>4832</v>
      </c>
      <c r="G60" s="282" t="s">
        <v>4833</v>
      </c>
      <c r="H60" s="282" t="s">
        <v>4838</v>
      </c>
      <c r="I60" s="282">
        <v>2169</v>
      </c>
      <c r="J60" s="282" t="s">
        <v>4852</v>
      </c>
      <c r="K60" s="282">
        <v>1732</v>
      </c>
      <c r="L60" s="282" t="s">
        <v>4853</v>
      </c>
      <c r="M60" s="283">
        <f t="shared" si="0"/>
        <v>0.20147533425541725</v>
      </c>
      <c r="N60" s="282">
        <v>1105</v>
      </c>
      <c r="O60" s="282"/>
      <c r="P60" s="282">
        <v>2001</v>
      </c>
      <c r="Q60" s="282">
        <f>2023-Table28[[#This Row],[year_built]]</f>
        <v>22</v>
      </c>
      <c r="R60" s="282">
        <v>195.49</v>
      </c>
      <c r="S60" s="282" t="s">
        <v>4975</v>
      </c>
      <c r="T60" s="282" t="s">
        <v>4969</v>
      </c>
      <c r="U60" s="282">
        <v>2019</v>
      </c>
      <c r="V60" s="284">
        <f t="shared" si="1"/>
        <v>0.17691402714932128</v>
      </c>
      <c r="W60" s="292">
        <f>Table28[[#This Row],[$/sqft]]/INDEX(CPI!$A$3:$C$31,MATCH(Table28[[#This Row],[start_year]],CPI!$A$3:$A$31,0),3)</f>
        <v>0.21040107804500824</v>
      </c>
      <c r="X60" s="282" t="s">
        <v>4844</v>
      </c>
      <c r="Y60" s="282"/>
      <c r="Z60" s="282" t="s">
        <v>4840</v>
      </c>
      <c r="AA60" s="282">
        <v>20.147533429999999</v>
      </c>
      <c r="AB60" s="55" t="s">
        <v>72</v>
      </c>
      <c r="AC60" t="s">
        <v>71</v>
      </c>
    </row>
    <row r="61" spans="1:29" x14ac:dyDescent="0.2">
      <c r="A61" s="282">
        <v>4016</v>
      </c>
      <c r="B61" s="282">
        <v>11067</v>
      </c>
      <c r="C61" s="282" t="s">
        <v>3410</v>
      </c>
      <c r="D61" s="282" t="str">
        <f>IF(Table28[[#This Row],[% Leakage Reduction (Calculated)]]&gt;0.4, "Greater than 40% Air Reduction", "Less than 40% Air Reduction")</f>
        <v>Less than 40% Air Reduction</v>
      </c>
      <c r="E61" s="282" t="s">
        <v>4831</v>
      </c>
      <c r="F61" s="282" t="s">
        <v>4832</v>
      </c>
      <c r="G61" s="282" t="s">
        <v>4833</v>
      </c>
      <c r="H61" s="282" t="s">
        <v>4838</v>
      </c>
      <c r="I61" s="282">
        <v>2792</v>
      </c>
      <c r="J61" s="282" t="s">
        <v>4852</v>
      </c>
      <c r="K61" s="282">
        <v>2558</v>
      </c>
      <c r="L61" s="282" t="s">
        <v>4853</v>
      </c>
      <c r="M61" s="283">
        <f t="shared" si="0"/>
        <v>8.3810888252148996E-2</v>
      </c>
      <c r="N61" s="282">
        <v>1940</v>
      </c>
      <c r="O61" s="282"/>
      <c r="P61" s="282">
        <v>1982</v>
      </c>
      <c r="Q61" s="282">
        <f>2023-Table28[[#This Row],[year_built]]</f>
        <v>41</v>
      </c>
      <c r="R61" s="282">
        <v>352.1</v>
      </c>
      <c r="S61" s="282" t="s">
        <v>4968</v>
      </c>
      <c r="T61" s="282" t="s">
        <v>4969</v>
      </c>
      <c r="U61" s="282">
        <v>2019</v>
      </c>
      <c r="V61" s="284">
        <f t="shared" si="1"/>
        <v>0.18149484536082475</v>
      </c>
      <c r="W61" s="292">
        <f>Table28[[#This Row],[$/sqft]]/INDEX(CPI!$A$3:$C$31,MATCH(Table28[[#This Row],[start_year]],CPI!$A$3:$A$31,0),3)</f>
        <v>0.2158489733055409</v>
      </c>
      <c r="X61" s="282" t="s">
        <v>4844</v>
      </c>
      <c r="Y61" s="282"/>
      <c r="Z61" s="282" t="s">
        <v>4840</v>
      </c>
      <c r="AA61" s="282">
        <v>8.3810888250000009</v>
      </c>
      <c r="AB61" s="55" t="s">
        <v>72</v>
      </c>
      <c r="AC61" t="s">
        <v>71</v>
      </c>
    </row>
    <row r="62" spans="1:29" x14ac:dyDescent="0.2">
      <c r="A62" s="282">
        <v>1293</v>
      </c>
      <c r="B62" s="282">
        <v>3745</v>
      </c>
      <c r="C62" s="282" t="s">
        <v>3410</v>
      </c>
      <c r="D62" s="282" t="str">
        <f>IF(Table28[[#This Row],[% Leakage Reduction (Calculated)]]&gt;0.4, "Greater than 40% Air Reduction", "Less than 40% Air Reduction")</f>
        <v>Less than 40% Air Reduction</v>
      </c>
      <c r="E62" s="282" t="s">
        <v>4831</v>
      </c>
      <c r="F62" s="282" t="s">
        <v>4832</v>
      </c>
      <c r="G62" s="282" t="s">
        <v>4833</v>
      </c>
      <c r="H62" s="282" t="s">
        <v>4838</v>
      </c>
      <c r="I62" s="282">
        <v>1625</v>
      </c>
      <c r="J62" s="282" t="s">
        <v>4852</v>
      </c>
      <c r="K62" s="282">
        <v>1273</v>
      </c>
      <c r="L62" s="282" t="s">
        <v>4853</v>
      </c>
      <c r="M62" s="283">
        <f t="shared" si="0"/>
        <v>0.21661538461538463</v>
      </c>
      <c r="N62" s="282">
        <v>2043</v>
      </c>
      <c r="O62" s="282">
        <v>2</v>
      </c>
      <c r="P62" s="282">
        <v>1990</v>
      </c>
      <c r="Q62" s="282">
        <f>2023-Table28[[#This Row],[year_built]]</f>
        <v>33</v>
      </c>
      <c r="R62" s="282">
        <v>350</v>
      </c>
      <c r="S62" s="282" t="s">
        <v>4867</v>
      </c>
      <c r="T62" s="282" t="s">
        <v>4859</v>
      </c>
      <c r="U62" s="282">
        <v>2016</v>
      </c>
      <c r="V62" s="284">
        <f t="shared" si="1"/>
        <v>0.17131669114047968</v>
      </c>
      <c r="W62" s="292">
        <f>Table28[[#This Row],[$/sqft]]/INDEX(CPI!$A$3:$C$31,MATCH(Table28[[#This Row],[start_year]],CPI!$A$3:$A$31,0),3)</f>
        <v>0.2170661929686212</v>
      </c>
      <c r="X62" s="282" t="s">
        <v>4844</v>
      </c>
      <c r="Y62" s="282" t="s">
        <v>217</v>
      </c>
      <c r="Z62" s="282" t="s">
        <v>4861</v>
      </c>
      <c r="AA62" s="282">
        <v>21.661538459999999</v>
      </c>
      <c r="AB62" s="55" t="s">
        <v>72</v>
      </c>
      <c r="AC62" t="s">
        <v>72</v>
      </c>
    </row>
    <row r="63" spans="1:29" x14ac:dyDescent="0.2">
      <c r="A63" s="282">
        <v>3338</v>
      </c>
      <c r="B63" s="282">
        <v>10191</v>
      </c>
      <c r="C63" s="282" t="s">
        <v>3410</v>
      </c>
      <c r="D63" s="282" t="str">
        <f>IF(Table28[[#This Row],[% Leakage Reduction (Calculated)]]&gt;0.4, "Greater than 40% Air Reduction", "Less than 40% Air Reduction")</f>
        <v>Less than 40% Air Reduction</v>
      </c>
      <c r="E63" s="282" t="s">
        <v>4831</v>
      </c>
      <c r="F63" s="282" t="s">
        <v>4832</v>
      </c>
      <c r="G63" s="282" t="s">
        <v>4833</v>
      </c>
      <c r="H63" s="282" t="s">
        <v>4838</v>
      </c>
      <c r="I63" s="282">
        <v>4.93</v>
      </c>
      <c r="J63" s="282" t="s">
        <v>4834</v>
      </c>
      <c r="K63" s="282">
        <v>4.22</v>
      </c>
      <c r="L63" s="282" t="s">
        <v>4835</v>
      </c>
      <c r="M63" s="283">
        <f t="shared" si="0"/>
        <v>0.1440162271805274</v>
      </c>
      <c r="N63" s="282">
        <v>4262</v>
      </c>
      <c r="O63" s="282">
        <v>2</v>
      </c>
      <c r="P63" s="282">
        <v>1999</v>
      </c>
      <c r="Q63" s="282">
        <f>2023-Table28[[#This Row],[year_built]]</f>
        <v>24</v>
      </c>
      <c r="R63" s="282">
        <v>800</v>
      </c>
      <c r="S63" s="282" t="s">
        <v>4927</v>
      </c>
      <c r="T63" s="282" t="s">
        <v>4906</v>
      </c>
      <c r="U63" s="282">
        <v>2020</v>
      </c>
      <c r="V63" s="284">
        <f t="shared" si="1"/>
        <v>0.18770530267480057</v>
      </c>
      <c r="W63" s="292">
        <f>Table28[[#This Row],[$/sqft]]/INDEX(CPI!$A$3:$C$31,MATCH(Table28[[#This Row],[start_year]],CPI!$A$3:$A$31,0),3)</f>
        <v>0.22056098355257672</v>
      </c>
      <c r="X63" s="282"/>
      <c r="Y63" s="282" t="s">
        <v>217</v>
      </c>
      <c r="Z63" s="282" t="s">
        <v>4840</v>
      </c>
      <c r="AA63" s="282">
        <v>14.401622720000001</v>
      </c>
      <c r="AB63" s="55" t="s">
        <v>72</v>
      </c>
      <c r="AC63" t="s">
        <v>71</v>
      </c>
    </row>
    <row r="64" spans="1:29" x14ac:dyDescent="0.2">
      <c r="A64" s="282">
        <v>5179</v>
      </c>
      <c r="B64" s="282">
        <v>13090</v>
      </c>
      <c r="C64" s="282" t="s">
        <v>3410</v>
      </c>
      <c r="D64" s="282" t="str">
        <f>IF(Table28[[#This Row],[% Leakage Reduction (Calculated)]]&gt;0.4, "Greater than 40% Air Reduction", "Less than 40% Air Reduction")</f>
        <v>Less than 40% Air Reduction</v>
      </c>
      <c r="E64" s="282" t="s">
        <v>4831</v>
      </c>
      <c r="F64" s="282" t="s">
        <v>4832</v>
      </c>
      <c r="G64" s="282" t="s">
        <v>4833</v>
      </c>
      <c r="H64" s="282" t="s">
        <v>4838</v>
      </c>
      <c r="I64" s="282">
        <v>5059</v>
      </c>
      <c r="J64" s="282" t="s">
        <v>4852</v>
      </c>
      <c r="K64" s="282">
        <v>4022</v>
      </c>
      <c r="L64" s="282" t="s">
        <v>4853</v>
      </c>
      <c r="M64" s="283">
        <f t="shared" si="0"/>
        <v>0.20498122158529353</v>
      </c>
      <c r="N64" s="282">
        <v>4500</v>
      </c>
      <c r="O64" s="282"/>
      <c r="P64" s="282">
        <v>1990</v>
      </c>
      <c r="Q64" s="282">
        <f>2023-Table28[[#This Row],[year_built]]</f>
        <v>33</v>
      </c>
      <c r="R64" s="282">
        <v>841.56</v>
      </c>
      <c r="S64" s="282" t="s">
        <v>4978</v>
      </c>
      <c r="T64" s="282" t="s">
        <v>4979</v>
      </c>
      <c r="U64" s="282">
        <v>2019</v>
      </c>
      <c r="V64" s="284">
        <f t="shared" si="1"/>
        <v>0.18701333333333331</v>
      </c>
      <c r="W64" s="292">
        <f>Table28[[#This Row],[$/sqft]]/INDEX(CPI!$A$3:$C$31,MATCH(Table28[[#This Row],[start_year]],CPI!$A$3:$A$31,0),3)</f>
        <v>0.22241202450788683</v>
      </c>
      <c r="X64" s="282" t="s">
        <v>4844</v>
      </c>
      <c r="Y64" s="282"/>
      <c r="Z64" s="282" t="s">
        <v>4840</v>
      </c>
      <c r="AA64" s="282">
        <v>20.498122160000001</v>
      </c>
      <c r="AB64" s="55" t="s">
        <v>72</v>
      </c>
      <c r="AC64" t="s">
        <v>71</v>
      </c>
    </row>
    <row r="65" spans="1:29" x14ac:dyDescent="0.2">
      <c r="A65" s="282">
        <v>3168</v>
      </c>
      <c r="B65" s="282">
        <v>9679</v>
      </c>
      <c r="C65" s="282" t="s">
        <v>3410</v>
      </c>
      <c r="D65" s="282" t="str">
        <f>IF(Table28[[#This Row],[% Leakage Reduction (Calculated)]]&gt;0.4, "Greater than 40% Air Reduction", "Less than 40% Air Reduction")</f>
        <v>Less than 40% Air Reduction</v>
      </c>
      <c r="E65" s="282" t="s">
        <v>4831</v>
      </c>
      <c r="F65" s="282" t="s">
        <v>4832</v>
      </c>
      <c r="G65" s="282" t="s">
        <v>4833</v>
      </c>
      <c r="H65" s="282" t="s">
        <v>4838</v>
      </c>
      <c r="I65" s="282">
        <v>23.36</v>
      </c>
      <c r="J65" s="282" t="s">
        <v>4834</v>
      </c>
      <c r="K65" s="282">
        <v>20.329999999999998</v>
      </c>
      <c r="L65" s="282" t="s">
        <v>4835</v>
      </c>
      <c r="M65" s="283">
        <f t="shared" si="0"/>
        <v>0.1297089041095891</v>
      </c>
      <c r="N65" s="282">
        <v>2080</v>
      </c>
      <c r="O65" s="282">
        <v>1.3</v>
      </c>
      <c r="P65" s="282">
        <v>1850</v>
      </c>
      <c r="Q65" s="282">
        <f>2023-Table28[[#This Row],[year_built]]</f>
        <v>173</v>
      </c>
      <c r="R65" s="282">
        <v>400</v>
      </c>
      <c r="S65" s="282" t="s">
        <v>4928</v>
      </c>
      <c r="T65" s="282" t="s">
        <v>4906</v>
      </c>
      <c r="U65" s="282">
        <v>2020</v>
      </c>
      <c r="V65" s="284">
        <f t="shared" si="1"/>
        <v>0.19230769230769232</v>
      </c>
      <c r="W65" s="292">
        <f>Table28[[#This Row],[$/sqft]]/INDEX(CPI!$A$3:$C$31,MATCH(Table28[[#This Row],[start_year]],CPI!$A$3:$A$31,0),3)</f>
        <v>0.22596896920699086</v>
      </c>
      <c r="X65" s="282"/>
      <c r="Y65" s="282" t="s">
        <v>4955</v>
      </c>
      <c r="Z65" s="282" t="s">
        <v>4907</v>
      </c>
      <c r="AA65" s="282">
        <v>12.970890410000001</v>
      </c>
      <c r="AB65" s="55" t="s">
        <v>72</v>
      </c>
      <c r="AC65" t="s">
        <v>71</v>
      </c>
    </row>
    <row r="66" spans="1:29" x14ac:dyDescent="0.2">
      <c r="A66" s="282">
        <v>3189</v>
      </c>
      <c r="B66" s="282">
        <v>9739</v>
      </c>
      <c r="C66" s="282" t="s">
        <v>3410</v>
      </c>
      <c r="D66" s="282" t="str">
        <f>IF(Table28[[#This Row],[% Leakage Reduction (Calculated)]]&gt;0.4, "Greater than 40% Air Reduction", "Less than 40% Air Reduction")</f>
        <v>Less than 40% Air Reduction</v>
      </c>
      <c r="E66" s="282" t="s">
        <v>4831</v>
      </c>
      <c r="F66" s="282" t="s">
        <v>4832</v>
      </c>
      <c r="G66" s="282" t="s">
        <v>4833</v>
      </c>
      <c r="H66" s="282" t="s">
        <v>4838</v>
      </c>
      <c r="I66" s="282">
        <v>8.3800000000000008</v>
      </c>
      <c r="J66" s="282" t="s">
        <v>4834</v>
      </c>
      <c r="K66" s="282">
        <v>5.71</v>
      </c>
      <c r="L66" s="282" t="s">
        <v>4835</v>
      </c>
      <c r="M66" s="283">
        <f t="shared" si="0"/>
        <v>0.3186157517899762</v>
      </c>
      <c r="N66" s="282">
        <v>2664</v>
      </c>
      <c r="O66" s="282">
        <v>2.4</v>
      </c>
      <c r="P66" s="282">
        <v>1986</v>
      </c>
      <c r="Q66" s="282">
        <f>2023-Table28[[#This Row],[year_built]]</f>
        <v>37</v>
      </c>
      <c r="R66" s="282">
        <v>520</v>
      </c>
      <c r="S66" s="282" t="s">
        <v>4934</v>
      </c>
      <c r="T66" s="282" t="s">
        <v>4906</v>
      </c>
      <c r="U66" s="282">
        <v>2020</v>
      </c>
      <c r="V66" s="284">
        <f t="shared" si="1"/>
        <v>0.19519519519519518</v>
      </c>
      <c r="W66" s="292">
        <f>Table28[[#This Row],[$/sqft]]/INDEX(CPI!$A$3:$C$31,MATCH(Table28[[#This Row],[start_year]],CPI!$A$3:$A$31,0),3)</f>
        <v>0.22936189667256127</v>
      </c>
      <c r="X66" s="282"/>
      <c r="Y66" s="282" t="s">
        <v>217</v>
      </c>
      <c r="Z66" s="282" t="s">
        <v>4840</v>
      </c>
      <c r="AA66" s="282">
        <v>31.861575179999999</v>
      </c>
      <c r="AB66" s="55" t="s">
        <v>72</v>
      </c>
      <c r="AC66" t="s">
        <v>71</v>
      </c>
    </row>
    <row r="67" spans="1:29" x14ac:dyDescent="0.2">
      <c r="A67" s="282">
        <v>4037</v>
      </c>
      <c r="B67" s="282">
        <v>11160</v>
      </c>
      <c r="C67" s="282" t="s">
        <v>3410</v>
      </c>
      <c r="D67" s="282" t="str">
        <f>IF(Table28[[#This Row],[% Leakage Reduction (Calculated)]]&gt;0.4, "Greater than 40% Air Reduction", "Less than 40% Air Reduction")</f>
        <v>Less than 40% Air Reduction</v>
      </c>
      <c r="E67" s="282" t="s">
        <v>4831</v>
      </c>
      <c r="F67" s="282" t="s">
        <v>4832</v>
      </c>
      <c r="G67" s="282" t="s">
        <v>4833</v>
      </c>
      <c r="H67" s="282" t="s">
        <v>4838</v>
      </c>
      <c r="I67" s="282">
        <v>3770</v>
      </c>
      <c r="J67" s="282" t="s">
        <v>4852</v>
      </c>
      <c r="K67" s="282">
        <v>2947</v>
      </c>
      <c r="L67" s="282" t="s">
        <v>4853</v>
      </c>
      <c r="M67" s="283">
        <f t="shared" si="0"/>
        <v>0.21830238726790452</v>
      </c>
      <c r="N67" s="282">
        <v>900</v>
      </c>
      <c r="O67" s="282"/>
      <c r="P67" s="282">
        <v>1949</v>
      </c>
      <c r="Q67" s="282">
        <f>2023-Table28[[#This Row],[year_built]]</f>
        <v>74</v>
      </c>
      <c r="R67" s="282">
        <v>177.69</v>
      </c>
      <c r="S67" s="282" t="s">
        <v>4974</v>
      </c>
      <c r="T67" s="282" t="s">
        <v>4969</v>
      </c>
      <c r="U67" s="282">
        <v>2020</v>
      </c>
      <c r="V67" s="284">
        <f t="shared" si="1"/>
        <v>0.19743333333333332</v>
      </c>
      <c r="W67" s="292">
        <f>Table28[[#This Row],[$/sqft]]/INDEX(CPI!$A$3:$C$31,MATCH(Table28[[#This Row],[start_year]],CPI!$A$3:$A$31,0),3)</f>
        <v>0.23199179546625451</v>
      </c>
      <c r="X67" s="282" t="s">
        <v>1241</v>
      </c>
      <c r="Y67" s="282"/>
      <c r="Z67" s="282" t="s">
        <v>4840</v>
      </c>
      <c r="AA67" s="282">
        <v>21.830238730000001</v>
      </c>
      <c r="AB67" s="55" t="s">
        <v>72</v>
      </c>
      <c r="AC67" t="s">
        <v>71</v>
      </c>
    </row>
    <row r="68" spans="1:29" x14ac:dyDescent="0.2">
      <c r="A68" s="282">
        <v>1245</v>
      </c>
      <c r="B68" s="282">
        <v>3186</v>
      </c>
      <c r="C68" s="282" t="s">
        <v>3410</v>
      </c>
      <c r="D68" s="282" t="str">
        <f>IF(Table28[[#This Row],[% Leakage Reduction (Calculated)]]&gt;0.4, "Greater than 40% Air Reduction", "Less than 40% Air Reduction")</f>
        <v>Less than 40% Air Reduction</v>
      </c>
      <c r="E68" s="282" t="s">
        <v>4831</v>
      </c>
      <c r="F68" s="282" t="s">
        <v>4832</v>
      </c>
      <c r="G68" s="282" t="s">
        <v>4833</v>
      </c>
      <c r="H68" s="282" t="s">
        <v>4838</v>
      </c>
      <c r="I68" s="282">
        <v>11</v>
      </c>
      <c r="J68" s="282" t="s">
        <v>4834</v>
      </c>
      <c r="K68" s="282">
        <v>8.7799999999999994</v>
      </c>
      <c r="L68" s="282" t="s">
        <v>4835</v>
      </c>
      <c r="M68" s="283">
        <f t="shared" ref="M68:M131" si="2">ABS((I68-K68)/I68)</f>
        <v>0.20181818181818187</v>
      </c>
      <c r="N68" s="282">
        <v>1135</v>
      </c>
      <c r="O68" s="282">
        <v>1</v>
      </c>
      <c r="P68" s="282">
        <v>1964</v>
      </c>
      <c r="Q68" s="282">
        <f>2023-Table28[[#This Row],[year_built]]</f>
        <v>59</v>
      </c>
      <c r="R68" s="282">
        <v>200</v>
      </c>
      <c r="S68" s="282" t="s">
        <v>4846</v>
      </c>
      <c r="T68" s="282" t="s">
        <v>4837</v>
      </c>
      <c r="U68" s="282">
        <v>2011</v>
      </c>
      <c r="V68" s="284">
        <f t="shared" ref="V68:V131" si="3">IFERROR(IF(R68/N68&lt;&gt;0, R68/N68, ""), "")</f>
        <v>0.1762114537444934</v>
      </c>
      <c r="W68" s="292">
        <f>Table28[[#This Row],[$/sqft]]/INDEX(CPI!$A$3:$C$31,MATCH(Table28[[#This Row],[start_year]],CPI!$A$3:$A$31,0),3)</f>
        <v>0.2382241544761044</v>
      </c>
      <c r="X68" s="282" t="s">
        <v>56</v>
      </c>
      <c r="Y68" s="282" t="s">
        <v>4839</v>
      </c>
      <c r="Z68" s="282" t="s">
        <v>4840</v>
      </c>
      <c r="AA68" s="282">
        <v>20.18181818</v>
      </c>
      <c r="AB68" s="55" t="s">
        <v>72</v>
      </c>
      <c r="AC68" t="s">
        <v>71</v>
      </c>
    </row>
    <row r="69" spans="1:29" x14ac:dyDescent="0.2">
      <c r="A69" s="282">
        <v>5186</v>
      </c>
      <c r="B69" s="282">
        <v>13126</v>
      </c>
      <c r="C69" s="282" t="s">
        <v>3410</v>
      </c>
      <c r="D69" s="282" t="str">
        <f>IF(Table28[[#This Row],[% Leakage Reduction (Calculated)]]&gt;0.4, "Greater than 40% Air Reduction", "Less than 40% Air Reduction")</f>
        <v>Less than 40% Air Reduction</v>
      </c>
      <c r="E69" s="282" t="s">
        <v>4831</v>
      </c>
      <c r="F69" s="282" t="s">
        <v>4832</v>
      </c>
      <c r="G69" s="282" t="s">
        <v>4833</v>
      </c>
      <c r="H69" s="282" t="s">
        <v>4972</v>
      </c>
      <c r="I69" s="282">
        <v>4419</v>
      </c>
      <c r="J69" s="282" t="s">
        <v>4852</v>
      </c>
      <c r="K69" s="282">
        <v>4000</v>
      </c>
      <c r="L69" s="282" t="s">
        <v>4853</v>
      </c>
      <c r="M69" s="283">
        <f t="shared" si="2"/>
        <v>9.4817832088707851E-2</v>
      </c>
      <c r="N69" s="282">
        <v>2291</v>
      </c>
      <c r="O69" s="282"/>
      <c r="P69" s="282">
        <v>2002</v>
      </c>
      <c r="Q69" s="282">
        <f>2023-Table28[[#This Row],[year_built]]</f>
        <v>21</v>
      </c>
      <c r="R69" s="282">
        <v>460.32</v>
      </c>
      <c r="S69" s="282" t="s">
        <v>4986</v>
      </c>
      <c r="T69" s="282" t="s">
        <v>4979</v>
      </c>
      <c r="U69" s="282">
        <v>2019</v>
      </c>
      <c r="V69" s="284">
        <f t="shared" si="3"/>
        <v>0.20092536010475776</v>
      </c>
      <c r="W69" s="292">
        <f>Table28[[#This Row],[$/sqft]]/INDEX(CPI!$A$3:$C$31,MATCH(Table28[[#This Row],[start_year]],CPI!$A$3:$A$31,0),3)</f>
        <v>0.23895737977261181</v>
      </c>
      <c r="X69" s="282" t="s">
        <v>1241</v>
      </c>
      <c r="Y69" s="282"/>
      <c r="Z69" s="282" t="s">
        <v>4840</v>
      </c>
      <c r="AA69" s="282">
        <v>9.4817832089999996</v>
      </c>
      <c r="AB69" s="55" t="s">
        <v>72</v>
      </c>
      <c r="AC69" t="s">
        <v>71</v>
      </c>
    </row>
    <row r="70" spans="1:29" x14ac:dyDescent="0.2">
      <c r="A70" s="282">
        <v>5058</v>
      </c>
      <c r="B70" s="282">
        <v>12358</v>
      </c>
      <c r="C70" s="282" t="s">
        <v>3410</v>
      </c>
      <c r="D70" s="282" t="str">
        <f>IF(Table28[[#This Row],[% Leakage Reduction (Calculated)]]&gt;0.4, "Greater than 40% Air Reduction", "Less than 40% Air Reduction")</f>
        <v>Less than 40% Air Reduction</v>
      </c>
      <c r="E70" s="282" t="s">
        <v>4831</v>
      </c>
      <c r="F70" s="282" t="s">
        <v>4832</v>
      </c>
      <c r="G70" s="282" t="s">
        <v>4833</v>
      </c>
      <c r="H70" s="282" t="s">
        <v>4972</v>
      </c>
      <c r="I70" s="282">
        <v>2641</v>
      </c>
      <c r="J70" s="282" t="s">
        <v>4852</v>
      </c>
      <c r="K70" s="282">
        <v>1968</v>
      </c>
      <c r="L70" s="282" t="s">
        <v>4853</v>
      </c>
      <c r="M70" s="283">
        <f t="shared" si="2"/>
        <v>0.25482771677394928</v>
      </c>
      <c r="N70" s="282">
        <v>2000</v>
      </c>
      <c r="O70" s="282"/>
      <c r="P70" s="282">
        <v>1998</v>
      </c>
      <c r="Q70" s="282">
        <f>2023-Table28[[#This Row],[year_built]]</f>
        <v>25</v>
      </c>
      <c r="R70" s="282">
        <v>405</v>
      </c>
      <c r="S70" s="282" t="s">
        <v>4981</v>
      </c>
      <c r="T70" s="282" t="s">
        <v>4979</v>
      </c>
      <c r="U70" s="282">
        <v>2019</v>
      </c>
      <c r="V70" s="284">
        <f t="shared" si="3"/>
        <v>0.20250000000000001</v>
      </c>
      <c r="W70" s="292">
        <f>Table28[[#This Row],[$/sqft]]/INDEX(CPI!$A$3:$C$31,MATCH(Table28[[#This Row],[start_year]],CPI!$A$3:$A$31,0),3)</f>
        <v>0.24083007430582717</v>
      </c>
      <c r="X70" s="282" t="s">
        <v>4844</v>
      </c>
      <c r="Y70" s="282"/>
      <c r="Z70" s="282" t="s">
        <v>4840</v>
      </c>
      <c r="AA70" s="282">
        <v>25.482771679999999</v>
      </c>
      <c r="AB70" s="55" t="s">
        <v>72</v>
      </c>
      <c r="AC70" t="s">
        <v>71</v>
      </c>
    </row>
    <row r="71" spans="1:29" x14ac:dyDescent="0.2">
      <c r="A71" s="282">
        <v>3091</v>
      </c>
      <c r="B71" s="282">
        <v>9405</v>
      </c>
      <c r="C71" s="282" t="s">
        <v>3410</v>
      </c>
      <c r="D71" s="282" t="str">
        <f>IF(Table28[[#This Row],[% Leakage Reduction (Calculated)]]&gt;0.4, "Greater than 40% Air Reduction", "Less than 40% Air Reduction")</f>
        <v>Less than 40% Air Reduction</v>
      </c>
      <c r="E71" s="282" t="s">
        <v>4831</v>
      </c>
      <c r="F71" s="282" t="s">
        <v>4832</v>
      </c>
      <c r="G71" s="282" t="s">
        <v>4833</v>
      </c>
      <c r="H71" s="282" t="s">
        <v>4838</v>
      </c>
      <c r="I71" s="282">
        <v>11.56</v>
      </c>
      <c r="J71" s="282" t="s">
        <v>4834</v>
      </c>
      <c r="K71" s="282">
        <v>9.0399999999999991</v>
      </c>
      <c r="L71" s="282" t="s">
        <v>4835</v>
      </c>
      <c r="M71" s="283">
        <f t="shared" si="2"/>
        <v>0.21799307958477521</v>
      </c>
      <c r="N71" s="282">
        <v>1962</v>
      </c>
      <c r="O71" s="282">
        <v>1.32</v>
      </c>
      <c r="P71" s="282">
        <v>1915</v>
      </c>
      <c r="Q71" s="282">
        <f>2023-Table28[[#This Row],[year_built]]</f>
        <v>108</v>
      </c>
      <c r="R71" s="282">
        <v>400</v>
      </c>
      <c r="S71" s="282" t="s">
        <v>4946</v>
      </c>
      <c r="T71" s="282" t="s">
        <v>4906</v>
      </c>
      <c r="U71" s="282">
        <v>2019</v>
      </c>
      <c r="V71" s="284">
        <f t="shared" si="3"/>
        <v>0.2038735983690112</v>
      </c>
      <c r="W71" s="292">
        <f>Table28[[#This Row],[$/sqft]]/INDEX(CPI!$A$3:$C$31,MATCH(Table28[[#This Row],[start_year]],CPI!$A$3:$A$31,0),3)</f>
        <v>0.24246367330471769</v>
      </c>
      <c r="X71" s="282"/>
      <c r="Y71" s="282" t="s">
        <v>4872</v>
      </c>
      <c r="Z71" s="282" t="s">
        <v>4840</v>
      </c>
      <c r="AA71" s="282">
        <v>21.79930796</v>
      </c>
      <c r="AB71" s="55" t="s">
        <v>72</v>
      </c>
      <c r="AC71" t="s">
        <v>71</v>
      </c>
    </row>
    <row r="72" spans="1:29" x14ac:dyDescent="0.2">
      <c r="A72" s="282">
        <v>5166</v>
      </c>
      <c r="B72" s="282">
        <v>13012</v>
      </c>
      <c r="C72" s="282" t="s">
        <v>3410</v>
      </c>
      <c r="D72" s="282" t="str">
        <f>IF(Table28[[#This Row],[% Leakage Reduction (Calculated)]]&gt;0.4, "Greater than 40% Air Reduction", "Less than 40% Air Reduction")</f>
        <v>Less than 40% Air Reduction</v>
      </c>
      <c r="E72" s="282" t="s">
        <v>4831</v>
      </c>
      <c r="F72" s="282" t="s">
        <v>4832</v>
      </c>
      <c r="G72" s="282" t="s">
        <v>4833</v>
      </c>
      <c r="H72" s="282" t="s">
        <v>4838</v>
      </c>
      <c r="I72" s="282">
        <v>5448</v>
      </c>
      <c r="J72" s="282" t="s">
        <v>4852</v>
      </c>
      <c r="K72" s="282">
        <v>3383</v>
      </c>
      <c r="L72" s="282" t="s">
        <v>4853</v>
      </c>
      <c r="M72" s="283">
        <f t="shared" si="2"/>
        <v>0.37903817914831128</v>
      </c>
      <c r="N72" s="282">
        <v>1980</v>
      </c>
      <c r="O72" s="282"/>
      <c r="P72" s="282">
        <v>1969</v>
      </c>
      <c r="Q72" s="282">
        <f>2023-Table28[[#This Row],[year_built]]</f>
        <v>54</v>
      </c>
      <c r="R72" s="282">
        <v>388.4</v>
      </c>
      <c r="S72" s="282" t="s">
        <v>5000</v>
      </c>
      <c r="T72" s="282" t="s">
        <v>4979</v>
      </c>
      <c r="U72" s="282">
        <v>2017</v>
      </c>
      <c r="V72" s="284">
        <f t="shared" si="3"/>
        <v>0.19616161616161615</v>
      </c>
      <c r="W72" s="292">
        <f>Table28[[#This Row],[$/sqft]]/INDEX(CPI!$A$3:$C$31,MATCH(Table28[[#This Row],[start_year]],CPI!$A$3:$A$31,0),3)</f>
        <v>0.24338126264686852</v>
      </c>
      <c r="X72" s="282" t="s">
        <v>4844</v>
      </c>
      <c r="Y72" s="282"/>
      <c r="Z72" s="282" t="s">
        <v>4840</v>
      </c>
      <c r="AA72" s="282">
        <v>37.903817910000001</v>
      </c>
      <c r="AB72" s="55" t="s">
        <v>72</v>
      </c>
      <c r="AC72" t="s">
        <v>71</v>
      </c>
    </row>
    <row r="73" spans="1:29" x14ac:dyDescent="0.2">
      <c r="A73" s="282">
        <v>3025</v>
      </c>
      <c r="B73" s="282">
        <v>9123</v>
      </c>
      <c r="C73" s="282" t="s">
        <v>3410</v>
      </c>
      <c r="D73" s="282" t="str">
        <f>IF(Table28[[#This Row],[% Leakage Reduction (Calculated)]]&gt;0.4, "Greater than 40% Air Reduction", "Less than 40% Air Reduction")</f>
        <v>Less than 40% Air Reduction</v>
      </c>
      <c r="E73" s="282" t="s">
        <v>4831</v>
      </c>
      <c r="F73" s="282" t="s">
        <v>4832</v>
      </c>
      <c r="G73" s="282" t="s">
        <v>4833</v>
      </c>
      <c r="H73" s="282" t="s">
        <v>4838</v>
      </c>
      <c r="I73" s="282">
        <v>13.54</v>
      </c>
      <c r="J73" s="282" t="s">
        <v>4834</v>
      </c>
      <c r="K73" s="282">
        <v>11.52</v>
      </c>
      <c r="L73" s="282" t="s">
        <v>4835</v>
      </c>
      <c r="M73" s="283">
        <f t="shared" si="2"/>
        <v>0.14918759231905462</v>
      </c>
      <c r="N73" s="282">
        <v>2476</v>
      </c>
      <c r="O73" s="282">
        <v>1.56</v>
      </c>
      <c r="P73" s="282">
        <v>1986</v>
      </c>
      <c r="Q73" s="282">
        <f>2023-Table28[[#This Row],[year_built]]</f>
        <v>37</v>
      </c>
      <c r="R73" s="282">
        <v>498</v>
      </c>
      <c r="S73" s="282" t="s">
        <v>4922</v>
      </c>
      <c r="T73" s="282" t="s">
        <v>4906</v>
      </c>
      <c r="U73" s="282">
        <v>2018</v>
      </c>
      <c r="V73" s="284">
        <f t="shared" si="3"/>
        <v>0.20113085621970922</v>
      </c>
      <c r="W73" s="292">
        <f>Table28[[#This Row],[$/sqft]]/INDEX(CPI!$A$3:$C$31,MATCH(Table28[[#This Row],[start_year]],CPI!$A$3:$A$31,0),3)</f>
        <v>0.24358380476468969</v>
      </c>
      <c r="X73" s="282"/>
      <c r="Y73" s="282" t="s">
        <v>4872</v>
      </c>
      <c r="Z73" s="282" t="s">
        <v>4840</v>
      </c>
      <c r="AA73" s="282">
        <v>14.918759229999999</v>
      </c>
      <c r="AB73" s="55" t="s">
        <v>72</v>
      </c>
      <c r="AC73" t="s">
        <v>71</v>
      </c>
    </row>
    <row r="74" spans="1:29" x14ac:dyDescent="0.2">
      <c r="A74" s="282">
        <v>4038</v>
      </c>
      <c r="B74" s="282">
        <v>11165</v>
      </c>
      <c r="C74" s="282" t="s">
        <v>3410</v>
      </c>
      <c r="D74" s="282" t="str">
        <f>IF(Table28[[#This Row],[% Leakage Reduction (Calculated)]]&gt;0.4, "Greater than 40% Air Reduction", "Less than 40% Air Reduction")</f>
        <v>Less than 40% Air Reduction</v>
      </c>
      <c r="E74" s="282" t="s">
        <v>4831</v>
      </c>
      <c r="F74" s="282" t="s">
        <v>4832</v>
      </c>
      <c r="G74" s="282" t="s">
        <v>4833</v>
      </c>
      <c r="H74" s="282" t="s">
        <v>4972</v>
      </c>
      <c r="I74" s="282">
        <v>2559</v>
      </c>
      <c r="J74" s="282" t="s">
        <v>4852</v>
      </c>
      <c r="K74" s="282">
        <v>2122</v>
      </c>
      <c r="L74" s="282" t="s">
        <v>4853</v>
      </c>
      <c r="M74" s="283">
        <f t="shared" si="2"/>
        <v>0.17076983196561157</v>
      </c>
      <c r="N74" s="282">
        <v>1318</v>
      </c>
      <c r="O74" s="282"/>
      <c r="P74" s="282">
        <v>1995</v>
      </c>
      <c r="Q74" s="282">
        <f>2023-Table28[[#This Row],[year_built]]</f>
        <v>28</v>
      </c>
      <c r="R74" s="282">
        <v>270.01</v>
      </c>
      <c r="S74" s="282" t="s">
        <v>4968</v>
      </c>
      <c r="T74" s="282" t="s">
        <v>4969</v>
      </c>
      <c r="U74" s="282">
        <v>2019</v>
      </c>
      <c r="V74" s="284">
        <f t="shared" si="3"/>
        <v>0.20486342943854324</v>
      </c>
      <c r="W74" s="292">
        <f>Table28[[#This Row],[$/sqft]]/INDEX(CPI!$A$3:$C$31,MATCH(Table28[[#This Row],[start_year]],CPI!$A$3:$A$31,0),3)</f>
        <v>0.24364086387274542</v>
      </c>
      <c r="X74" s="282" t="s">
        <v>1241</v>
      </c>
      <c r="Y74" s="282"/>
      <c r="Z74" s="282" t="s">
        <v>4840</v>
      </c>
      <c r="AA74" s="282">
        <v>17.076983200000001</v>
      </c>
      <c r="AB74" s="55" t="s">
        <v>72</v>
      </c>
      <c r="AC74" t="s">
        <v>71</v>
      </c>
    </row>
    <row r="75" spans="1:29" x14ac:dyDescent="0.2">
      <c r="A75" s="282">
        <v>3136</v>
      </c>
      <c r="B75" s="282">
        <v>9575</v>
      </c>
      <c r="C75" s="282" t="s">
        <v>3410</v>
      </c>
      <c r="D75" s="282" t="str">
        <f>IF(Table28[[#This Row],[% Leakage Reduction (Calculated)]]&gt;0.4, "Greater than 40% Air Reduction", "Less than 40% Air Reduction")</f>
        <v>Greater than 40% Air Reduction</v>
      </c>
      <c r="E75" s="282" t="s">
        <v>4831</v>
      </c>
      <c r="F75" s="282" t="s">
        <v>4832</v>
      </c>
      <c r="G75" s="282" t="s">
        <v>4833</v>
      </c>
      <c r="H75" s="282" t="s">
        <v>4838</v>
      </c>
      <c r="I75" s="282">
        <v>9.56</v>
      </c>
      <c r="J75" s="282" t="s">
        <v>4834</v>
      </c>
      <c r="K75" s="282">
        <v>5.12</v>
      </c>
      <c r="L75" s="282" t="s">
        <v>4835</v>
      </c>
      <c r="M75" s="283">
        <f t="shared" si="2"/>
        <v>0.46443514644351463</v>
      </c>
      <c r="N75" s="282">
        <v>2429</v>
      </c>
      <c r="O75" s="282">
        <v>1.5</v>
      </c>
      <c r="P75" s="282">
        <v>1950</v>
      </c>
      <c r="Q75" s="282">
        <f>2023-Table28[[#This Row],[year_built]]</f>
        <v>73</v>
      </c>
      <c r="R75" s="282">
        <v>500</v>
      </c>
      <c r="S75" s="282" t="s">
        <v>4940</v>
      </c>
      <c r="T75" s="282" t="s">
        <v>4906</v>
      </c>
      <c r="U75" s="282">
        <v>2019</v>
      </c>
      <c r="V75" s="284">
        <f t="shared" si="3"/>
        <v>0.20584602717167558</v>
      </c>
      <c r="W75" s="292">
        <f>Table28[[#This Row],[$/sqft]]/INDEX(CPI!$A$3:$C$31,MATCH(Table28[[#This Row],[start_year]],CPI!$A$3:$A$31,0),3)</f>
        <v>0.24480945194722936</v>
      </c>
      <c r="X75" s="282"/>
      <c r="Y75" s="282" t="s">
        <v>217</v>
      </c>
      <c r="Z75" s="282" t="s">
        <v>4840</v>
      </c>
      <c r="AA75" s="282">
        <v>46.443514639999997</v>
      </c>
      <c r="AB75" s="55" t="s">
        <v>72</v>
      </c>
      <c r="AC75" t="s">
        <v>71</v>
      </c>
    </row>
    <row r="76" spans="1:29" x14ac:dyDescent="0.2">
      <c r="A76" s="282">
        <v>3160</v>
      </c>
      <c r="B76" s="282">
        <v>9653</v>
      </c>
      <c r="C76" s="282" t="s">
        <v>3410</v>
      </c>
      <c r="D76" s="282" t="str">
        <f>IF(Table28[[#This Row],[% Leakage Reduction (Calculated)]]&gt;0.4, "Greater than 40% Air Reduction", "Less than 40% Air Reduction")</f>
        <v>Less than 40% Air Reduction</v>
      </c>
      <c r="E76" s="282" t="s">
        <v>4831</v>
      </c>
      <c r="F76" s="282" t="s">
        <v>4832</v>
      </c>
      <c r="G76" s="282" t="s">
        <v>4833</v>
      </c>
      <c r="H76" s="282" t="s">
        <v>4838</v>
      </c>
      <c r="I76" s="282">
        <v>12.39</v>
      </c>
      <c r="J76" s="282" t="s">
        <v>4834</v>
      </c>
      <c r="K76" s="282">
        <v>10.3</v>
      </c>
      <c r="L76" s="282" t="s">
        <v>4835</v>
      </c>
      <c r="M76" s="283">
        <f t="shared" si="2"/>
        <v>0.16868442292171104</v>
      </c>
      <c r="N76" s="282">
        <v>2412</v>
      </c>
      <c r="O76" s="282">
        <v>1.5</v>
      </c>
      <c r="P76" s="282">
        <v>1940</v>
      </c>
      <c r="Q76" s="282">
        <f>2023-Table28[[#This Row],[year_built]]</f>
        <v>83</v>
      </c>
      <c r="R76" s="282">
        <v>500</v>
      </c>
      <c r="S76" s="282" t="s">
        <v>4909</v>
      </c>
      <c r="T76" s="282" t="s">
        <v>4906</v>
      </c>
      <c r="U76" s="282">
        <v>2019</v>
      </c>
      <c r="V76" s="284">
        <f t="shared" si="3"/>
        <v>0.20729684908789386</v>
      </c>
      <c r="W76" s="292">
        <f>Table28[[#This Row],[$/sqft]]/INDEX(CPI!$A$3:$C$31,MATCH(Table28[[#This Row],[start_year]],CPI!$A$3:$A$31,0),3)</f>
        <v>0.24653489169975959</v>
      </c>
      <c r="X76" s="282"/>
      <c r="Y76" s="282" t="s">
        <v>217</v>
      </c>
      <c r="Z76" s="282" t="s">
        <v>4840</v>
      </c>
      <c r="AA76" s="282">
        <v>16.868442290000001</v>
      </c>
      <c r="AB76" s="55" t="s">
        <v>72</v>
      </c>
      <c r="AC76" t="s">
        <v>71</v>
      </c>
    </row>
    <row r="77" spans="1:29" x14ac:dyDescent="0.2">
      <c r="A77" s="282">
        <v>5191</v>
      </c>
      <c r="B77" s="282">
        <v>13157</v>
      </c>
      <c r="C77" s="282" t="s">
        <v>3410</v>
      </c>
      <c r="D77" s="282" t="str">
        <f>IF(Table28[[#This Row],[% Leakage Reduction (Calculated)]]&gt;0.4, "Greater than 40% Air Reduction", "Less than 40% Air Reduction")</f>
        <v>Less than 40% Air Reduction</v>
      </c>
      <c r="E77" s="282" t="s">
        <v>4831</v>
      </c>
      <c r="F77" s="282" t="s">
        <v>4832</v>
      </c>
      <c r="G77" s="282" t="s">
        <v>4833</v>
      </c>
      <c r="H77" s="282" t="s">
        <v>4972</v>
      </c>
      <c r="I77" s="282">
        <v>2319</v>
      </c>
      <c r="J77" s="282" t="s">
        <v>4852</v>
      </c>
      <c r="K77" s="282">
        <v>1782</v>
      </c>
      <c r="L77" s="282" t="s">
        <v>4853</v>
      </c>
      <c r="M77" s="283">
        <f t="shared" si="2"/>
        <v>0.23156532988357051</v>
      </c>
      <c r="N77" s="282">
        <v>1950</v>
      </c>
      <c r="O77" s="282"/>
      <c r="P77" s="282">
        <v>2001</v>
      </c>
      <c r="Q77" s="282">
        <f>2023-Table28[[#This Row],[year_built]]</f>
        <v>22</v>
      </c>
      <c r="R77" s="282">
        <v>392.5</v>
      </c>
      <c r="S77" s="282" t="s">
        <v>4900</v>
      </c>
      <c r="T77" s="282" t="s">
        <v>4979</v>
      </c>
      <c r="U77" s="282">
        <v>2017</v>
      </c>
      <c r="V77" s="284">
        <f t="shared" si="3"/>
        <v>0.20128205128205129</v>
      </c>
      <c r="W77" s="292">
        <f>Table28[[#This Row],[$/sqft]]/INDEX(CPI!$A$3:$C$31,MATCH(Table28[[#This Row],[start_year]],CPI!$A$3:$A$31,0),3)</f>
        <v>0.24973427904884457</v>
      </c>
      <c r="X77" s="282" t="s">
        <v>4844</v>
      </c>
      <c r="Y77" s="282"/>
      <c r="Z77" s="282" t="s">
        <v>4840</v>
      </c>
      <c r="AA77" s="282">
        <v>23.156532989999999</v>
      </c>
      <c r="AB77" s="55" t="s">
        <v>72</v>
      </c>
      <c r="AC77" t="s">
        <v>71</v>
      </c>
    </row>
    <row r="78" spans="1:29" x14ac:dyDescent="0.2">
      <c r="A78" s="282">
        <v>2666</v>
      </c>
      <c r="B78" s="282">
        <v>7787</v>
      </c>
      <c r="C78" s="282" t="s">
        <v>3410</v>
      </c>
      <c r="D78" s="282" t="str">
        <f>IF(Table28[[#This Row],[% Leakage Reduction (Calculated)]]&gt;0.4, "Greater than 40% Air Reduction", "Less than 40% Air Reduction")</f>
        <v>Less than 40% Air Reduction</v>
      </c>
      <c r="E78" s="282" t="s">
        <v>4831</v>
      </c>
      <c r="F78" s="282" t="s">
        <v>4832</v>
      </c>
      <c r="G78" s="282" t="s">
        <v>4833</v>
      </c>
      <c r="H78" s="282"/>
      <c r="I78" s="282">
        <v>734</v>
      </c>
      <c r="J78" s="282" t="s">
        <v>4853</v>
      </c>
      <c r="K78" s="282">
        <v>756</v>
      </c>
      <c r="L78" s="282" t="s">
        <v>4852</v>
      </c>
      <c r="M78" s="283">
        <f t="shared" si="2"/>
        <v>2.9972752043596729E-2</v>
      </c>
      <c r="N78" s="282">
        <v>842</v>
      </c>
      <c r="O78" s="282">
        <v>1</v>
      </c>
      <c r="P78" s="282">
        <v>1975</v>
      </c>
      <c r="Q78" s="282">
        <f>2023-Table28[[#This Row],[year_built]]</f>
        <v>48</v>
      </c>
      <c r="R78" s="282">
        <v>4614</v>
      </c>
      <c r="S78" s="282" t="s">
        <v>4904</v>
      </c>
      <c r="T78" s="282" t="s">
        <v>4857</v>
      </c>
      <c r="U78" s="282">
        <v>2020</v>
      </c>
      <c r="V78" s="284">
        <f t="shared" si="3"/>
        <v>5.4798099762470311</v>
      </c>
      <c r="W78" s="292">
        <f>Table28[[#This Row],[$/sqft]]/INDEX(CPI!$A$3:$C$31,MATCH(Table28[[#This Row],[start_year]],CPI!$A$3:$A$31,0),3)</f>
        <v>6.4389884612701787</v>
      </c>
      <c r="X78" s="282"/>
      <c r="Y78" s="282"/>
      <c r="Z78" s="282" t="s">
        <v>4840</v>
      </c>
      <c r="AA78" s="282">
        <v>2.9100529100000001</v>
      </c>
      <c r="AB78" s="55" t="s">
        <v>71</v>
      </c>
      <c r="AC78" t="s">
        <v>72</v>
      </c>
    </row>
    <row r="79" spans="1:29" x14ac:dyDescent="0.2">
      <c r="A79" s="282">
        <v>5168</v>
      </c>
      <c r="B79" s="282">
        <v>13025</v>
      </c>
      <c r="C79" s="282" t="s">
        <v>3410</v>
      </c>
      <c r="D79" s="282" t="str">
        <f>IF(Table28[[#This Row],[% Leakage Reduction (Calculated)]]&gt;0.4, "Greater than 40% Air Reduction", "Less than 40% Air Reduction")</f>
        <v>Less than 40% Air Reduction</v>
      </c>
      <c r="E79" s="282" t="s">
        <v>4831</v>
      </c>
      <c r="F79" s="282" t="s">
        <v>4832</v>
      </c>
      <c r="G79" s="282" t="s">
        <v>4833</v>
      </c>
      <c r="H79" s="282" t="s">
        <v>4972</v>
      </c>
      <c r="I79" s="282">
        <v>2463</v>
      </c>
      <c r="J79" s="282" t="s">
        <v>4852</v>
      </c>
      <c r="K79" s="282">
        <v>2250</v>
      </c>
      <c r="L79" s="282" t="s">
        <v>4853</v>
      </c>
      <c r="M79" s="283">
        <f t="shared" si="2"/>
        <v>8.6479902557856272E-2</v>
      </c>
      <c r="N79" s="282">
        <v>1800</v>
      </c>
      <c r="O79" s="282"/>
      <c r="P79" s="282">
        <v>1996</v>
      </c>
      <c r="Q79" s="282">
        <f>2023-Table28[[#This Row],[year_built]]</f>
        <v>27</v>
      </c>
      <c r="R79" s="282">
        <v>378.6</v>
      </c>
      <c r="S79" s="282" t="s">
        <v>4999</v>
      </c>
      <c r="T79" s="282" t="s">
        <v>4979</v>
      </c>
      <c r="U79" s="282">
        <v>2019</v>
      </c>
      <c r="V79" s="284">
        <f t="shared" si="3"/>
        <v>0.21033333333333334</v>
      </c>
      <c r="W79" s="292">
        <f>Table28[[#This Row],[$/sqft]]/INDEX(CPI!$A$3:$C$31,MATCH(Table28[[#This Row],[start_year]],CPI!$A$3:$A$31,0),3)</f>
        <v>0.25014613479337766</v>
      </c>
      <c r="X79" s="282" t="s">
        <v>4844</v>
      </c>
      <c r="Y79" s="282"/>
      <c r="Z79" s="282" t="s">
        <v>4840</v>
      </c>
      <c r="AA79" s="282">
        <v>8.6479902559999999</v>
      </c>
      <c r="AB79" s="55" t="s">
        <v>72</v>
      </c>
      <c r="AC79" t="s">
        <v>71</v>
      </c>
    </row>
    <row r="80" spans="1:29" x14ac:dyDescent="0.2">
      <c r="A80" s="282">
        <v>5066</v>
      </c>
      <c r="B80" s="282">
        <v>12405</v>
      </c>
      <c r="C80" s="282" t="s">
        <v>3410</v>
      </c>
      <c r="D80" s="282" t="str">
        <f>IF(Table28[[#This Row],[% Leakage Reduction (Calculated)]]&gt;0.4, "Greater than 40% Air Reduction", "Less than 40% Air Reduction")</f>
        <v>Greater than 40% Air Reduction</v>
      </c>
      <c r="E80" s="282" t="s">
        <v>4831</v>
      </c>
      <c r="F80" s="282" t="s">
        <v>4832</v>
      </c>
      <c r="G80" s="282" t="s">
        <v>4833</v>
      </c>
      <c r="H80" s="282" t="s">
        <v>4972</v>
      </c>
      <c r="I80" s="282">
        <v>3028</v>
      </c>
      <c r="J80" s="282" t="s">
        <v>4852</v>
      </c>
      <c r="K80" s="282">
        <v>1461</v>
      </c>
      <c r="L80" s="282" t="s">
        <v>4853</v>
      </c>
      <c r="M80" s="283">
        <f t="shared" si="2"/>
        <v>0.5175033025099075</v>
      </c>
      <c r="N80" s="282">
        <v>2100</v>
      </c>
      <c r="O80" s="282"/>
      <c r="P80" s="282">
        <v>2007</v>
      </c>
      <c r="Q80" s="282">
        <f>2023-Table28[[#This Row],[year_built]]</f>
        <v>16</v>
      </c>
      <c r="R80" s="282">
        <v>441.95</v>
      </c>
      <c r="S80" s="282" t="s">
        <v>4981</v>
      </c>
      <c r="T80" s="282" t="s">
        <v>4979</v>
      </c>
      <c r="U80" s="282">
        <v>2019</v>
      </c>
      <c r="V80" s="284">
        <f t="shared" si="3"/>
        <v>0.21045238095238095</v>
      </c>
      <c r="W80" s="292">
        <f>Table28[[#This Row],[$/sqft]]/INDEX(CPI!$A$3:$C$31,MATCH(Table28[[#This Row],[start_year]],CPI!$A$3:$A$31,0),3)</f>
        <v>0.25028771625975382</v>
      </c>
      <c r="X80" s="282" t="s">
        <v>4844</v>
      </c>
      <c r="Y80" s="282"/>
      <c r="Z80" s="282" t="s">
        <v>4840</v>
      </c>
      <c r="AA80" s="282">
        <v>51.750330249999998</v>
      </c>
      <c r="AB80" s="55" t="s">
        <v>72</v>
      </c>
      <c r="AC80" t="s">
        <v>71</v>
      </c>
    </row>
    <row r="81" spans="1:29" x14ac:dyDescent="0.2">
      <c r="A81" s="282">
        <v>5099</v>
      </c>
      <c r="B81" s="282">
        <v>12594</v>
      </c>
      <c r="C81" s="282" t="s">
        <v>3410</v>
      </c>
      <c r="D81" s="282" t="str">
        <f>IF(Table28[[#This Row],[% Leakage Reduction (Calculated)]]&gt;0.4, "Greater than 40% Air Reduction", "Less than 40% Air Reduction")</f>
        <v>Less than 40% Air Reduction</v>
      </c>
      <c r="E81" s="282" t="s">
        <v>4831</v>
      </c>
      <c r="F81" s="282" t="s">
        <v>4832</v>
      </c>
      <c r="G81" s="282" t="s">
        <v>4833</v>
      </c>
      <c r="H81" s="282" t="s">
        <v>4972</v>
      </c>
      <c r="I81" s="282">
        <v>2140</v>
      </c>
      <c r="J81" s="282" t="s">
        <v>4852</v>
      </c>
      <c r="K81" s="282">
        <v>1758</v>
      </c>
      <c r="L81" s="282" t="s">
        <v>4853</v>
      </c>
      <c r="M81" s="283">
        <f t="shared" si="2"/>
        <v>0.17850467289719626</v>
      </c>
      <c r="N81" s="282">
        <v>2052</v>
      </c>
      <c r="O81" s="282"/>
      <c r="P81" s="282">
        <v>2002</v>
      </c>
      <c r="Q81" s="282">
        <f>2023-Table28[[#This Row],[year_built]]</f>
        <v>21</v>
      </c>
      <c r="R81" s="282">
        <v>433.81</v>
      </c>
      <c r="S81" s="282" t="s">
        <v>4981</v>
      </c>
      <c r="T81" s="282" t="s">
        <v>4979</v>
      </c>
      <c r="U81" s="282">
        <v>2019</v>
      </c>
      <c r="V81" s="284">
        <f t="shared" si="3"/>
        <v>0.2114083820662768</v>
      </c>
      <c r="W81" s="292">
        <f>Table28[[#This Row],[$/sqft]]/INDEX(CPI!$A$3:$C$31,MATCH(Table28[[#This Row],[start_year]],CPI!$A$3:$A$31,0),3)</f>
        <v>0.25142467339207969</v>
      </c>
      <c r="X81" s="282" t="s">
        <v>1241</v>
      </c>
      <c r="Y81" s="282"/>
      <c r="Z81" s="282" t="s">
        <v>4840</v>
      </c>
      <c r="AA81" s="282">
        <v>17.850467290000001</v>
      </c>
      <c r="AB81" s="55" t="s">
        <v>72</v>
      </c>
      <c r="AC81" t="s">
        <v>71</v>
      </c>
    </row>
    <row r="82" spans="1:29" x14ac:dyDescent="0.2">
      <c r="A82" s="282">
        <v>5063</v>
      </c>
      <c r="B82" s="282">
        <v>12390</v>
      </c>
      <c r="C82" s="282" t="s">
        <v>3410</v>
      </c>
      <c r="D82" s="282" t="str">
        <f>IF(Table28[[#This Row],[% Leakage Reduction (Calculated)]]&gt;0.4, "Greater than 40% Air Reduction", "Less than 40% Air Reduction")</f>
        <v>Less than 40% Air Reduction</v>
      </c>
      <c r="E82" s="282" t="s">
        <v>4831</v>
      </c>
      <c r="F82" s="282" t="s">
        <v>4832</v>
      </c>
      <c r="G82" s="282" t="s">
        <v>4833</v>
      </c>
      <c r="H82" s="282" t="s">
        <v>4972</v>
      </c>
      <c r="I82" s="282">
        <v>3315</v>
      </c>
      <c r="J82" s="282" t="s">
        <v>4852</v>
      </c>
      <c r="K82" s="282">
        <v>2842</v>
      </c>
      <c r="L82" s="282" t="s">
        <v>4853</v>
      </c>
      <c r="M82" s="283">
        <f t="shared" si="2"/>
        <v>0.14268476621417797</v>
      </c>
      <c r="N82" s="282">
        <v>2000</v>
      </c>
      <c r="O82" s="282"/>
      <c r="P82" s="282">
        <v>2001</v>
      </c>
      <c r="Q82" s="282">
        <f>2023-Table28[[#This Row],[year_built]]</f>
        <v>22</v>
      </c>
      <c r="R82" s="282">
        <v>425</v>
      </c>
      <c r="S82" s="282" t="s">
        <v>4980</v>
      </c>
      <c r="T82" s="282" t="s">
        <v>4979</v>
      </c>
      <c r="U82" s="282">
        <v>2019</v>
      </c>
      <c r="V82" s="284">
        <f t="shared" si="3"/>
        <v>0.21249999999999999</v>
      </c>
      <c r="W82" s="292">
        <f>Table28[[#This Row],[$/sqft]]/INDEX(CPI!$A$3:$C$31,MATCH(Table28[[#This Row],[start_year]],CPI!$A$3:$A$31,0),3)</f>
        <v>0.25272291748142356</v>
      </c>
      <c r="X82" s="282" t="s">
        <v>4844</v>
      </c>
      <c r="Y82" s="282"/>
      <c r="Z82" s="282" t="s">
        <v>4840</v>
      </c>
      <c r="AA82" s="282">
        <v>14.268476619999999</v>
      </c>
      <c r="AB82" s="55" t="s">
        <v>72</v>
      </c>
      <c r="AC82" t="s">
        <v>71</v>
      </c>
    </row>
    <row r="83" spans="1:29" x14ac:dyDescent="0.2">
      <c r="A83" s="282">
        <v>5068</v>
      </c>
      <c r="B83" s="282">
        <v>12415</v>
      </c>
      <c r="C83" s="282" t="s">
        <v>3410</v>
      </c>
      <c r="D83" s="282" t="str">
        <f>IF(Table28[[#This Row],[% Leakage Reduction (Calculated)]]&gt;0.4, "Greater than 40% Air Reduction", "Less than 40% Air Reduction")</f>
        <v>Less than 40% Air Reduction</v>
      </c>
      <c r="E83" s="282" t="s">
        <v>4831</v>
      </c>
      <c r="F83" s="282" t="s">
        <v>4832</v>
      </c>
      <c r="G83" s="282" t="s">
        <v>4833</v>
      </c>
      <c r="H83" s="282" t="s">
        <v>4972</v>
      </c>
      <c r="I83" s="282">
        <v>3519</v>
      </c>
      <c r="J83" s="282" t="s">
        <v>4852</v>
      </c>
      <c r="K83" s="282">
        <v>3176</v>
      </c>
      <c r="L83" s="282" t="s">
        <v>4853</v>
      </c>
      <c r="M83" s="283">
        <f t="shared" si="2"/>
        <v>9.7470872406933792E-2</v>
      </c>
      <c r="N83" s="282">
        <v>1904</v>
      </c>
      <c r="O83" s="282"/>
      <c r="P83" s="282">
        <v>1996</v>
      </c>
      <c r="Q83" s="282">
        <f>2023-Table28[[#This Row],[year_built]]</f>
        <v>27</v>
      </c>
      <c r="R83" s="282">
        <v>408.83</v>
      </c>
      <c r="S83" s="282" t="s">
        <v>4982</v>
      </c>
      <c r="T83" s="282" t="s">
        <v>4979</v>
      </c>
      <c r="U83" s="282">
        <v>2019</v>
      </c>
      <c r="V83" s="284">
        <f t="shared" si="3"/>
        <v>0.21472163865546218</v>
      </c>
      <c r="W83" s="292">
        <f>Table28[[#This Row],[$/sqft]]/INDEX(CPI!$A$3:$C$31,MATCH(Table28[[#This Row],[start_year]],CPI!$A$3:$A$31,0),3)</f>
        <v>0.25536507749364901</v>
      </c>
      <c r="X83" s="282" t="s">
        <v>1241</v>
      </c>
      <c r="Y83" s="282"/>
      <c r="Z83" s="282" t="s">
        <v>4840</v>
      </c>
      <c r="AA83" s="282">
        <v>9.7470872409999991</v>
      </c>
      <c r="AB83" s="55" t="s">
        <v>72</v>
      </c>
      <c r="AC83" t="s">
        <v>71</v>
      </c>
    </row>
    <row r="84" spans="1:29" x14ac:dyDescent="0.2">
      <c r="A84" s="282">
        <v>5173</v>
      </c>
      <c r="B84" s="282">
        <v>13055</v>
      </c>
      <c r="C84" s="282" t="s">
        <v>3410</v>
      </c>
      <c r="D84" s="282" t="str">
        <f>IF(Table28[[#This Row],[% Leakage Reduction (Calculated)]]&gt;0.4, "Greater than 40% Air Reduction", "Less than 40% Air Reduction")</f>
        <v>Less than 40% Air Reduction</v>
      </c>
      <c r="E84" s="282" t="s">
        <v>4831</v>
      </c>
      <c r="F84" s="282" t="s">
        <v>4832</v>
      </c>
      <c r="G84" s="282" t="s">
        <v>4833</v>
      </c>
      <c r="H84" s="282" t="s">
        <v>4972</v>
      </c>
      <c r="I84" s="282">
        <v>2286</v>
      </c>
      <c r="J84" s="282" t="s">
        <v>4852</v>
      </c>
      <c r="K84" s="282">
        <v>2017</v>
      </c>
      <c r="L84" s="282" t="s">
        <v>4853</v>
      </c>
      <c r="M84" s="283">
        <f t="shared" si="2"/>
        <v>0.11767279090113736</v>
      </c>
      <c r="N84" s="282">
        <v>2437</v>
      </c>
      <c r="O84" s="282"/>
      <c r="P84" s="282">
        <v>2002</v>
      </c>
      <c r="Q84" s="282">
        <f>2023-Table28[[#This Row],[year_built]]</f>
        <v>21</v>
      </c>
      <c r="R84" s="282">
        <v>514.25</v>
      </c>
      <c r="S84" s="282" t="s">
        <v>4997</v>
      </c>
      <c r="T84" s="282" t="s">
        <v>4979</v>
      </c>
      <c r="U84" s="282">
        <v>2018</v>
      </c>
      <c r="V84" s="284">
        <f t="shared" si="3"/>
        <v>0.2110176446450554</v>
      </c>
      <c r="W84" s="292">
        <f>Table28[[#This Row],[$/sqft]]/INDEX(CPI!$A$3:$C$31,MATCH(Table28[[#This Row],[start_year]],CPI!$A$3:$A$31,0),3)</f>
        <v>0.25555741034074614</v>
      </c>
      <c r="X84" s="282" t="s">
        <v>1241</v>
      </c>
      <c r="Y84" s="282"/>
      <c r="Z84" s="282" t="s">
        <v>4840</v>
      </c>
      <c r="AA84" s="282">
        <v>11.767279090000001</v>
      </c>
      <c r="AB84" s="55" t="s">
        <v>72</v>
      </c>
      <c r="AC84" t="s">
        <v>71</v>
      </c>
    </row>
    <row r="85" spans="1:29" x14ac:dyDescent="0.2">
      <c r="A85" s="282">
        <v>1298</v>
      </c>
      <c r="B85" s="282">
        <v>3805</v>
      </c>
      <c r="C85" s="282" t="s">
        <v>3410</v>
      </c>
      <c r="D85" s="282" t="str">
        <f>IF(Table28[[#This Row],[% Leakage Reduction (Calculated)]]&gt;0.4, "Greater than 40% Air Reduction", "Less than 40% Air Reduction")</f>
        <v>Less than 40% Air Reduction</v>
      </c>
      <c r="E85" s="282" t="s">
        <v>4831</v>
      </c>
      <c r="F85" s="282" t="s">
        <v>4832</v>
      </c>
      <c r="G85" s="282" t="s">
        <v>4833</v>
      </c>
      <c r="H85" s="282" t="s">
        <v>4838</v>
      </c>
      <c r="I85" s="282">
        <v>8000</v>
      </c>
      <c r="J85" s="282" t="s">
        <v>4852</v>
      </c>
      <c r="K85" s="282">
        <v>5150</v>
      </c>
      <c r="L85" s="282" t="s">
        <v>4853</v>
      </c>
      <c r="M85" s="283">
        <f t="shared" si="2"/>
        <v>0.35625000000000001</v>
      </c>
      <c r="N85" s="282">
        <v>1982</v>
      </c>
      <c r="O85" s="282">
        <v>2</v>
      </c>
      <c r="P85" s="282">
        <v>1850</v>
      </c>
      <c r="Q85" s="282">
        <f>2023-Table28[[#This Row],[year_built]]</f>
        <v>173</v>
      </c>
      <c r="R85" s="282">
        <v>400</v>
      </c>
      <c r="S85" s="282" t="s">
        <v>4873</v>
      </c>
      <c r="T85" s="282" t="s">
        <v>4859</v>
      </c>
      <c r="U85" s="282">
        <v>2016</v>
      </c>
      <c r="V85" s="284">
        <f t="shared" si="3"/>
        <v>0.20181634712411706</v>
      </c>
      <c r="W85" s="292">
        <f>Table28[[#This Row],[$/sqft]]/INDEX(CPI!$A$3:$C$31,MATCH(Table28[[#This Row],[start_year]],CPI!$A$3:$A$31,0),3)</f>
        <v>0.25571067160726146</v>
      </c>
      <c r="X85" s="282" t="s">
        <v>4844</v>
      </c>
      <c r="Y85" s="282" t="s">
        <v>217</v>
      </c>
      <c r="Z85" s="282" t="s">
        <v>4861</v>
      </c>
      <c r="AA85" s="282">
        <v>35.625</v>
      </c>
      <c r="AB85" s="55" t="s">
        <v>72</v>
      </c>
      <c r="AC85" t="s">
        <v>72</v>
      </c>
    </row>
    <row r="86" spans="1:29" x14ac:dyDescent="0.2">
      <c r="A86" s="282">
        <v>5096</v>
      </c>
      <c r="B86" s="282">
        <v>12579</v>
      </c>
      <c r="C86" s="282" t="s">
        <v>3410</v>
      </c>
      <c r="D86" s="282" t="str">
        <f>IF(Table28[[#This Row],[% Leakage Reduction (Calculated)]]&gt;0.4, "Greater than 40% Air Reduction", "Less than 40% Air Reduction")</f>
        <v>Less than 40% Air Reduction</v>
      </c>
      <c r="E86" s="282" t="s">
        <v>4831</v>
      </c>
      <c r="F86" s="282" t="s">
        <v>4832</v>
      </c>
      <c r="G86" s="282" t="s">
        <v>4833</v>
      </c>
      <c r="H86" s="282" t="s">
        <v>4972</v>
      </c>
      <c r="I86" s="282">
        <v>2048</v>
      </c>
      <c r="J86" s="282" t="s">
        <v>4852</v>
      </c>
      <c r="K86" s="282">
        <v>1696</v>
      </c>
      <c r="L86" s="282" t="s">
        <v>4853</v>
      </c>
      <c r="M86" s="283">
        <f t="shared" si="2"/>
        <v>0.171875</v>
      </c>
      <c r="N86" s="282">
        <v>1600</v>
      </c>
      <c r="O86" s="282"/>
      <c r="P86" s="282">
        <v>1997</v>
      </c>
      <c r="Q86" s="282">
        <f>2023-Table28[[#This Row],[year_built]]</f>
        <v>26</v>
      </c>
      <c r="R86" s="282">
        <v>344.7</v>
      </c>
      <c r="S86" s="282" t="s">
        <v>4981</v>
      </c>
      <c r="T86" s="282" t="s">
        <v>4979</v>
      </c>
      <c r="U86" s="282">
        <v>2019</v>
      </c>
      <c r="V86" s="284">
        <f t="shared" si="3"/>
        <v>0.2154375</v>
      </c>
      <c r="W86" s="292">
        <f>Table28[[#This Row],[$/sqft]]/INDEX(CPI!$A$3:$C$31,MATCH(Table28[[#This Row],[start_year]],CPI!$A$3:$A$31,0),3)</f>
        <v>0.25621644016425499</v>
      </c>
      <c r="X86" s="282" t="s">
        <v>1241</v>
      </c>
      <c r="Y86" s="282"/>
      <c r="Z86" s="282" t="s">
        <v>4840</v>
      </c>
      <c r="AA86" s="282">
        <v>17.1875</v>
      </c>
      <c r="AB86" s="55" t="s">
        <v>72</v>
      </c>
      <c r="AC86" t="s">
        <v>71</v>
      </c>
    </row>
    <row r="87" spans="1:29" x14ac:dyDescent="0.2">
      <c r="A87" s="282">
        <v>5132</v>
      </c>
      <c r="B87" s="282">
        <v>12799</v>
      </c>
      <c r="C87" s="282" t="s">
        <v>3410</v>
      </c>
      <c r="D87" s="282" t="str">
        <f>IF(Table28[[#This Row],[% Leakage Reduction (Calculated)]]&gt;0.4, "Greater than 40% Air Reduction", "Less than 40% Air Reduction")</f>
        <v>Less than 40% Air Reduction</v>
      </c>
      <c r="E87" s="282" t="s">
        <v>4831</v>
      </c>
      <c r="F87" s="282" t="s">
        <v>4832</v>
      </c>
      <c r="G87" s="282" t="s">
        <v>4833</v>
      </c>
      <c r="H87" s="282" t="s">
        <v>4972</v>
      </c>
      <c r="I87" s="282">
        <v>4143</v>
      </c>
      <c r="J87" s="282" t="s">
        <v>4852</v>
      </c>
      <c r="K87" s="282">
        <v>3085</v>
      </c>
      <c r="L87" s="282" t="s">
        <v>4853</v>
      </c>
      <c r="M87" s="283">
        <f t="shared" si="2"/>
        <v>0.25537050446536325</v>
      </c>
      <c r="N87" s="282">
        <v>1620</v>
      </c>
      <c r="O87" s="282"/>
      <c r="P87" s="282">
        <v>1991</v>
      </c>
      <c r="Q87" s="282">
        <f>2023-Table28[[#This Row],[year_built]]</f>
        <v>32</v>
      </c>
      <c r="R87" s="282">
        <v>357.94</v>
      </c>
      <c r="S87" s="282" t="s">
        <v>4988</v>
      </c>
      <c r="T87" s="282" t="s">
        <v>4979</v>
      </c>
      <c r="U87" s="282">
        <v>2019</v>
      </c>
      <c r="V87" s="284">
        <f t="shared" si="3"/>
        <v>0.22095061728395063</v>
      </c>
      <c r="W87" s="292">
        <f>Table28[[#This Row],[$/sqft]]/INDEX(CPI!$A$3:$C$31,MATCH(Table28[[#This Row],[start_year]],CPI!$A$3:$A$31,0),3)</f>
        <v>0.26277310409092447</v>
      </c>
      <c r="X87" s="282" t="s">
        <v>4844</v>
      </c>
      <c r="Y87" s="282"/>
      <c r="Z87" s="282" t="s">
        <v>4840</v>
      </c>
      <c r="AA87" s="282">
        <v>25.537050449999999</v>
      </c>
      <c r="AB87" s="55" t="s">
        <v>72</v>
      </c>
      <c r="AC87" t="s">
        <v>71</v>
      </c>
    </row>
    <row r="88" spans="1:29" x14ac:dyDescent="0.2">
      <c r="A88" s="282">
        <v>5034</v>
      </c>
      <c r="B88" s="282">
        <v>12211</v>
      </c>
      <c r="C88" s="282" t="s">
        <v>3410</v>
      </c>
      <c r="D88" s="282" t="str">
        <f>IF(Table28[[#This Row],[% Leakage Reduction (Calculated)]]&gt;0.4, "Greater than 40% Air Reduction", "Less than 40% Air Reduction")</f>
        <v>Less than 40% Air Reduction</v>
      </c>
      <c r="E88" s="282" t="s">
        <v>4831</v>
      </c>
      <c r="F88" s="282" t="s">
        <v>4832</v>
      </c>
      <c r="G88" s="282" t="s">
        <v>4833</v>
      </c>
      <c r="H88" s="282" t="s">
        <v>4972</v>
      </c>
      <c r="I88" s="282">
        <v>2311</v>
      </c>
      <c r="J88" s="282" t="s">
        <v>4852</v>
      </c>
      <c r="K88" s="282">
        <v>1919</v>
      </c>
      <c r="L88" s="282" t="s">
        <v>4853</v>
      </c>
      <c r="M88" s="283">
        <f t="shared" si="2"/>
        <v>0.16962353959324969</v>
      </c>
      <c r="N88" s="282">
        <v>1600</v>
      </c>
      <c r="O88" s="282"/>
      <c r="P88" s="282">
        <v>2002</v>
      </c>
      <c r="Q88" s="282">
        <f>2023-Table28[[#This Row],[year_built]]</f>
        <v>21</v>
      </c>
      <c r="R88" s="282">
        <v>349.7</v>
      </c>
      <c r="S88" s="282" t="s">
        <v>4982</v>
      </c>
      <c r="T88" s="282" t="s">
        <v>4979</v>
      </c>
      <c r="U88" s="282">
        <v>2018</v>
      </c>
      <c r="V88" s="284">
        <f t="shared" si="3"/>
        <v>0.21856249999999999</v>
      </c>
      <c r="W88" s="292">
        <f>Table28[[#This Row],[$/sqft]]/INDEX(CPI!$A$3:$C$31,MATCH(Table28[[#This Row],[start_year]],CPI!$A$3:$A$31,0),3)</f>
        <v>0.2646947680207089</v>
      </c>
      <c r="X88" s="282" t="s">
        <v>4844</v>
      </c>
      <c r="Y88" s="282"/>
      <c r="Z88" s="282" t="s">
        <v>4840</v>
      </c>
      <c r="AA88" s="282">
        <v>16.962353960000002</v>
      </c>
      <c r="AB88" s="55" t="s">
        <v>72</v>
      </c>
      <c r="AC88" t="s">
        <v>71</v>
      </c>
    </row>
    <row r="89" spans="1:29" x14ac:dyDescent="0.2">
      <c r="A89" s="282">
        <v>4025</v>
      </c>
      <c r="B89" s="282">
        <v>11103</v>
      </c>
      <c r="C89" s="282" t="s">
        <v>3410</v>
      </c>
      <c r="D89" s="282" t="str">
        <f>IF(Table28[[#This Row],[% Leakage Reduction (Calculated)]]&gt;0.4, "Greater than 40% Air Reduction", "Less than 40% Air Reduction")</f>
        <v>Less than 40% Air Reduction</v>
      </c>
      <c r="E89" s="282" t="s">
        <v>4831</v>
      </c>
      <c r="F89" s="282" t="s">
        <v>4832</v>
      </c>
      <c r="G89" s="282" t="s">
        <v>4833</v>
      </c>
      <c r="H89" s="282" t="s">
        <v>4838</v>
      </c>
      <c r="I89" s="282">
        <v>2201</v>
      </c>
      <c r="J89" s="282" t="s">
        <v>4852</v>
      </c>
      <c r="K89" s="282">
        <v>1875</v>
      </c>
      <c r="L89" s="282" t="s">
        <v>4853</v>
      </c>
      <c r="M89" s="283">
        <f t="shared" si="2"/>
        <v>0.14811449341208541</v>
      </c>
      <c r="N89" s="282">
        <v>1377</v>
      </c>
      <c r="O89" s="282"/>
      <c r="P89" s="282">
        <v>2005</v>
      </c>
      <c r="Q89" s="282">
        <f>2023-Table28[[#This Row],[year_built]]</f>
        <v>18</v>
      </c>
      <c r="R89" s="282">
        <v>313.49</v>
      </c>
      <c r="S89" s="282" t="s">
        <v>4975</v>
      </c>
      <c r="T89" s="282" t="s">
        <v>4969</v>
      </c>
      <c r="U89" s="282">
        <v>2019</v>
      </c>
      <c r="V89" s="284">
        <f t="shared" si="3"/>
        <v>0.22766158315177923</v>
      </c>
      <c r="W89" s="292">
        <f>Table28[[#This Row],[$/sqft]]/INDEX(CPI!$A$3:$C$31,MATCH(Table28[[#This Row],[start_year]],CPI!$A$3:$A$31,0),3)</f>
        <v>0.27075435055321107</v>
      </c>
      <c r="X89" s="282" t="s">
        <v>4844</v>
      </c>
      <c r="Y89" s="282"/>
      <c r="Z89" s="282" t="s">
        <v>4840</v>
      </c>
      <c r="AA89" s="282">
        <v>14.811449339999999</v>
      </c>
      <c r="AB89" s="55" t="s">
        <v>72</v>
      </c>
      <c r="AC89" t="s">
        <v>71</v>
      </c>
    </row>
    <row r="90" spans="1:29" x14ac:dyDescent="0.2">
      <c r="A90" s="282">
        <v>1251</v>
      </c>
      <c r="B90" s="282">
        <v>3253</v>
      </c>
      <c r="C90" s="282" t="s">
        <v>3410</v>
      </c>
      <c r="D90" s="282" t="str">
        <f>IF(Table28[[#This Row],[% Leakage Reduction (Calculated)]]&gt;0.4, "Greater than 40% Air Reduction", "Less than 40% Air Reduction")</f>
        <v>Less than 40% Air Reduction</v>
      </c>
      <c r="E90" s="282" t="s">
        <v>4831</v>
      </c>
      <c r="F90" s="282" t="s">
        <v>4832</v>
      </c>
      <c r="G90" s="282" t="s">
        <v>4833</v>
      </c>
      <c r="H90" s="282" t="s">
        <v>4838</v>
      </c>
      <c r="I90" s="282">
        <v>11</v>
      </c>
      <c r="J90" s="282" t="s">
        <v>4834</v>
      </c>
      <c r="K90" s="282">
        <v>7.32</v>
      </c>
      <c r="L90" s="282" t="s">
        <v>4835</v>
      </c>
      <c r="M90" s="283">
        <f t="shared" si="2"/>
        <v>0.33454545454545453</v>
      </c>
      <c r="N90" s="282">
        <v>1532</v>
      </c>
      <c r="O90" s="282">
        <v>1</v>
      </c>
      <c r="P90" s="282">
        <v>1984</v>
      </c>
      <c r="Q90" s="282">
        <f>2023-Table28[[#This Row],[year_built]]</f>
        <v>39</v>
      </c>
      <c r="R90" s="282">
        <v>300</v>
      </c>
      <c r="S90" s="282" t="s">
        <v>4847</v>
      </c>
      <c r="T90" s="282" t="s">
        <v>4837</v>
      </c>
      <c r="U90" s="282">
        <v>2010</v>
      </c>
      <c r="V90" s="284">
        <f t="shared" si="3"/>
        <v>0.195822454308094</v>
      </c>
      <c r="W90" s="292">
        <f>Table28[[#This Row],[$/sqft]]/INDEX(CPI!$A$3:$C$31,MATCH(Table28[[#This Row],[start_year]],CPI!$A$3:$A$31,0),3)</f>
        <v>0.27309318869965232</v>
      </c>
      <c r="X90" s="282" t="s">
        <v>4844</v>
      </c>
      <c r="Y90" s="282" t="s">
        <v>4839</v>
      </c>
      <c r="Z90" s="282" t="s">
        <v>4840</v>
      </c>
      <c r="AA90" s="282">
        <v>33.454545449999998</v>
      </c>
      <c r="AB90" s="55" t="s">
        <v>72</v>
      </c>
      <c r="AC90" t="s">
        <v>71</v>
      </c>
    </row>
    <row r="91" spans="1:29" x14ac:dyDescent="0.2">
      <c r="A91" s="282">
        <v>3060</v>
      </c>
      <c r="B91" s="282">
        <v>9268</v>
      </c>
      <c r="C91" s="282" t="s">
        <v>3410</v>
      </c>
      <c r="D91" s="282" t="str">
        <f>IF(Table28[[#This Row],[% Leakage Reduction (Calculated)]]&gt;0.4, "Greater than 40% Air Reduction", "Less than 40% Air Reduction")</f>
        <v>Less than 40% Air Reduction</v>
      </c>
      <c r="E91" s="282" t="s">
        <v>4831</v>
      </c>
      <c r="F91" s="282" t="s">
        <v>4832</v>
      </c>
      <c r="G91" s="282" t="s">
        <v>4833</v>
      </c>
      <c r="H91" s="282" t="s">
        <v>4838</v>
      </c>
      <c r="I91" s="282">
        <v>14.25</v>
      </c>
      <c r="J91" s="282" t="s">
        <v>4834</v>
      </c>
      <c r="K91" s="282">
        <v>11.56</v>
      </c>
      <c r="L91" s="282" t="s">
        <v>4835</v>
      </c>
      <c r="M91" s="283">
        <f t="shared" si="2"/>
        <v>0.18877192982456137</v>
      </c>
      <c r="N91" s="282">
        <v>2106</v>
      </c>
      <c r="O91" s="282">
        <v>2</v>
      </c>
      <c r="P91" s="282">
        <v>1897</v>
      </c>
      <c r="Q91" s="282">
        <f>2023-Table28[[#This Row],[year_built]]</f>
        <v>126</v>
      </c>
      <c r="R91" s="282">
        <v>500</v>
      </c>
      <c r="S91" s="282" t="s">
        <v>4928</v>
      </c>
      <c r="T91" s="282" t="s">
        <v>4906</v>
      </c>
      <c r="U91" s="282">
        <v>2019</v>
      </c>
      <c r="V91" s="284">
        <f t="shared" si="3"/>
        <v>0.23741690408357075</v>
      </c>
      <c r="W91" s="292">
        <f>Table28[[#This Row],[$/sqft]]/INDEX(CPI!$A$3:$C$31,MATCH(Table28[[#This Row],[start_year]],CPI!$A$3:$A$31,0),3)</f>
        <v>0.282356200750152</v>
      </c>
      <c r="X91" s="282"/>
      <c r="Y91" s="282" t="s">
        <v>217</v>
      </c>
      <c r="Z91" s="282" t="s">
        <v>4907</v>
      </c>
      <c r="AA91" s="282">
        <v>18.87719298</v>
      </c>
      <c r="AB91" s="55" t="s">
        <v>72</v>
      </c>
      <c r="AC91" t="s">
        <v>71</v>
      </c>
    </row>
    <row r="92" spans="1:29" x14ac:dyDescent="0.2">
      <c r="A92" s="282">
        <v>3266</v>
      </c>
      <c r="B92" s="282">
        <v>9989</v>
      </c>
      <c r="C92" s="282" t="s">
        <v>3410</v>
      </c>
      <c r="D92" s="282" t="str">
        <f>IF(Table28[[#This Row],[% Leakage Reduction (Calculated)]]&gt;0.4, "Greater than 40% Air Reduction", "Less than 40% Air Reduction")</f>
        <v>Less than 40% Air Reduction</v>
      </c>
      <c r="E92" s="282" t="s">
        <v>4831</v>
      </c>
      <c r="F92" s="282" t="s">
        <v>4832</v>
      </c>
      <c r="G92" s="282" t="s">
        <v>4833</v>
      </c>
      <c r="H92" s="282" t="s">
        <v>4843</v>
      </c>
      <c r="I92" s="282">
        <v>9.5299999999999994</v>
      </c>
      <c r="J92" s="282" t="s">
        <v>4834</v>
      </c>
      <c r="K92" s="282">
        <v>8.01</v>
      </c>
      <c r="L92" s="282" t="s">
        <v>4835</v>
      </c>
      <c r="M92" s="283">
        <f t="shared" si="2"/>
        <v>0.15949632738719829</v>
      </c>
      <c r="N92" s="282">
        <v>2340</v>
      </c>
      <c r="O92" s="282">
        <v>2</v>
      </c>
      <c r="P92" s="282">
        <v>1977</v>
      </c>
      <c r="Q92" s="282">
        <f>2023-Table28[[#This Row],[year_built]]</f>
        <v>46</v>
      </c>
      <c r="R92" s="282">
        <v>560</v>
      </c>
      <c r="S92" s="282" t="s">
        <v>4942</v>
      </c>
      <c r="T92" s="282" t="s">
        <v>4906</v>
      </c>
      <c r="U92" s="282">
        <v>2019</v>
      </c>
      <c r="V92" s="284">
        <f t="shared" si="3"/>
        <v>0.23931623931623933</v>
      </c>
      <c r="W92" s="292">
        <f>Table28[[#This Row],[$/sqft]]/INDEX(CPI!$A$3:$C$31,MATCH(Table28[[#This Row],[start_year]],CPI!$A$3:$A$31,0),3)</f>
        <v>0.28461505035615325</v>
      </c>
      <c r="X92" s="282"/>
      <c r="Y92" s="282" t="s">
        <v>217</v>
      </c>
      <c r="Z92" s="282" t="s">
        <v>4907</v>
      </c>
      <c r="AA92" s="282">
        <v>15.94963274</v>
      </c>
      <c r="AB92" s="55" t="s">
        <v>72</v>
      </c>
      <c r="AC92" t="s">
        <v>71</v>
      </c>
    </row>
    <row r="93" spans="1:29" x14ac:dyDescent="0.2">
      <c r="A93" s="282">
        <v>5231</v>
      </c>
      <c r="B93" s="282">
        <v>13370</v>
      </c>
      <c r="C93" s="282" t="s">
        <v>3410</v>
      </c>
      <c r="D93" s="282" t="str">
        <f>IF(Table28[[#This Row],[% Leakage Reduction (Calculated)]]&gt;0.4, "Greater than 40% Air Reduction", "Less than 40% Air Reduction")</f>
        <v>Less than 40% Air Reduction</v>
      </c>
      <c r="E93" s="282" t="s">
        <v>4831</v>
      </c>
      <c r="F93" s="282" t="s">
        <v>4832</v>
      </c>
      <c r="G93" s="282" t="s">
        <v>4833</v>
      </c>
      <c r="H93" s="282" t="s">
        <v>4972</v>
      </c>
      <c r="I93" s="282">
        <v>2077</v>
      </c>
      <c r="J93" s="282" t="s">
        <v>4852</v>
      </c>
      <c r="K93" s="282">
        <v>1519</v>
      </c>
      <c r="L93" s="282" t="s">
        <v>4853</v>
      </c>
      <c r="M93" s="283">
        <f t="shared" si="2"/>
        <v>0.26865671641791045</v>
      </c>
      <c r="N93" s="282">
        <v>1196</v>
      </c>
      <c r="O93" s="282"/>
      <c r="P93" s="282">
        <v>1995</v>
      </c>
      <c r="Q93" s="282">
        <f>2023-Table28[[#This Row],[year_built]]</f>
        <v>28</v>
      </c>
      <c r="R93" s="282">
        <v>283.72000000000003</v>
      </c>
      <c r="S93" s="282" t="s">
        <v>4980</v>
      </c>
      <c r="T93" s="282" t="s">
        <v>4979</v>
      </c>
      <c r="U93" s="282">
        <v>2018</v>
      </c>
      <c r="V93" s="284">
        <f t="shared" si="3"/>
        <v>0.23722408026755856</v>
      </c>
      <c r="W93" s="292">
        <f>Table28[[#This Row],[$/sqft]]/INDEX(CPI!$A$3:$C$31,MATCH(Table28[[#This Row],[start_year]],CPI!$A$3:$A$31,0),3)</f>
        <v>0.28729527204048017</v>
      </c>
      <c r="X93" s="282" t="s">
        <v>4844</v>
      </c>
      <c r="Y93" s="282"/>
      <c r="Z93" s="282" t="s">
        <v>4840</v>
      </c>
      <c r="AA93" s="282">
        <v>26.865671639999999</v>
      </c>
      <c r="AB93" s="55" t="s">
        <v>72</v>
      </c>
      <c r="AC93" t="s">
        <v>71</v>
      </c>
    </row>
    <row r="94" spans="1:29" x14ac:dyDescent="0.2">
      <c r="A94" s="282">
        <v>4047</v>
      </c>
      <c r="B94" s="282">
        <v>11205</v>
      </c>
      <c r="C94" s="282" t="s">
        <v>3410</v>
      </c>
      <c r="D94" s="282" t="str">
        <f>IF(Table28[[#This Row],[% Leakage Reduction (Calculated)]]&gt;0.4, "Greater than 40% Air Reduction", "Less than 40% Air Reduction")</f>
        <v>Less than 40% Air Reduction</v>
      </c>
      <c r="E94" s="282" t="s">
        <v>4831</v>
      </c>
      <c r="F94" s="282" t="s">
        <v>4832</v>
      </c>
      <c r="G94" s="282" t="s">
        <v>4833</v>
      </c>
      <c r="H94" s="282" t="s">
        <v>4838</v>
      </c>
      <c r="I94" s="282">
        <v>3631</v>
      </c>
      <c r="J94" s="282" t="s">
        <v>4852</v>
      </c>
      <c r="K94" s="282">
        <v>3093</v>
      </c>
      <c r="L94" s="282" t="s">
        <v>4853</v>
      </c>
      <c r="M94" s="283">
        <f t="shared" si="2"/>
        <v>0.14816854860919856</v>
      </c>
      <c r="N94" s="282">
        <v>1275</v>
      </c>
      <c r="O94" s="282"/>
      <c r="P94" s="282">
        <v>1975</v>
      </c>
      <c r="Q94" s="282">
        <f>2023-Table28[[#This Row],[year_built]]</f>
        <v>48</v>
      </c>
      <c r="R94" s="282">
        <v>309.05</v>
      </c>
      <c r="S94" s="282" t="s">
        <v>4976</v>
      </c>
      <c r="T94" s="282" t="s">
        <v>4969</v>
      </c>
      <c r="U94" s="282">
        <v>2019</v>
      </c>
      <c r="V94" s="284">
        <f t="shared" si="3"/>
        <v>0.2423921568627451</v>
      </c>
      <c r="W94" s="292">
        <f>Table28[[#This Row],[$/sqft]]/INDEX(CPI!$A$3:$C$31,MATCH(Table28[[#This Row],[start_year]],CPI!$A$3:$A$31,0),3)</f>
        <v>0.28827319085631908</v>
      </c>
      <c r="X94" s="282" t="s">
        <v>4844</v>
      </c>
      <c r="Y94" s="282"/>
      <c r="Z94" s="282" t="s">
        <v>4840</v>
      </c>
      <c r="AA94" s="282">
        <v>14.816854859999999</v>
      </c>
      <c r="AB94" s="55" t="s">
        <v>72</v>
      </c>
      <c r="AC94" t="s">
        <v>71</v>
      </c>
    </row>
    <row r="95" spans="1:29" x14ac:dyDescent="0.2">
      <c r="A95" s="282">
        <v>3077</v>
      </c>
      <c r="B95" s="282">
        <v>9340</v>
      </c>
      <c r="C95" s="282" t="s">
        <v>3410</v>
      </c>
      <c r="D95" s="282" t="str">
        <f>IF(Table28[[#This Row],[% Leakage Reduction (Calculated)]]&gt;0.4, "Greater than 40% Air Reduction", "Less than 40% Air Reduction")</f>
        <v>Less than 40% Air Reduction</v>
      </c>
      <c r="E95" s="282" t="s">
        <v>4831</v>
      </c>
      <c r="F95" s="282" t="s">
        <v>4832</v>
      </c>
      <c r="G95" s="282" t="s">
        <v>4833</v>
      </c>
      <c r="H95" s="282" t="s">
        <v>4838</v>
      </c>
      <c r="I95" s="282">
        <v>8.58</v>
      </c>
      <c r="J95" s="282" t="s">
        <v>4834</v>
      </c>
      <c r="K95" s="282">
        <v>5.4</v>
      </c>
      <c r="L95" s="282" t="s">
        <v>4835</v>
      </c>
      <c r="M95" s="283">
        <f t="shared" si="2"/>
        <v>0.37062937062937057</v>
      </c>
      <c r="N95" s="282">
        <v>3064</v>
      </c>
      <c r="O95" s="282">
        <v>1.94</v>
      </c>
      <c r="P95" s="282">
        <v>1977</v>
      </c>
      <c r="Q95" s="282">
        <f>2023-Table28[[#This Row],[year_built]]</f>
        <v>46</v>
      </c>
      <c r="R95" s="282">
        <v>744</v>
      </c>
      <c r="S95" s="282" t="s">
        <v>4931</v>
      </c>
      <c r="T95" s="282" t="s">
        <v>4906</v>
      </c>
      <c r="U95" s="282">
        <v>2019</v>
      </c>
      <c r="V95" s="284">
        <f t="shared" si="3"/>
        <v>0.24281984334203655</v>
      </c>
      <c r="W95" s="292">
        <f>Table28[[#This Row],[$/sqft]]/INDEX(CPI!$A$3:$C$31,MATCH(Table28[[#This Row],[start_year]],CPI!$A$3:$A$31,0),3)</f>
        <v>0.2887818316789727</v>
      </c>
      <c r="X95" s="282"/>
      <c r="Y95" s="282" t="s">
        <v>217</v>
      </c>
      <c r="Z95" s="282" t="s">
        <v>4907</v>
      </c>
      <c r="AA95" s="282">
        <v>37.062937060000003</v>
      </c>
      <c r="AB95" s="55" t="s">
        <v>72</v>
      </c>
      <c r="AC95" t="s">
        <v>71</v>
      </c>
    </row>
    <row r="96" spans="1:29" x14ac:dyDescent="0.2">
      <c r="A96" s="282">
        <v>4034</v>
      </c>
      <c r="B96" s="282">
        <v>11144</v>
      </c>
      <c r="C96" s="282" t="s">
        <v>3410</v>
      </c>
      <c r="D96" s="282" t="str">
        <f>IF(Table28[[#This Row],[% Leakage Reduction (Calculated)]]&gt;0.4, "Greater than 40% Air Reduction", "Less than 40% Air Reduction")</f>
        <v>Less than 40% Air Reduction</v>
      </c>
      <c r="E96" s="282" t="s">
        <v>4831</v>
      </c>
      <c r="F96" s="282" t="s">
        <v>4832</v>
      </c>
      <c r="G96" s="282" t="s">
        <v>4833</v>
      </c>
      <c r="H96" s="282" t="s">
        <v>4838</v>
      </c>
      <c r="I96" s="282">
        <v>3830</v>
      </c>
      <c r="J96" s="282" t="s">
        <v>4852</v>
      </c>
      <c r="K96" s="282">
        <v>2934</v>
      </c>
      <c r="L96" s="282" t="s">
        <v>4853</v>
      </c>
      <c r="M96" s="283">
        <f t="shared" si="2"/>
        <v>0.23394255874673628</v>
      </c>
      <c r="N96" s="282">
        <v>1634</v>
      </c>
      <c r="O96" s="282"/>
      <c r="P96" s="282">
        <v>1950</v>
      </c>
      <c r="Q96" s="282">
        <f>2023-Table28[[#This Row],[year_built]]</f>
        <v>73</v>
      </c>
      <c r="R96" s="282">
        <v>397.05</v>
      </c>
      <c r="S96" s="282" t="s">
        <v>4971</v>
      </c>
      <c r="T96" s="282" t="s">
        <v>4969</v>
      </c>
      <c r="U96" s="282">
        <v>2019</v>
      </c>
      <c r="V96" s="284">
        <f t="shared" si="3"/>
        <v>0.24299265605875153</v>
      </c>
      <c r="W96" s="292">
        <f>Table28[[#This Row],[$/sqft]]/INDEX(CPI!$A$3:$C$31,MATCH(Table28[[#This Row],[start_year]],CPI!$A$3:$A$31,0),3)</f>
        <v>0.28898735513283669</v>
      </c>
      <c r="X96" s="282" t="s">
        <v>4844</v>
      </c>
      <c r="Y96" s="282"/>
      <c r="Z96" s="282" t="s">
        <v>4840</v>
      </c>
      <c r="AA96" s="282">
        <v>23.394255869999999</v>
      </c>
      <c r="AB96" s="55" t="s">
        <v>72</v>
      </c>
      <c r="AC96" t="s">
        <v>71</v>
      </c>
    </row>
    <row r="97" spans="1:29" x14ac:dyDescent="0.2">
      <c r="A97" s="282">
        <v>5018</v>
      </c>
      <c r="B97" s="282">
        <v>12105</v>
      </c>
      <c r="C97" s="282" t="s">
        <v>3410</v>
      </c>
      <c r="D97" s="282" t="str">
        <f>IF(Table28[[#This Row],[% Leakage Reduction (Calculated)]]&gt;0.4, "Greater than 40% Air Reduction", "Less than 40% Air Reduction")</f>
        <v>Less than 40% Air Reduction</v>
      </c>
      <c r="E97" s="282" t="s">
        <v>4831</v>
      </c>
      <c r="F97" s="282" t="s">
        <v>4832</v>
      </c>
      <c r="G97" s="282" t="s">
        <v>4833</v>
      </c>
      <c r="H97" s="282" t="s">
        <v>4838</v>
      </c>
      <c r="I97" s="282">
        <v>2116</v>
      </c>
      <c r="J97" s="282" t="s">
        <v>4852</v>
      </c>
      <c r="K97" s="282">
        <v>1874</v>
      </c>
      <c r="L97" s="282" t="s">
        <v>4853</v>
      </c>
      <c r="M97" s="283">
        <f t="shared" si="2"/>
        <v>0.11436672967863894</v>
      </c>
      <c r="N97" s="282">
        <v>2300</v>
      </c>
      <c r="O97" s="282"/>
      <c r="P97" s="282">
        <v>2007</v>
      </c>
      <c r="Q97" s="282">
        <f>2023-Table28[[#This Row],[year_built]]</f>
        <v>16</v>
      </c>
      <c r="R97" s="282">
        <v>570.30999999999995</v>
      </c>
      <c r="S97" s="282" t="s">
        <v>4982</v>
      </c>
      <c r="T97" s="282" t="s">
        <v>4979</v>
      </c>
      <c r="U97" s="282">
        <v>2020</v>
      </c>
      <c r="V97" s="284">
        <f t="shared" si="3"/>
        <v>0.24796086956521737</v>
      </c>
      <c r="W97" s="292">
        <f>Table28[[#This Row],[$/sqft]]/INDEX(CPI!$A$3:$C$31,MATCH(Table28[[#This Row],[start_year]],CPI!$A$3:$A$31,0),3)</f>
        <v>0.29136360291647068</v>
      </c>
      <c r="X97" s="282" t="s">
        <v>4844</v>
      </c>
      <c r="Y97" s="282"/>
      <c r="Z97" s="282" t="s">
        <v>4840</v>
      </c>
      <c r="AA97" s="282">
        <v>11.43667297</v>
      </c>
      <c r="AB97" s="55" t="s">
        <v>72</v>
      </c>
      <c r="AC97" t="s">
        <v>71</v>
      </c>
    </row>
    <row r="98" spans="1:29" x14ac:dyDescent="0.2">
      <c r="A98" s="282">
        <v>3016</v>
      </c>
      <c r="B98" s="282">
        <v>9083</v>
      </c>
      <c r="C98" s="282" t="s">
        <v>3410</v>
      </c>
      <c r="D98" s="282" t="str">
        <f>IF(Table28[[#This Row],[% Leakage Reduction (Calculated)]]&gt;0.4, "Greater than 40% Air Reduction", "Less than 40% Air Reduction")</f>
        <v>Greater than 40% Air Reduction</v>
      </c>
      <c r="E98" s="282" t="s">
        <v>4831</v>
      </c>
      <c r="F98" s="282" t="s">
        <v>4832</v>
      </c>
      <c r="G98" s="282" t="s">
        <v>4833</v>
      </c>
      <c r="H98" s="282" t="s">
        <v>4838</v>
      </c>
      <c r="I98" s="282">
        <v>21.66</v>
      </c>
      <c r="J98" s="282" t="s">
        <v>4834</v>
      </c>
      <c r="K98" s="282">
        <v>12.27</v>
      </c>
      <c r="L98" s="282" t="s">
        <v>4835</v>
      </c>
      <c r="M98" s="283">
        <f t="shared" si="2"/>
        <v>0.43351800554016623</v>
      </c>
      <c r="N98" s="282">
        <v>1768</v>
      </c>
      <c r="O98" s="282">
        <v>1.55</v>
      </c>
      <c r="P98" s="282">
        <v>1953</v>
      </c>
      <c r="Q98" s="282">
        <f>2023-Table28[[#This Row],[year_built]]</f>
        <v>70</v>
      </c>
      <c r="R98" s="282">
        <v>425.63</v>
      </c>
      <c r="S98" s="282" t="s">
        <v>4916</v>
      </c>
      <c r="T98" s="282" t="s">
        <v>4906</v>
      </c>
      <c r="U98" s="282">
        <v>2018</v>
      </c>
      <c r="V98" s="284">
        <f t="shared" si="3"/>
        <v>0.24074095022624434</v>
      </c>
      <c r="W98" s="292">
        <f>Table28[[#This Row],[$/sqft]]/INDEX(CPI!$A$3:$C$31,MATCH(Table28[[#This Row],[start_year]],CPI!$A$3:$A$31,0),3)</f>
        <v>0.29155445226523657</v>
      </c>
      <c r="X98" s="282"/>
      <c r="Y98" s="282" t="s">
        <v>4917</v>
      </c>
      <c r="Z98" s="282" t="s">
        <v>4840</v>
      </c>
      <c r="AA98" s="282">
        <v>43.35180055</v>
      </c>
      <c r="AB98" s="55" t="s">
        <v>72</v>
      </c>
      <c r="AC98" t="s">
        <v>71</v>
      </c>
    </row>
    <row r="99" spans="1:29" x14ac:dyDescent="0.2">
      <c r="A99" s="282">
        <v>3065</v>
      </c>
      <c r="B99" s="282">
        <v>9292</v>
      </c>
      <c r="C99" s="282" t="s">
        <v>3410</v>
      </c>
      <c r="D99" s="282" t="str">
        <f>IF(Table28[[#This Row],[% Leakage Reduction (Calculated)]]&gt;0.4, "Greater than 40% Air Reduction", "Less than 40% Air Reduction")</f>
        <v>Less than 40% Air Reduction</v>
      </c>
      <c r="E99" s="282" t="s">
        <v>4831</v>
      </c>
      <c r="F99" s="282" t="s">
        <v>4832</v>
      </c>
      <c r="G99" s="282" t="s">
        <v>4833</v>
      </c>
      <c r="H99" s="282" t="s">
        <v>4838</v>
      </c>
      <c r="I99" s="282">
        <v>8.7799999999999994</v>
      </c>
      <c r="J99" s="282" t="s">
        <v>4834</v>
      </c>
      <c r="K99" s="282">
        <v>6.22</v>
      </c>
      <c r="L99" s="282" t="s">
        <v>4835</v>
      </c>
      <c r="M99" s="283">
        <f t="shared" si="2"/>
        <v>0.29157175398633256</v>
      </c>
      <c r="N99" s="282">
        <v>2429</v>
      </c>
      <c r="O99" s="282">
        <v>1</v>
      </c>
      <c r="P99" s="282">
        <v>1965</v>
      </c>
      <c r="Q99" s="282">
        <f>2023-Table28[[#This Row],[year_built]]</f>
        <v>58</v>
      </c>
      <c r="R99" s="282">
        <v>600</v>
      </c>
      <c r="S99" s="282" t="s">
        <v>4911</v>
      </c>
      <c r="T99" s="282" t="s">
        <v>4906</v>
      </c>
      <c r="U99" s="282">
        <v>2019</v>
      </c>
      <c r="V99" s="284">
        <f t="shared" si="3"/>
        <v>0.24701523260601072</v>
      </c>
      <c r="W99" s="292">
        <f>Table28[[#This Row],[$/sqft]]/INDEX(CPI!$A$3:$C$31,MATCH(Table28[[#This Row],[start_year]],CPI!$A$3:$A$31,0),3)</f>
        <v>0.29377134233667523</v>
      </c>
      <c r="X99" s="282"/>
      <c r="Y99" s="282" t="s">
        <v>217</v>
      </c>
      <c r="Z99" s="282" t="s">
        <v>4840</v>
      </c>
      <c r="AA99" s="282">
        <v>29.1571754</v>
      </c>
      <c r="AB99" s="55" t="s">
        <v>72</v>
      </c>
      <c r="AC99" t="s">
        <v>71</v>
      </c>
    </row>
    <row r="100" spans="1:29" x14ac:dyDescent="0.2">
      <c r="A100" s="282">
        <v>5124</v>
      </c>
      <c r="B100" s="282">
        <v>12754</v>
      </c>
      <c r="C100" s="282" t="s">
        <v>3410</v>
      </c>
      <c r="D100" s="282" t="str">
        <f>IF(Table28[[#This Row],[% Leakage Reduction (Calculated)]]&gt;0.4, "Greater than 40% Air Reduction", "Less than 40% Air Reduction")</f>
        <v>Less than 40% Air Reduction</v>
      </c>
      <c r="E100" s="282" t="s">
        <v>4831</v>
      </c>
      <c r="F100" s="282" t="s">
        <v>4832</v>
      </c>
      <c r="G100" s="282" t="s">
        <v>4833</v>
      </c>
      <c r="H100" s="282" t="s">
        <v>4972</v>
      </c>
      <c r="I100" s="282">
        <v>2690</v>
      </c>
      <c r="J100" s="282" t="s">
        <v>4852</v>
      </c>
      <c r="K100" s="282">
        <v>1948</v>
      </c>
      <c r="L100" s="282" t="s">
        <v>4853</v>
      </c>
      <c r="M100" s="283">
        <f t="shared" si="2"/>
        <v>0.27583643122676582</v>
      </c>
      <c r="N100" s="282">
        <v>2000</v>
      </c>
      <c r="O100" s="282"/>
      <c r="P100" s="282">
        <v>2002</v>
      </c>
      <c r="Q100" s="282">
        <f>2023-Table28[[#This Row],[year_built]]</f>
        <v>21</v>
      </c>
      <c r="R100" s="282">
        <v>494.25</v>
      </c>
      <c r="S100" s="282" t="s">
        <v>4900</v>
      </c>
      <c r="T100" s="282" t="s">
        <v>4979</v>
      </c>
      <c r="U100" s="282">
        <v>2019</v>
      </c>
      <c r="V100" s="284">
        <f t="shared" si="3"/>
        <v>0.24712500000000001</v>
      </c>
      <c r="W100" s="292">
        <f>Table28[[#This Row],[$/sqft]]/INDEX(CPI!$A$3:$C$31,MATCH(Table28[[#This Row],[start_year]],CPI!$A$3:$A$31,0),3)</f>
        <v>0.2939018869769261</v>
      </c>
      <c r="X100" s="282" t="s">
        <v>1241</v>
      </c>
      <c r="Y100" s="282"/>
      <c r="Z100" s="282" t="s">
        <v>4840</v>
      </c>
      <c r="AA100" s="282">
        <v>27.583643120000001</v>
      </c>
      <c r="AB100" s="55" t="s">
        <v>72</v>
      </c>
      <c r="AC100" t="s">
        <v>71</v>
      </c>
    </row>
    <row r="101" spans="1:29" x14ac:dyDescent="0.2">
      <c r="A101" s="282">
        <v>3216</v>
      </c>
      <c r="B101" s="282">
        <v>9834</v>
      </c>
      <c r="C101" s="282" t="s">
        <v>3410</v>
      </c>
      <c r="D101" s="282" t="str">
        <f>IF(Table28[[#This Row],[% Leakage Reduction (Calculated)]]&gt;0.4, "Greater than 40% Air Reduction", "Less than 40% Air Reduction")</f>
        <v>Less than 40% Air Reduction</v>
      </c>
      <c r="E101" s="282" t="s">
        <v>4831</v>
      </c>
      <c r="F101" s="282" t="s">
        <v>4832</v>
      </c>
      <c r="G101" s="282" t="s">
        <v>4833</v>
      </c>
      <c r="H101" s="282" t="s">
        <v>4838</v>
      </c>
      <c r="I101" s="282">
        <v>18.37</v>
      </c>
      <c r="J101" s="282" t="s">
        <v>4834</v>
      </c>
      <c r="K101" s="282">
        <v>13.43</v>
      </c>
      <c r="L101" s="282" t="s">
        <v>4835</v>
      </c>
      <c r="M101" s="283">
        <f t="shared" si="2"/>
        <v>0.26891671203048456</v>
      </c>
      <c r="N101" s="282">
        <v>2236</v>
      </c>
      <c r="O101" s="282">
        <v>2</v>
      </c>
      <c r="P101" s="282">
        <v>1880</v>
      </c>
      <c r="Q101" s="282">
        <f>2023-Table28[[#This Row],[year_built]]</f>
        <v>143</v>
      </c>
      <c r="R101" s="282">
        <v>560.55999999999995</v>
      </c>
      <c r="S101" s="282" t="s">
        <v>4946</v>
      </c>
      <c r="T101" s="282" t="s">
        <v>4906</v>
      </c>
      <c r="U101" s="282">
        <v>2020</v>
      </c>
      <c r="V101" s="284">
        <f t="shared" si="3"/>
        <v>0.25069767441860463</v>
      </c>
      <c r="W101" s="292">
        <f>Table28[[#This Row],[$/sqft]]/INDEX(CPI!$A$3:$C$31,MATCH(Table28[[#This Row],[start_year]],CPI!$A$3:$A$31,0),3)</f>
        <v>0.29457945436900179</v>
      </c>
      <c r="X101" s="282"/>
      <c r="Y101" s="282" t="s">
        <v>217</v>
      </c>
      <c r="Z101" s="282" t="s">
        <v>4907</v>
      </c>
      <c r="AA101" s="282">
        <v>26.891671200000001</v>
      </c>
      <c r="AB101" s="55" t="s">
        <v>72</v>
      </c>
      <c r="AC101" t="s">
        <v>71</v>
      </c>
    </row>
    <row r="102" spans="1:29" x14ac:dyDescent="0.2">
      <c r="A102" s="282">
        <v>5194</v>
      </c>
      <c r="B102" s="282">
        <v>13173</v>
      </c>
      <c r="C102" s="282" t="s">
        <v>3410</v>
      </c>
      <c r="D102" s="282" t="str">
        <f>IF(Table28[[#This Row],[% Leakage Reduction (Calculated)]]&gt;0.4, "Greater than 40% Air Reduction", "Less than 40% Air Reduction")</f>
        <v>Less than 40% Air Reduction</v>
      </c>
      <c r="E102" s="282" t="s">
        <v>4831</v>
      </c>
      <c r="F102" s="282" t="s">
        <v>4832</v>
      </c>
      <c r="G102" s="282" t="s">
        <v>4833</v>
      </c>
      <c r="H102" s="282" t="s">
        <v>4838</v>
      </c>
      <c r="I102" s="282">
        <v>2553</v>
      </c>
      <c r="J102" s="282" t="s">
        <v>4852</v>
      </c>
      <c r="K102" s="282">
        <v>2476</v>
      </c>
      <c r="L102" s="282" t="s">
        <v>4853</v>
      </c>
      <c r="M102" s="283">
        <f t="shared" si="2"/>
        <v>3.0160595377986682E-2</v>
      </c>
      <c r="N102" s="282">
        <v>1816</v>
      </c>
      <c r="O102" s="282"/>
      <c r="P102" s="282">
        <v>1987</v>
      </c>
      <c r="Q102" s="282">
        <f>2023-Table28[[#This Row],[year_built]]</f>
        <v>36</v>
      </c>
      <c r="R102" s="282">
        <v>444.81</v>
      </c>
      <c r="S102" s="282" t="s">
        <v>4982</v>
      </c>
      <c r="T102" s="282" t="s">
        <v>4979</v>
      </c>
      <c r="U102" s="282">
        <v>2018</v>
      </c>
      <c r="V102" s="284">
        <f t="shared" si="3"/>
        <v>0.24493942731277532</v>
      </c>
      <c r="W102" s="292">
        <f>Table28[[#This Row],[$/sqft]]/INDEX(CPI!$A$3:$C$31,MATCH(Table28[[#This Row],[start_year]],CPI!$A$3:$A$31,0),3)</f>
        <v>0.29663910731109111</v>
      </c>
      <c r="X102" s="282" t="s">
        <v>1241</v>
      </c>
      <c r="Y102" s="282"/>
      <c r="Z102" s="282" t="s">
        <v>4840</v>
      </c>
      <c r="AA102" s="282">
        <v>3.0160595379999999</v>
      </c>
      <c r="AB102" s="55" t="s">
        <v>72</v>
      </c>
      <c r="AC102" t="s">
        <v>71</v>
      </c>
    </row>
    <row r="103" spans="1:29" x14ac:dyDescent="0.2">
      <c r="A103" s="282">
        <v>3083</v>
      </c>
      <c r="B103" s="282">
        <v>9366</v>
      </c>
      <c r="C103" s="282" t="s">
        <v>3410</v>
      </c>
      <c r="D103" s="282" t="str">
        <f>IF(Table28[[#This Row],[% Leakage Reduction (Calculated)]]&gt;0.4, "Greater than 40% Air Reduction", "Less than 40% Air Reduction")</f>
        <v>Less than 40% Air Reduction</v>
      </c>
      <c r="E103" s="282" t="s">
        <v>4831</v>
      </c>
      <c r="F103" s="282" t="s">
        <v>4832</v>
      </c>
      <c r="G103" s="282" t="s">
        <v>4833</v>
      </c>
      <c r="H103" s="282" t="s">
        <v>4838</v>
      </c>
      <c r="I103" s="282">
        <v>8.1999999999999993</v>
      </c>
      <c r="J103" s="282" t="s">
        <v>4834</v>
      </c>
      <c r="K103" s="282">
        <v>5.52</v>
      </c>
      <c r="L103" s="282" t="s">
        <v>4835</v>
      </c>
      <c r="M103" s="283">
        <f t="shared" si="2"/>
        <v>0.32682926829268294</v>
      </c>
      <c r="N103" s="282">
        <v>3996</v>
      </c>
      <c r="O103" s="282">
        <v>2.15</v>
      </c>
      <c r="P103" s="282">
        <v>1927</v>
      </c>
      <c r="Q103" s="282">
        <f>2023-Table28[[#This Row],[year_built]]</f>
        <v>96</v>
      </c>
      <c r="R103" s="282">
        <v>1000</v>
      </c>
      <c r="S103" s="282" t="s">
        <v>4921</v>
      </c>
      <c r="T103" s="282" t="s">
        <v>4906</v>
      </c>
      <c r="U103" s="282">
        <v>2019</v>
      </c>
      <c r="V103" s="284">
        <f t="shared" si="3"/>
        <v>0.25025025025025027</v>
      </c>
      <c r="W103" s="292">
        <f>Table28[[#This Row],[$/sqft]]/INDEX(CPI!$A$3:$C$31,MATCH(Table28[[#This Row],[start_year]],CPI!$A$3:$A$31,0),3)</f>
        <v>0.29761869808799807</v>
      </c>
      <c r="X103" s="282"/>
      <c r="Y103" s="282" t="s">
        <v>217</v>
      </c>
      <c r="Z103" s="282" t="s">
        <v>4907</v>
      </c>
      <c r="AA103" s="282">
        <v>32.68292683</v>
      </c>
      <c r="AB103" s="55" t="s">
        <v>72</v>
      </c>
      <c r="AC103" t="s">
        <v>71</v>
      </c>
    </row>
    <row r="104" spans="1:29" x14ac:dyDescent="0.2">
      <c r="A104" s="282">
        <v>5126</v>
      </c>
      <c r="B104" s="282">
        <v>12768</v>
      </c>
      <c r="C104" s="282" t="s">
        <v>3410</v>
      </c>
      <c r="D104" s="282" t="str">
        <f>IF(Table28[[#This Row],[% Leakage Reduction (Calculated)]]&gt;0.4, "Greater than 40% Air Reduction", "Less than 40% Air Reduction")</f>
        <v>Greater than 40% Air Reduction</v>
      </c>
      <c r="E104" s="282" t="s">
        <v>4831</v>
      </c>
      <c r="F104" s="282" t="s">
        <v>4832</v>
      </c>
      <c r="G104" s="282" t="s">
        <v>4833</v>
      </c>
      <c r="H104" s="282" t="s">
        <v>4972</v>
      </c>
      <c r="I104" s="282">
        <v>3236</v>
      </c>
      <c r="J104" s="282" t="s">
        <v>4852</v>
      </c>
      <c r="K104" s="282">
        <v>1710</v>
      </c>
      <c r="L104" s="282" t="s">
        <v>4853</v>
      </c>
      <c r="M104" s="283">
        <f t="shared" si="2"/>
        <v>0.4715698393077874</v>
      </c>
      <c r="N104" s="282">
        <v>1700</v>
      </c>
      <c r="O104" s="282"/>
      <c r="P104" s="282">
        <v>1997</v>
      </c>
      <c r="Q104" s="282">
        <f>2023-Table28[[#This Row],[year_built]]</f>
        <v>26</v>
      </c>
      <c r="R104" s="282">
        <v>432.65</v>
      </c>
      <c r="S104" s="282" t="s">
        <v>4988</v>
      </c>
      <c r="T104" s="282" t="s">
        <v>4979</v>
      </c>
      <c r="U104" s="282">
        <v>2019</v>
      </c>
      <c r="V104" s="284">
        <f t="shared" si="3"/>
        <v>0.2545</v>
      </c>
      <c r="W104" s="292">
        <f>Table28[[#This Row],[$/sqft]]/INDEX(CPI!$A$3:$C$31,MATCH(Table28[[#This Row],[start_year]],CPI!$A$3:$A$31,0),3)</f>
        <v>0.30267285881892847</v>
      </c>
      <c r="X104" s="282" t="s">
        <v>4844</v>
      </c>
      <c r="Y104" s="282"/>
      <c r="Z104" s="282" t="s">
        <v>4840</v>
      </c>
      <c r="AA104" s="282">
        <v>47.156983930000003</v>
      </c>
      <c r="AB104" s="55" t="s">
        <v>72</v>
      </c>
      <c r="AC104" t="s">
        <v>71</v>
      </c>
    </row>
    <row r="105" spans="1:29" x14ac:dyDescent="0.2">
      <c r="A105" s="282">
        <v>5055</v>
      </c>
      <c r="B105" s="282">
        <v>12337</v>
      </c>
      <c r="C105" s="282" t="s">
        <v>3410</v>
      </c>
      <c r="D105" s="282" t="str">
        <f>IF(Table28[[#This Row],[% Leakage Reduction (Calculated)]]&gt;0.4, "Greater than 40% Air Reduction", "Less than 40% Air Reduction")</f>
        <v>Less than 40% Air Reduction</v>
      </c>
      <c r="E105" s="282" t="s">
        <v>4831</v>
      </c>
      <c r="F105" s="282" t="s">
        <v>4832</v>
      </c>
      <c r="G105" s="282" t="s">
        <v>4833</v>
      </c>
      <c r="H105" s="282" t="s">
        <v>4838</v>
      </c>
      <c r="I105" s="282">
        <v>5741</v>
      </c>
      <c r="J105" s="282" t="s">
        <v>4852</v>
      </c>
      <c r="K105" s="282">
        <v>4039</v>
      </c>
      <c r="L105" s="282" t="s">
        <v>4853</v>
      </c>
      <c r="M105" s="283">
        <f t="shared" si="2"/>
        <v>0.29646403065668003</v>
      </c>
      <c r="N105" s="282">
        <v>4535</v>
      </c>
      <c r="O105" s="282"/>
      <c r="P105" s="282">
        <v>1993</v>
      </c>
      <c r="Q105" s="282">
        <f>2023-Table28[[#This Row],[year_built]]</f>
        <v>30</v>
      </c>
      <c r="R105" s="282">
        <v>1134.5</v>
      </c>
      <c r="S105" s="282" t="s">
        <v>4900</v>
      </c>
      <c r="T105" s="282" t="s">
        <v>4979</v>
      </c>
      <c r="U105" s="282">
        <v>2018</v>
      </c>
      <c r="V105" s="284">
        <f t="shared" si="3"/>
        <v>0.25016538037486219</v>
      </c>
      <c r="W105" s="292">
        <f>Table28[[#This Row],[$/sqft]]/INDEX(CPI!$A$3:$C$31,MATCH(Table28[[#This Row],[start_year]],CPI!$A$3:$A$31,0),3)</f>
        <v>0.3029681090083457</v>
      </c>
      <c r="X105" s="282" t="s">
        <v>4844</v>
      </c>
      <c r="Y105" s="282"/>
      <c r="Z105" s="282" t="s">
        <v>4840</v>
      </c>
      <c r="AA105" s="282">
        <v>29.646403070000002</v>
      </c>
      <c r="AB105" s="55" t="s">
        <v>72</v>
      </c>
      <c r="AC105" t="s">
        <v>71</v>
      </c>
    </row>
    <row r="106" spans="1:29" x14ac:dyDescent="0.2">
      <c r="A106" s="282">
        <v>1309</v>
      </c>
      <c r="B106" s="282">
        <v>3908</v>
      </c>
      <c r="C106" s="282" t="s">
        <v>3410</v>
      </c>
      <c r="D106" s="282" t="str">
        <f>IF(Table28[[#This Row],[% Leakage Reduction (Calculated)]]&gt;0.4, "Greater than 40% Air Reduction", "Less than 40% Air Reduction")</f>
        <v>Less than 40% Air Reduction</v>
      </c>
      <c r="E106" s="282" t="s">
        <v>4831</v>
      </c>
      <c r="F106" s="282" t="s">
        <v>4832</v>
      </c>
      <c r="G106" s="282" t="s">
        <v>4833</v>
      </c>
      <c r="H106" s="282" t="s">
        <v>4838</v>
      </c>
      <c r="I106" s="282">
        <v>2060</v>
      </c>
      <c r="J106" s="282" t="s">
        <v>4852</v>
      </c>
      <c r="K106" s="282">
        <v>1849</v>
      </c>
      <c r="L106" s="282" t="s">
        <v>4853</v>
      </c>
      <c r="M106" s="283">
        <f t="shared" si="2"/>
        <v>0.10242718446601942</v>
      </c>
      <c r="N106" s="282">
        <v>4160</v>
      </c>
      <c r="O106" s="282">
        <v>2</v>
      </c>
      <c r="P106" s="282">
        <v>2000</v>
      </c>
      <c r="Q106" s="282">
        <f>2023-Table28[[#This Row],[year_built]]</f>
        <v>23</v>
      </c>
      <c r="R106" s="282">
        <v>1000</v>
      </c>
      <c r="S106" s="282" t="s">
        <v>4883</v>
      </c>
      <c r="T106" s="282" t="s">
        <v>4859</v>
      </c>
      <c r="U106" s="282">
        <v>2016</v>
      </c>
      <c r="V106" s="284">
        <f t="shared" si="3"/>
        <v>0.24038461538461539</v>
      </c>
      <c r="W106" s="292">
        <f>Table28[[#This Row],[$/sqft]]/INDEX(CPI!$A$3:$C$31,MATCH(Table28[[#This Row],[start_year]],CPI!$A$3:$A$31,0),3)</f>
        <v>0.30457845620528379</v>
      </c>
      <c r="X106" s="282" t="s">
        <v>4844</v>
      </c>
      <c r="Y106" s="282" t="s">
        <v>4839</v>
      </c>
      <c r="Z106" s="282" t="s">
        <v>4861</v>
      </c>
      <c r="AA106" s="282">
        <v>10.24271845</v>
      </c>
      <c r="AB106" s="55" t="s">
        <v>72</v>
      </c>
      <c r="AC106" t="s">
        <v>72</v>
      </c>
    </row>
    <row r="107" spans="1:29" x14ac:dyDescent="0.2">
      <c r="A107" s="282">
        <v>3181</v>
      </c>
      <c r="B107" s="282">
        <v>9716</v>
      </c>
      <c r="C107" s="282" t="s">
        <v>3410</v>
      </c>
      <c r="D107" s="282" t="str">
        <f>IF(Table28[[#This Row],[% Leakage Reduction (Calculated)]]&gt;0.4, "Greater than 40% Air Reduction", "Less than 40% Air Reduction")</f>
        <v>Less than 40% Air Reduction</v>
      </c>
      <c r="E107" s="282" t="s">
        <v>4831</v>
      </c>
      <c r="F107" s="282" t="s">
        <v>4832</v>
      </c>
      <c r="G107" s="282" t="s">
        <v>4833</v>
      </c>
      <c r="H107" s="282" t="s">
        <v>4838</v>
      </c>
      <c r="I107" s="282">
        <v>11.48</v>
      </c>
      <c r="J107" s="282" t="s">
        <v>4834</v>
      </c>
      <c r="K107" s="282">
        <v>9.89</v>
      </c>
      <c r="L107" s="282" t="s">
        <v>4835</v>
      </c>
      <c r="M107" s="283">
        <f t="shared" si="2"/>
        <v>0.13850174216027872</v>
      </c>
      <c r="N107" s="282">
        <v>1248</v>
      </c>
      <c r="O107" s="282">
        <v>1.5</v>
      </c>
      <c r="P107" s="282">
        <v>1955</v>
      </c>
      <c r="Q107" s="282">
        <f>2023-Table28[[#This Row],[year_built]]</f>
        <v>68</v>
      </c>
      <c r="R107" s="282">
        <v>320</v>
      </c>
      <c r="S107" s="282" t="s">
        <v>4957</v>
      </c>
      <c r="T107" s="282" t="s">
        <v>4906</v>
      </c>
      <c r="U107" s="282">
        <v>2019</v>
      </c>
      <c r="V107" s="284">
        <f t="shared" si="3"/>
        <v>0.25641025641025639</v>
      </c>
      <c r="W107" s="292">
        <f>Table28[[#This Row],[$/sqft]]/INDEX(CPI!$A$3:$C$31,MATCH(Table28[[#This Row],[start_year]],CPI!$A$3:$A$31,0),3)</f>
        <v>0.30494469681016412</v>
      </c>
      <c r="X107" s="282"/>
      <c r="Y107" s="282" t="s">
        <v>217</v>
      </c>
      <c r="Z107" s="282" t="s">
        <v>4907</v>
      </c>
      <c r="AA107" s="282">
        <v>13.85017422</v>
      </c>
      <c r="AB107" s="55" t="s">
        <v>72</v>
      </c>
      <c r="AC107" t="s">
        <v>71</v>
      </c>
    </row>
    <row r="108" spans="1:29" x14ac:dyDescent="0.2">
      <c r="A108" s="282">
        <v>3029</v>
      </c>
      <c r="B108" s="282">
        <v>9146</v>
      </c>
      <c r="C108" s="282" t="s">
        <v>3410</v>
      </c>
      <c r="D108" s="282" t="str">
        <f>IF(Table28[[#This Row],[% Leakage Reduction (Calculated)]]&gt;0.4, "Greater than 40% Air Reduction", "Less than 40% Air Reduction")</f>
        <v>Less than 40% Air Reduction</v>
      </c>
      <c r="E108" s="282" t="s">
        <v>4831</v>
      </c>
      <c r="F108" s="282" t="s">
        <v>4832</v>
      </c>
      <c r="G108" s="282" t="s">
        <v>4833</v>
      </c>
      <c r="H108" s="282" t="s">
        <v>4838</v>
      </c>
      <c r="I108" s="282">
        <v>25.27</v>
      </c>
      <c r="J108" s="282" t="s">
        <v>4834</v>
      </c>
      <c r="K108" s="282">
        <v>18.34</v>
      </c>
      <c r="L108" s="282" t="s">
        <v>4835</v>
      </c>
      <c r="M108" s="283">
        <f t="shared" si="2"/>
        <v>0.2742382271468144</v>
      </c>
      <c r="N108" s="282">
        <v>1460</v>
      </c>
      <c r="O108" s="282">
        <v>1.47</v>
      </c>
      <c r="P108" s="282">
        <v>1952</v>
      </c>
      <c r="Q108" s="282">
        <f>2023-Table28[[#This Row],[year_built]]</f>
        <v>71</v>
      </c>
      <c r="R108" s="282">
        <v>368</v>
      </c>
      <c r="S108" s="282" t="s">
        <v>4925</v>
      </c>
      <c r="T108" s="282" t="s">
        <v>4906</v>
      </c>
      <c r="U108" s="282">
        <v>2018</v>
      </c>
      <c r="V108" s="284">
        <f t="shared" si="3"/>
        <v>0.25205479452054796</v>
      </c>
      <c r="W108" s="292">
        <f>Table28[[#This Row],[$/sqft]]/INDEX(CPI!$A$3:$C$31,MATCH(Table28[[#This Row],[start_year]],CPI!$A$3:$A$31,0),3)</f>
        <v>0.30525632422819055</v>
      </c>
      <c r="X108" s="282"/>
      <c r="Y108" s="282" t="s">
        <v>4872</v>
      </c>
      <c r="Z108" s="282" t="s">
        <v>4840</v>
      </c>
      <c r="AA108" s="282">
        <v>27.42382271</v>
      </c>
      <c r="AB108" s="55" t="s">
        <v>72</v>
      </c>
      <c r="AC108" t="s">
        <v>71</v>
      </c>
    </row>
    <row r="109" spans="1:29" x14ac:dyDescent="0.2">
      <c r="A109" s="282">
        <v>4026</v>
      </c>
      <c r="B109" s="282">
        <v>11107</v>
      </c>
      <c r="C109" s="282" t="s">
        <v>3410</v>
      </c>
      <c r="D109" s="282" t="str">
        <f>IF(Table28[[#This Row],[% Leakage Reduction (Calculated)]]&gt;0.4, "Greater than 40% Air Reduction", "Less than 40% Air Reduction")</f>
        <v>Less than 40% Air Reduction</v>
      </c>
      <c r="E109" s="282" t="s">
        <v>4831</v>
      </c>
      <c r="F109" s="282" t="s">
        <v>4832</v>
      </c>
      <c r="G109" s="282" t="s">
        <v>4833</v>
      </c>
      <c r="H109" s="282" t="s">
        <v>4838</v>
      </c>
      <c r="I109" s="282">
        <v>4324</v>
      </c>
      <c r="J109" s="282" t="s">
        <v>4852</v>
      </c>
      <c r="K109" s="282">
        <v>3495</v>
      </c>
      <c r="L109" s="282" t="s">
        <v>4853</v>
      </c>
      <c r="M109" s="283">
        <f t="shared" si="2"/>
        <v>0.19172062904717854</v>
      </c>
      <c r="N109" s="282">
        <v>2253</v>
      </c>
      <c r="O109" s="282"/>
      <c r="P109" s="282">
        <v>1992</v>
      </c>
      <c r="Q109" s="282">
        <f>2023-Table28[[#This Row],[year_built]]</f>
        <v>31</v>
      </c>
      <c r="R109" s="282">
        <v>586.35</v>
      </c>
      <c r="S109" s="282" t="s">
        <v>4976</v>
      </c>
      <c r="T109" s="282" t="s">
        <v>4969</v>
      </c>
      <c r="U109" s="282">
        <v>2020</v>
      </c>
      <c r="V109" s="284">
        <f t="shared" si="3"/>
        <v>0.26025299600532625</v>
      </c>
      <c r="W109" s="292">
        <f>Table28[[#This Row],[$/sqft]]/INDEX(CPI!$A$3:$C$31,MATCH(Table28[[#This Row],[start_year]],CPI!$A$3:$A$31,0),3)</f>
        <v>0.30580732644984432</v>
      </c>
      <c r="X109" s="282" t="s">
        <v>4844</v>
      </c>
      <c r="Y109" s="282"/>
      <c r="Z109" s="282" t="s">
        <v>4840</v>
      </c>
      <c r="AA109" s="282">
        <v>19.1720629</v>
      </c>
      <c r="AB109" s="55" t="s">
        <v>72</v>
      </c>
      <c r="AC109" t="s">
        <v>71</v>
      </c>
    </row>
    <row r="110" spans="1:29" x14ac:dyDescent="0.2">
      <c r="A110" s="282">
        <v>5149</v>
      </c>
      <c r="B110" s="282">
        <v>12908</v>
      </c>
      <c r="C110" s="282" t="s">
        <v>3410</v>
      </c>
      <c r="D110" s="282" t="str">
        <f>IF(Table28[[#This Row],[% Leakage Reduction (Calculated)]]&gt;0.4, "Greater than 40% Air Reduction", "Less than 40% Air Reduction")</f>
        <v>Greater than 40% Air Reduction</v>
      </c>
      <c r="E110" s="282" t="s">
        <v>4831</v>
      </c>
      <c r="F110" s="282" t="s">
        <v>4832</v>
      </c>
      <c r="G110" s="282" t="s">
        <v>4833</v>
      </c>
      <c r="H110" s="282" t="s">
        <v>4838</v>
      </c>
      <c r="I110" s="282">
        <v>6624</v>
      </c>
      <c r="J110" s="282" t="s">
        <v>4852</v>
      </c>
      <c r="K110" s="282">
        <v>3969</v>
      </c>
      <c r="L110" s="282" t="s">
        <v>4853</v>
      </c>
      <c r="M110" s="283">
        <f t="shared" si="2"/>
        <v>0.40081521739130432</v>
      </c>
      <c r="N110" s="282">
        <v>1980</v>
      </c>
      <c r="O110" s="282"/>
      <c r="P110" s="282">
        <v>1969</v>
      </c>
      <c r="Q110" s="282">
        <f>2023-Table28[[#This Row],[year_built]]</f>
        <v>54</v>
      </c>
      <c r="R110" s="282">
        <v>509.97</v>
      </c>
      <c r="S110" s="282" t="s">
        <v>4997</v>
      </c>
      <c r="T110" s="282" t="s">
        <v>4979</v>
      </c>
      <c r="U110" s="282">
        <v>2019</v>
      </c>
      <c r="V110" s="284">
        <f t="shared" si="3"/>
        <v>0.2575606060606061</v>
      </c>
      <c r="W110" s="292">
        <f>Table28[[#This Row],[$/sqft]]/INDEX(CPI!$A$3:$C$31,MATCH(Table28[[#This Row],[start_year]],CPI!$A$3:$A$31,0),3)</f>
        <v>0.3063127896090353</v>
      </c>
      <c r="X110" s="282" t="s">
        <v>4844</v>
      </c>
      <c r="Y110" s="282"/>
      <c r="Z110" s="282" t="s">
        <v>4840</v>
      </c>
      <c r="AA110" s="282">
        <v>40.081521739999999</v>
      </c>
      <c r="AB110" s="55" t="s">
        <v>72</v>
      </c>
      <c r="AC110" t="s">
        <v>71</v>
      </c>
    </row>
    <row r="111" spans="1:29" x14ac:dyDescent="0.2">
      <c r="A111" s="282">
        <v>5145</v>
      </c>
      <c r="B111" s="282">
        <v>12886</v>
      </c>
      <c r="C111" s="282" t="s">
        <v>3410</v>
      </c>
      <c r="D111" s="282" t="str">
        <f>IF(Table28[[#This Row],[% Leakage Reduction (Calculated)]]&gt;0.4, "Greater than 40% Air Reduction", "Less than 40% Air Reduction")</f>
        <v>Less than 40% Air Reduction</v>
      </c>
      <c r="E111" s="282" t="s">
        <v>4831</v>
      </c>
      <c r="F111" s="282" t="s">
        <v>4832</v>
      </c>
      <c r="G111" s="282" t="s">
        <v>4833</v>
      </c>
      <c r="H111" s="282" t="s">
        <v>4972</v>
      </c>
      <c r="I111" s="282">
        <v>5530</v>
      </c>
      <c r="J111" s="282" t="s">
        <v>4852</v>
      </c>
      <c r="K111" s="282">
        <v>4192</v>
      </c>
      <c r="L111" s="282" t="s">
        <v>4853</v>
      </c>
      <c r="M111" s="283">
        <f t="shared" si="2"/>
        <v>0.24195298372513563</v>
      </c>
      <c r="N111" s="282">
        <v>1980</v>
      </c>
      <c r="O111" s="282"/>
      <c r="P111" s="282">
        <v>1993</v>
      </c>
      <c r="Q111" s="282">
        <f>2023-Table28[[#This Row],[year_built]]</f>
        <v>30</v>
      </c>
      <c r="R111" s="282">
        <v>515.01</v>
      </c>
      <c r="S111" s="282" t="s">
        <v>4900</v>
      </c>
      <c r="T111" s="282" t="s">
        <v>4979</v>
      </c>
      <c r="U111" s="282">
        <v>2019</v>
      </c>
      <c r="V111" s="284">
        <f t="shared" si="3"/>
        <v>0.26010606060606062</v>
      </c>
      <c r="W111" s="292">
        <f>Table28[[#This Row],[$/sqft]]/INDEX(CPI!$A$3:$C$31,MATCH(Table28[[#This Row],[start_year]],CPI!$A$3:$A$31,0),3)</f>
        <v>0.30934005878100523</v>
      </c>
      <c r="X111" s="282" t="s">
        <v>4844</v>
      </c>
      <c r="Y111" s="282"/>
      <c r="Z111" s="282" t="s">
        <v>4840</v>
      </c>
      <c r="AA111" s="282">
        <v>24.19529837</v>
      </c>
      <c r="AB111" s="55" t="s">
        <v>72</v>
      </c>
      <c r="AC111" t="s">
        <v>71</v>
      </c>
    </row>
    <row r="112" spans="1:29" x14ac:dyDescent="0.2">
      <c r="A112" s="282">
        <v>5075</v>
      </c>
      <c r="B112" s="282">
        <v>12459</v>
      </c>
      <c r="C112" s="282" t="s">
        <v>3410</v>
      </c>
      <c r="D112" s="282" t="str">
        <f>IF(Table28[[#This Row],[% Leakage Reduction (Calculated)]]&gt;0.4, "Greater than 40% Air Reduction", "Less than 40% Air Reduction")</f>
        <v>Less than 40% Air Reduction</v>
      </c>
      <c r="E112" s="282" t="s">
        <v>4831</v>
      </c>
      <c r="F112" s="282" t="s">
        <v>4832</v>
      </c>
      <c r="G112" s="282" t="s">
        <v>4833</v>
      </c>
      <c r="H112" s="282" t="s">
        <v>4972</v>
      </c>
      <c r="I112" s="282">
        <v>2743</v>
      </c>
      <c r="J112" s="282" t="s">
        <v>4852</v>
      </c>
      <c r="K112" s="282">
        <v>2241</v>
      </c>
      <c r="L112" s="282" t="s">
        <v>4853</v>
      </c>
      <c r="M112" s="283">
        <f t="shared" si="2"/>
        <v>0.18301130149471381</v>
      </c>
      <c r="N112" s="282">
        <v>1800</v>
      </c>
      <c r="O112" s="282"/>
      <c r="P112" s="282">
        <v>1994</v>
      </c>
      <c r="Q112" s="282">
        <f>2023-Table28[[#This Row],[year_built]]</f>
        <v>29</v>
      </c>
      <c r="R112" s="282">
        <v>468.6</v>
      </c>
      <c r="S112" s="282" t="s">
        <v>4982</v>
      </c>
      <c r="T112" s="282" t="s">
        <v>4979</v>
      </c>
      <c r="U112" s="282">
        <v>2019</v>
      </c>
      <c r="V112" s="284">
        <f t="shared" si="3"/>
        <v>0.26033333333333336</v>
      </c>
      <c r="W112" s="292">
        <f>Table28[[#This Row],[$/sqft]]/INDEX(CPI!$A$3:$C$31,MATCH(Table28[[#This Row],[start_year]],CPI!$A$3:$A$31,0),3)</f>
        <v>0.30961035067135972</v>
      </c>
      <c r="X112" s="282" t="s">
        <v>4844</v>
      </c>
      <c r="Y112" s="282"/>
      <c r="Z112" s="282" t="s">
        <v>4840</v>
      </c>
      <c r="AA112" s="282">
        <v>18.301130149999999</v>
      </c>
      <c r="AB112" s="55" t="s">
        <v>72</v>
      </c>
      <c r="AC112" t="s">
        <v>71</v>
      </c>
    </row>
    <row r="113" spans="1:29" x14ac:dyDescent="0.2">
      <c r="A113" s="282">
        <v>5069</v>
      </c>
      <c r="B113" s="282">
        <v>12422</v>
      </c>
      <c r="C113" s="282" t="s">
        <v>3410</v>
      </c>
      <c r="D113" s="282" t="str">
        <f>IF(Table28[[#This Row],[% Leakage Reduction (Calculated)]]&gt;0.4, "Greater than 40% Air Reduction", "Less than 40% Air Reduction")</f>
        <v>Less than 40% Air Reduction</v>
      </c>
      <c r="E113" s="282" t="s">
        <v>4831</v>
      </c>
      <c r="F113" s="282" t="s">
        <v>4832</v>
      </c>
      <c r="G113" s="282" t="s">
        <v>4833</v>
      </c>
      <c r="H113" s="282" t="s">
        <v>4972</v>
      </c>
      <c r="I113" s="282">
        <v>2533</v>
      </c>
      <c r="J113" s="282" t="s">
        <v>4852</v>
      </c>
      <c r="K113" s="282">
        <v>2059</v>
      </c>
      <c r="L113" s="282" t="s">
        <v>4853</v>
      </c>
      <c r="M113" s="283">
        <f t="shared" si="2"/>
        <v>0.18712988551125148</v>
      </c>
      <c r="N113" s="282">
        <v>1836</v>
      </c>
      <c r="O113" s="282"/>
      <c r="P113" s="282">
        <v>1997</v>
      </c>
      <c r="Q113" s="282">
        <f>2023-Table28[[#This Row],[year_built]]</f>
        <v>26</v>
      </c>
      <c r="R113" s="282">
        <v>471.5</v>
      </c>
      <c r="S113" s="282" t="s">
        <v>4981</v>
      </c>
      <c r="T113" s="282" t="s">
        <v>4979</v>
      </c>
      <c r="U113" s="282">
        <v>2018</v>
      </c>
      <c r="V113" s="284">
        <f t="shared" si="3"/>
        <v>0.25680827886710239</v>
      </c>
      <c r="W113" s="292">
        <f>Table28[[#This Row],[$/sqft]]/INDEX(CPI!$A$3:$C$31,MATCH(Table28[[#This Row],[start_year]],CPI!$A$3:$A$31,0),3)</f>
        <v>0.31101313263036973</v>
      </c>
      <c r="X113" s="282" t="s">
        <v>4844</v>
      </c>
      <c r="Y113" s="282"/>
      <c r="Z113" s="282" t="s">
        <v>4840</v>
      </c>
      <c r="AA113" s="282">
        <v>18.712988549999999</v>
      </c>
      <c r="AB113" s="55" t="s">
        <v>72</v>
      </c>
      <c r="AC113" t="s">
        <v>71</v>
      </c>
    </row>
    <row r="114" spans="1:29" x14ac:dyDescent="0.2">
      <c r="A114" s="282">
        <v>5236</v>
      </c>
      <c r="B114" s="282">
        <v>13399</v>
      </c>
      <c r="C114" s="282" t="s">
        <v>3410</v>
      </c>
      <c r="D114" s="282" t="str">
        <f>IF(Table28[[#This Row],[% Leakage Reduction (Calculated)]]&gt;0.4, "Greater than 40% Air Reduction", "Less than 40% Air Reduction")</f>
        <v>Less than 40% Air Reduction</v>
      </c>
      <c r="E114" s="282" t="s">
        <v>4831</v>
      </c>
      <c r="F114" s="282" t="s">
        <v>4832</v>
      </c>
      <c r="G114" s="282" t="s">
        <v>4833</v>
      </c>
      <c r="H114" s="282" t="s">
        <v>4972</v>
      </c>
      <c r="I114" s="282">
        <v>3274</v>
      </c>
      <c r="J114" s="282" t="s">
        <v>4852</v>
      </c>
      <c r="K114" s="282">
        <v>2518</v>
      </c>
      <c r="L114" s="282" t="s">
        <v>4853</v>
      </c>
      <c r="M114" s="283">
        <f t="shared" si="2"/>
        <v>0.23091020158827122</v>
      </c>
      <c r="N114" s="282">
        <v>1750</v>
      </c>
      <c r="O114" s="282"/>
      <c r="P114" s="282">
        <v>1998</v>
      </c>
      <c r="Q114" s="282">
        <f>2023-Table28[[#This Row],[year_built]]</f>
        <v>25</v>
      </c>
      <c r="R114" s="282">
        <v>449.75</v>
      </c>
      <c r="S114" s="282" t="s">
        <v>4978</v>
      </c>
      <c r="T114" s="282" t="s">
        <v>4979</v>
      </c>
      <c r="U114" s="282">
        <v>2018</v>
      </c>
      <c r="V114" s="284">
        <f t="shared" si="3"/>
        <v>0.25700000000000001</v>
      </c>
      <c r="W114" s="292">
        <f>Table28[[#This Row],[$/sqft]]/INDEX(CPI!$A$3:$C$31,MATCH(Table28[[#This Row],[start_year]],CPI!$A$3:$A$31,0),3)</f>
        <v>0.31124532058940663</v>
      </c>
      <c r="X114" s="282" t="s">
        <v>1241</v>
      </c>
      <c r="Y114" s="282"/>
      <c r="Z114" s="282" t="s">
        <v>4840</v>
      </c>
      <c r="AA114" s="282">
        <v>23.091020159999999</v>
      </c>
      <c r="AB114" s="55" t="s">
        <v>72</v>
      </c>
      <c r="AC114" t="s">
        <v>71</v>
      </c>
    </row>
    <row r="115" spans="1:29" x14ac:dyDescent="0.2">
      <c r="A115" s="282">
        <v>5157</v>
      </c>
      <c r="B115" s="282">
        <v>12959</v>
      </c>
      <c r="C115" s="282" t="s">
        <v>3410</v>
      </c>
      <c r="D115" s="282" t="str">
        <f>IF(Table28[[#This Row],[% Leakage Reduction (Calculated)]]&gt;0.4, "Greater than 40% Air Reduction", "Less than 40% Air Reduction")</f>
        <v>Less than 40% Air Reduction</v>
      </c>
      <c r="E115" s="282" t="s">
        <v>4831</v>
      </c>
      <c r="F115" s="282" t="s">
        <v>4832</v>
      </c>
      <c r="G115" s="282" t="s">
        <v>4833</v>
      </c>
      <c r="H115" s="282" t="s">
        <v>4972</v>
      </c>
      <c r="I115" s="282">
        <v>3614</v>
      </c>
      <c r="J115" s="282" t="s">
        <v>4852</v>
      </c>
      <c r="K115" s="282">
        <v>2925</v>
      </c>
      <c r="L115" s="282" t="s">
        <v>4853</v>
      </c>
      <c r="M115" s="283">
        <f t="shared" si="2"/>
        <v>0.1906474820143885</v>
      </c>
      <c r="N115" s="282">
        <v>1820</v>
      </c>
      <c r="O115" s="282"/>
      <c r="P115" s="282">
        <v>1998</v>
      </c>
      <c r="Q115" s="282">
        <f>2023-Table28[[#This Row],[year_built]]</f>
        <v>25</v>
      </c>
      <c r="R115" s="282">
        <v>468.11</v>
      </c>
      <c r="S115" s="282" t="s">
        <v>4997</v>
      </c>
      <c r="T115" s="282" t="s">
        <v>4979</v>
      </c>
      <c r="U115" s="282">
        <v>2018</v>
      </c>
      <c r="V115" s="284">
        <f t="shared" si="3"/>
        <v>0.25720329670329672</v>
      </c>
      <c r="W115" s="292">
        <f>Table28[[#This Row],[$/sqft]]/INDEX(CPI!$A$3:$C$31,MATCH(Table28[[#This Row],[start_year]],CPI!$A$3:$A$31,0),3)</f>
        <v>0.31149152738937691</v>
      </c>
      <c r="X115" s="282" t="s">
        <v>4844</v>
      </c>
      <c r="Y115" s="282"/>
      <c r="Z115" s="282" t="s">
        <v>4840</v>
      </c>
      <c r="AA115" s="282">
        <v>19.0647482</v>
      </c>
      <c r="AB115" s="55" t="s">
        <v>72</v>
      </c>
      <c r="AC115" t="s">
        <v>71</v>
      </c>
    </row>
    <row r="116" spans="1:29" x14ac:dyDescent="0.2">
      <c r="A116" s="282">
        <v>5011</v>
      </c>
      <c r="B116" s="282">
        <v>12067</v>
      </c>
      <c r="C116" s="282" t="s">
        <v>3410</v>
      </c>
      <c r="D116" s="282" t="str">
        <f>IF(Table28[[#This Row],[% Leakage Reduction (Calculated)]]&gt;0.4, "Greater than 40% Air Reduction", "Less than 40% Air Reduction")</f>
        <v>Less than 40% Air Reduction</v>
      </c>
      <c r="E116" s="282" t="s">
        <v>4831</v>
      </c>
      <c r="F116" s="282" t="s">
        <v>4832</v>
      </c>
      <c r="G116" s="282" t="s">
        <v>4833</v>
      </c>
      <c r="H116" s="282" t="s">
        <v>4972</v>
      </c>
      <c r="I116" s="282">
        <v>2744</v>
      </c>
      <c r="J116" s="282" t="s">
        <v>4852</v>
      </c>
      <c r="K116" s="282">
        <v>2153</v>
      </c>
      <c r="L116" s="282" t="s">
        <v>4853</v>
      </c>
      <c r="M116" s="283">
        <f t="shared" si="2"/>
        <v>0.21537900874635568</v>
      </c>
      <c r="N116" s="282">
        <v>1750</v>
      </c>
      <c r="O116" s="282"/>
      <c r="P116" s="282">
        <v>1995</v>
      </c>
      <c r="Q116" s="282">
        <f>2023-Table28[[#This Row],[year_built]]</f>
        <v>28</v>
      </c>
      <c r="R116" s="282">
        <v>466.28</v>
      </c>
      <c r="S116" s="282" t="s">
        <v>4982</v>
      </c>
      <c r="T116" s="282" t="s">
        <v>4979</v>
      </c>
      <c r="U116" s="282">
        <v>2020</v>
      </c>
      <c r="V116" s="284">
        <f t="shared" si="3"/>
        <v>0.26644571428571429</v>
      </c>
      <c r="W116" s="292">
        <f>Table28[[#This Row],[$/sqft]]/INDEX(CPI!$A$3:$C$31,MATCH(Table28[[#This Row],[start_year]],CPI!$A$3:$A$31,0),3)</f>
        <v>0.31308400971516892</v>
      </c>
      <c r="X116" s="282" t="s">
        <v>4844</v>
      </c>
      <c r="Y116" s="282"/>
      <c r="Z116" s="282" t="s">
        <v>4840</v>
      </c>
      <c r="AA116" s="282">
        <v>21.537900870000001</v>
      </c>
      <c r="AB116" s="55" t="s">
        <v>72</v>
      </c>
      <c r="AC116" t="s">
        <v>71</v>
      </c>
    </row>
    <row r="117" spans="1:29" x14ac:dyDescent="0.2">
      <c r="A117" s="282">
        <v>5127</v>
      </c>
      <c r="B117" s="282">
        <v>12773</v>
      </c>
      <c r="C117" s="282" t="s">
        <v>3410</v>
      </c>
      <c r="D117" s="282" t="str">
        <f>IF(Table28[[#This Row],[% Leakage Reduction (Calculated)]]&gt;0.4, "Greater than 40% Air Reduction", "Less than 40% Air Reduction")</f>
        <v>Less than 40% Air Reduction</v>
      </c>
      <c r="E117" s="282" t="s">
        <v>4831</v>
      </c>
      <c r="F117" s="282" t="s">
        <v>4832</v>
      </c>
      <c r="G117" s="282" t="s">
        <v>4833</v>
      </c>
      <c r="H117" s="282" t="s">
        <v>4972</v>
      </c>
      <c r="I117" s="282">
        <v>2477</v>
      </c>
      <c r="J117" s="282" t="s">
        <v>4852</v>
      </c>
      <c r="K117" s="282">
        <v>2190</v>
      </c>
      <c r="L117" s="282" t="s">
        <v>4853</v>
      </c>
      <c r="M117" s="283">
        <f t="shared" si="2"/>
        <v>0.11586596689543803</v>
      </c>
      <c r="N117" s="282">
        <v>1824</v>
      </c>
      <c r="O117" s="282"/>
      <c r="P117" s="282">
        <v>2000</v>
      </c>
      <c r="Q117" s="282">
        <f>2023-Table28[[#This Row],[year_built]]</f>
        <v>23</v>
      </c>
      <c r="R117" s="282">
        <v>481.96</v>
      </c>
      <c r="S117" s="282" t="s">
        <v>4988</v>
      </c>
      <c r="T117" s="282" t="s">
        <v>4979</v>
      </c>
      <c r="U117" s="282">
        <v>2019</v>
      </c>
      <c r="V117" s="284">
        <f t="shared" si="3"/>
        <v>0.26423245614035085</v>
      </c>
      <c r="W117" s="292">
        <f>Table28[[#This Row],[$/sqft]]/INDEX(CPI!$A$3:$C$31,MATCH(Table28[[#This Row],[start_year]],CPI!$A$3:$A$31,0),3)</f>
        <v>0.31424751627798475</v>
      </c>
      <c r="X117" s="282" t="s">
        <v>4844</v>
      </c>
      <c r="Y117" s="282"/>
      <c r="Z117" s="282" t="s">
        <v>4840</v>
      </c>
      <c r="AA117" s="282">
        <v>11.58659669</v>
      </c>
      <c r="AB117" s="55" t="s">
        <v>72</v>
      </c>
      <c r="AC117" t="s">
        <v>71</v>
      </c>
    </row>
    <row r="118" spans="1:29" x14ac:dyDescent="0.2">
      <c r="A118" s="282">
        <v>3007</v>
      </c>
      <c r="B118" s="282">
        <v>9041</v>
      </c>
      <c r="C118" s="282" t="s">
        <v>3410</v>
      </c>
      <c r="D118" s="282" t="str">
        <f>IF(Table28[[#This Row],[% Leakage Reduction (Calculated)]]&gt;0.4, "Greater than 40% Air Reduction", "Less than 40% Air Reduction")</f>
        <v>Less than 40% Air Reduction</v>
      </c>
      <c r="E118" s="282" t="s">
        <v>4831</v>
      </c>
      <c r="F118" s="282" t="s">
        <v>4832</v>
      </c>
      <c r="G118" s="282" t="s">
        <v>4833</v>
      </c>
      <c r="H118" s="282" t="s">
        <v>4838</v>
      </c>
      <c r="I118" s="282">
        <v>7.82</v>
      </c>
      <c r="J118" s="282" t="s">
        <v>4834</v>
      </c>
      <c r="K118" s="282">
        <v>5.28</v>
      </c>
      <c r="L118" s="282" t="s">
        <v>4835</v>
      </c>
      <c r="M118" s="283">
        <f t="shared" si="2"/>
        <v>0.32480818414322249</v>
      </c>
      <c r="N118" s="282">
        <v>4272</v>
      </c>
      <c r="O118" s="282">
        <v>2</v>
      </c>
      <c r="P118" s="282">
        <v>2004</v>
      </c>
      <c r="Q118" s="282">
        <f>2023-Table28[[#This Row],[year_built]]</f>
        <v>19</v>
      </c>
      <c r="R118" s="282">
        <v>1110.96</v>
      </c>
      <c r="S118" s="282" t="s">
        <v>4911</v>
      </c>
      <c r="T118" s="282" t="s">
        <v>4906</v>
      </c>
      <c r="U118" s="282">
        <v>2018</v>
      </c>
      <c r="V118" s="284">
        <f t="shared" si="3"/>
        <v>0.26005617977528089</v>
      </c>
      <c r="W118" s="292">
        <f>Table28[[#This Row],[$/sqft]]/INDEX(CPI!$A$3:$C$31,MATCH(Table28[[#This Row],[start_year]],CPI!$A$3:$A$31,0),3)</f>
        <v>0.31494657216114269</v>
      </c>
      <c r="X118" s="282"/>
      <c r="Y118" s="282" t="s">
        <v>217</v>
      </c>
      <c r="Z118" s="282" t="s">
        <v>4907</v>
      </c>
      <c r="AA118" s="282">
        <v>32.480818409999998</v>
      </c>
      <c r="AB118" s="55" t="s">
        <v>72</v>
      </c>
      <c r="AC118" t="s">
        <v>71</v>
      </c>
    </row>
    <row r="119" spans="1:29" x14ac:dyDescent="0.2">
      <c r="A119" s="282">
        <v>5021</v>
      </c>
      <c r="B119" s="282">
        <v>12125</v>
      </c>
      <c r="C119" s="282" t="s">
        <v>3410</v>
      </c>
      <c r="D119" s="282" t="str">
        <f>IF(Table28[[#This Row],[% Leakage Reduction (Calculated)]]&gt;0.4, "Greater than 40% Air Reduction", "Less than 40% Air Reduction")</f>
        <v>Less than 40% Air Reduction</v>
      </c>
      <c r="E119" s="282" t="s">
        <v>4831</v>
      </c>
      <c r="F119" s="282" t="s">
        <v>4832</v>
      </c>
      <c r="G119" s="282" t="s">
        <v>4833</v>
      </c>
      <c r="H119" s="282" t="s">
        <v>4972</v>
      </c>
      <c r="I119" s="282">
        <v>3697</v>
      </c>
      <c r="J119" s="282" t="s">
        <v>4852</v>
      </c>
      <c r="K119" s="282">
        <v>3196</v>
      </c>
      <c r="L119" s="282" t="s">
        <v>4853</v>
      </c>
      <c r="M119" s="283">
        <f t="shared" si="2"/>
        <v>0.13551528266161753</v>
      </c>
      <c r="N119" s="282">
        <v>1700</v>
      </c>
      <c r="O119" s="282"/>
      <c r="P119" s="282">
        <v>2006</v>
      </c>
      <c r="Q119" s="282">
        <f>2023-Table28[[#This Row],[year_built]]</f>
        <v>17</v>
      </c>
      <c r="R119" s="282">
        <v>455.69</v>
      </c>
      <c r="S119" s="282" t="s">
        <v>4982</v>
      </c>
      <c r="T119" s="282" t="s">
        <v>4979</v>
      </c>
      <c r="U119" s="282">
        <v>2020</v>
      </c>
      <c r="V119" s="284">
        <f t="shared" si="3"/>
        <v>0.2680529411764706</v>
      </c>
      <c r="W119" s="292">
        <f>Table28[[#This Row],[$/sqft]]/INDEX(CPI!$A$3:$C$31,MATCH(Table28[[#This Row],[start_year]],CPI!$A$3:$A$31,0),3)</f>
        <v>0.31497256341485591</v>
      </c>
      <c r="X119" s="282" t="s">
        <v>4844</v>
      </c>
      <c r="Y119" s="282"/>
      <c r="Z119" s="282" t="s">
        <v>4840</v>
      </c>
      <c r="AA119" s="282">
        <v>13.55152827</v>
      </c>
      <c r="AB119" s="55" t="s">
        <v>72</v>
      </c>
      <c r="AC119" t="s">
        <v>71</v>
      </c>
    </row>
    <row r="120" spans="1:29" x14ac:dyDescent="0.2">
      <c r="A120" s="282">
        <v>5184</v>
      </c>
      <c r="B120" s="282">
        <v>13114</v>
      </c>
      <c r="C120" s="282" t="s">
        <v>3410</v>
      </c>
      <c r="D120" s="282" t="str">
        <f>IF(Table28[[#This Row],[% Leakage Reduction (Calculated)]]&gt;0.4, "Greater than 40% Air Reduction", "Less than 40% Air Reduction")</f>
        <v>Less than 40% Air Reduction</v>
      </c>
      <c r="E120" s="282" t="s">
        <v>4831</v>
      </c>
      <c r="F120" s="282" t="s">
        <v>4832</v>
      </c>
      <c r="G120" s="282" t="s">
        <v>4833</v>
      </c>
      <c r="H120" s="282" t="s">
        <v>4972</v>
      </c>
      <c r="I120" s="282">
        <v>2517</v>
      </c>
      <c r="J120" s="282" t="s">
        <v>4852</v>
      </c>
      <c r="K120" s="282">
        <v>2098</v>
      </c>
      <c r="L120" s="282" t="s">
        <v>4853</v>
      </c>
      <c r="M120" s="283">
        <f t="shared" si="2"/>
        <v>0.16646801748112833</v>
      </c>
      <c r="N120" s="282">
        <v>1700</v>
      </c>
      <c r="O120" s="282"/>
      <c r="P120" s="282">
        <v>1999</v>
      </c>
      <c r="Q120" s="282">
        <f>2023-Table28[[#This Row],[year_built]]</f>
        <v>24</v>
      </c>
      <c r="R120" s="282">
        <v>450.69</v>
      </c>
      <c r="S120" s="282" t="s">
        <v>4981</v>
      </c>
      <c r="T120" s="282" t="s">
        <v>4979</v>
      </c>
      <c r="U120" s="282">
        <v>2019</v>
      </c>
      <c r="V120" s="284">
        <f t="shared" si="3"/>
        <v>0.26511176470588232</v>
      </c>
      <c r="W120" s="292">
        <f>Table28[[#This Row],[$/sqft]]/INDEX(CPI!$A$3:$C$31,MATCH(Table28[[#This Row],[start_year]],CPI!$A$3:$A$31,0),3)</f>
        <v>0.31529326416526721</v>
      </c>
      <c r="X120" s="282" t="s">
        <v>1241</v>
      </c>
      <c r="Y120" s="282"/>
      <c r="Z120" s="282" t="s">
        <v>4840</v>
      </c>
      <c r="AA120" s="282">
        <v>16.646801750000002</v>
      </c>
      <c r="AB120" s="55" t="s">
        <v>72</v>
      </c>
      <c r="AC120" t="s">
        <v>71</v>
      </c>
    </row>
    <row r="121" spans="1:29" x14ac:dyDescent="0.2">
      <c r="A121" s="282">
        <v>5138</v>
      </c>
      <c r="B121" s="282">
        <v>12840</v>
      </c>
      <c r="C121" s="282" t="s">
        <v>3410</v>
      </c>
      <c r="D121" s="282" t="str">
        <f>IF(Table28[[#This Row],[% Leakage Reduction (Calculated)]]&gt;0.4, "Greater than 40% Air Reduction", "Less than 40% Air Reduction")</f>
        <v>Less than 40% Air Reduction</v>
      </c>
      <c r="E121" s="282" t="s">
        <v>4831</v>
      </c>
      <c r="F121" s="282" t="s">
        <v>4832</v>
      </c>
      <c r="G121" s="282" t="s">
        <v>4833</v>
      </c>
      <c r="H121" s="282" t="s">
        <v>4838</v>
      </c>
      <c r="I121" s="282">
        <v>1583</v>
      </c>
      <c r="J121" s="282" t="s">
        <v>4852</v>
      </c>
      <c r="K121" s="282">
        <v>1070</v>
      </c>
      <c r="L121" s="282" t="s">
        <v>4853</v>
      </c>
      <c r="M121" s="283">
        <f t="shared" si="2"/>
        <v>0.32406822488945042</v>
      </c>
      <c r="N121" s="282">
        <v>1400</v>
      </c>
      <c r="O121" s="282"/>
      <c r="P121" s="282">
        <v>1983</v>
      </c>
      <c r="Q121" s="282">
        <f>2023-Table28[[#This Row],[year_built]]</f>
        <v>40</v>
      </c>
      <c r="R121" s="282">
        <v>372.3</v>
      </c>
      <c r="S121" s="282" t="s">
        <v>4984</v>
      </c>
      <c r="T121" s="282" t="s">
        <v>4979</v>
      </c>
      <c r="U121" s="282">
        <v>2019</v>
      </c>
      <c r="V121" s="284">
        <f t="shared" si="3"/>
        <v>0.26592857142857146</v>
      </c>
      <c r="W121" s="292">
        <f>Table28[[#This Row],[$/sqft]]/INDEX(CPI!$A$3:$C$31,MATCH(Table28[[#This Row],[start_year]],CPI!$A$3:$A$31,0),3)</f>
        <v>0.31626467959103866</v>
      </c>
      <c r="X121" s="282" t="s">
        <v>4844</v>
      </c>
      <c r="Y121" s="282"/>
      <c r="Z121" s="282" t="s">
        <v>4840</v>
      </c>
      <c r="AA121" s="282">
        <v>32.406822490000003</v>
      </c>
      <c r="AB121" s="55" t="s">
        <v>72</v>
      </c>
      <c r="AC121" t="s">
        <v>71</v>
      </c>
    </row>
    <row r="122" spans="1:29" x14ac:dyDescent="0.2">
      <c r="A122" s="282">
        <v>5040</v>
      </c>
      <c r="B122" s="282">
        <v>12248</v>
      </c>
      <c r="C122" s="282" t="s">
        <v>3410</v>
      </c>
      <c r="D122" s="282" t="str">
        <f>IF(Table28[[#This Row],[% Leakage Reduction (Calculated)]]&gt;0.4, "Greater than 40% Air Reduction", "Less than 40% Air Reduction")</f>
        <v>Less than 40% Air Reduction</v>
      </c>
      <c r="E122" s="282" t="s">
        <v>4831</v>
      </c>
      <c r="F122" s="282" t="s">
        <v>4832</v>
      </c>
      <c r="G122" s="282" t="s">
        <v>4833</v>
      </c>
      <c r="H122" s="282" t="s">
        <v>4838</v>
      </c>
      <c r="I122" s="282">
        <v>3961</v>
      </c>
      <c r="J122" s="282" t="s">
        <v>4852</v>
      </c>
      <c r="K122" s="282">
        <v>3100</v>
      </c>
      <c r="L122" s="282" t="s">
        <v>4853</v>
      </c>
      <c r="M122" s="283">
        <f t="shared" si="2"/>
        <v>0.21736935117394598</v>
      </c>
      <c r="N122" s="282">
        <v>1820</v>
      </c>
      <c r="O122" s="282"/>
      <c r="P122" s="282">
        <v>1991</v>
      </c>
      <c r="Q122" s="282">
        <f>2023-Table28[[#This Row],[year_built]]</f>
        <v>32</v>
      </c>
      <c r="R122" s="282">
        <v>476.11</v>
      </c>
      <c r="S122" s="282" t="s">
        <v>4988</v>
      </c>
      <c r="T122" s="282" t="s">
        <v>4979</v>
      </c>
      <c r="U122" s="282">
        <v>2018</v>
      </c>
      <c r="V122" s="284">
        <f t="shared" si="3"/>
        <v>0.2615989010989011</v>
      </c>
      <c r="W122" s="292">
        <f>Table28[[#This Row],[$/sqft]]/INDEX(CPI!$A$3:$C$31,MATCH(Table28[[#This Row],[start_year]],CPI!$A$3:$A$31,0),3)</f>
        <v>0.31681491765900371</v>
      </c>
      <c r="X122" s="282" t="s">
        <v>1241</v>
      </c>
      <c r="Y122" s="282"/>
      <c r="Z122" s="282" t="s">
        <v>4840</v>
      </c>
      <c r="AA122" s="282">
        <v>21.736935119999998</v>
      </c>
      <c r="AB122" s="55" t="s">
        <v>72</v>
      </c>
      <c r="AC122" t="s">
        <v>71</v>
      </c>
    </row>
    <row r="123" spans="1:29" x14ac:dyDescent="0.2">
      <c r="A123" s="282">
        <v>5046</v>
      </c>
      <c r="B123" s="282">
        <v>12282</v>
      </c>
      <c r="C123" s="282" t="s">
        <v>3410</v>
      </c>
      <c r="D123" s="282" t="str">
        <f>IF(Table28[[#This Row],[% Leakage Reduction (Calculated)]]&gt;0.4, "Greater than 40% Air Reduction", "Less than 40% Air Reduction")</f>
        <v>Less than 40% Air Reduction</v>
      </c>
      <c r="E123" s="282" t="s">
        <v>4831</v>
      </c>
      <c r="F123" s="282" t="s">
        <v>4832</v>
      </c>
      <c r="G123" s="282" t="s">
        <v>4833</v>
      </c>
      <c r="H123" s="282" t="s">
        <v>4972</v>
      </c>
      <c r="I123" s="282">
        <v>2443</v>
      </c>
      <c r="J123" s="282" t="s">
        <v>4852</v>
      </c>
      <c r="K123" s="282">
        <v>2119</v>
      </c>
      <c r="L123" s="282" t="s">
        <v>4853</v>
      </c>
      <c r="M123" s="283">
        <f t="shared" si="2"/>
        <v>0.13262382316823579</v>
      </c>
      <c r="N123" s="282">
        <v>1750</v>
      </c>
      <c r="O123" s="282"/>
      <c r="P123" s="282">
        <v>2001</v>
      </c>
      <c r="Q123" s="282">
        <f>2023-Table28[[#This Row],[year_built]]</f>
        <v>22</v>
      </c>
      <c r="R123" s="282">
        <v>473.78</v>
      </c>
      <c r="S123" s="282" t="s">
        <v>4988</v>
      </c>
      <c r="T123" s="282" t="s">
        <v>4979</v>
      </c>
      <c r="U123" s="282">
        <v>2020</v>
      </c>
      <c r="V123" s="284">
        <f t="shared" si="3"/>
        <v>0.27073142857142857</v>
      </c>
      <c r="W123" s="292">
        <f>Table28[[#This Row],[$/sqft]]/INDEX(CPI!$A$3:$C$31,MATCH(Table28[[#This Row],[start_year]],CPI!$A$3:$A$31,0),3)</f>
        <v>0.31811988960035326</v>
      </c>
      <c r="X123" s="282" t="s">
        <v>4844</v>
      </c>
      <c r="Y123" s="282"/>
      <c r="Z123" s="282" t="s">
        <v>4840</v>
      </c>
      <c r="AA123" s="282">
        <v>13.26238232</v>
      </c>
      <c r="AB123" s="55" t="s">
        <v>72</v>
      </c>
      <c r="AC123" t="s">
        <v>71</v>
      </c>
    </row>
    <row r="124" spans="1:29" x14ac:dyDescent="0.2">
      <c r="A124" s="282">
        <v>5169</v>
      </c>
      <c r="B124" s="282">
        <v>13031</v>
      </c>
      <c r="C124" s="282" t="s">
        <v>3410</v>
      </c>
      <c r="D124" s="282" t="str">
        <f>IF(Table28[[#This Row],[% Leakage Reduction (Calculated)]]&gt;0.4, "Greater than 40% Air Reduction", "Less than 40% Air Reduction")</f>
        <v>Less than 40% Air Reduction</v>
      </c>
      <c r="E124" s="282" t="s">
        <v>4831</v>
      </c>
      <c r="F124" s="282" t="s">
        <v>4832</v>
      </c>
      <c r="G124" s="282" t="s">
        <v>4833</v>
      </c>
      <c r="H124" s="282" t="s">
        <v>4972</v>
      </c>
      <c r="I124" s="282">
        <v>3176</v>
      </c>
      <c r="J124" s="282" t="s">
        <v>4852</v>
      </c>
      <c r="K124" s="282">
        <v>2479</v>
      </c>
      <c r="L124" s="282" t="s">
        <v>4853</v>
      </c>
      <c r="M124" s="283">
        <f t="shared" si="2"/>
        <v>0.21945843828715364</v>
      </c>
      <c r="N124" s="282">
        <v>1700</v>
      </c>
      <c r="O124" s="282"/>
      <c r="P124" s="282">
        <v>2001</v>
      </c>
      <c r="Q124" s="282">
        <f>2023-Table28[[#This Row],[year_built]]</f>
        <v>22</v>
      </c>
      <c r="R124" s="282">
        <v>455.69</v>
      </c>
      <c r="S124" s="282" t="s">
        <v>4997</v>
      </c>
      <c r="T124" s="282" t="s">
        <v>4979</v>
      </c>
      <c r="U124" s="282">
        <v>2019</v>
      </c>
      <c r="V124" s="284">
        <f t="shared" si="3"/>
        <v>0.2680529411764706</v>
      </c>
      <c r="W124" s="292">
        <f>Table28[[#This Row],[$/sqft]]/INDEX(CPI!$A$3:$C$31,MATCH(Table28[[#This Row],[start_year]],CPI!$A$3:$A$31,0),3)</f>
        <v>0.31879115921691326</v>
      </c>
      <c r="X124" s="282" t="s">
        <v>4844</v>
      </c>
      <c r="Y124" s="282"/>
      <c r="Z124" s="282" t="s">
        <v>4840</v>
      </c>
      <c r="AA124" s="282">
        <v>21.945843830000001</v>
      </c>
      <c r="AB124" s="55" t="s">
        <v>72</v>
      </c>
      <c r="AC124" t="s">
        <v>71</v>
      </c>
    </row>
    <row r="125" spans="1:29" x14ac:dyDescent="0.2">
      <c r="A125" s="282">
        <v>5176</v>
      </c>
      <c r="B125" s="282">
        <v>13071</v>
      </c>
      <c r="C125" s="282" t="s">
        <v>3410</v>
      </c>
      <c r="D125" s="282" t="str">
        <f>IF(Table28[[#This Row],[% Leakage Reduction (Calculated)]]&gt;0.4, "Greater than 40% Air Reduction", "Less than 40% Air Reduction")</f>
        <v>Less than 40% Air Reduction</v>
      </c>
      <c r="E125" s="282" t="s">
        <v>4831</v>
      </c>
      <c r="F125" s="282" t="s">
        <v>4832</v>
      </c>
      <c r="G125" s="282" t="s">
        <v>4833</v>
      </c>
      <c r="H125" s="282" t="s">
        <v>4972</v>
      </c>
      <c r="I125" s="282">
        <v>3281</v>
      </c>
      <c r="J125" s="282" t="s">
        <v>4852</v>
      </c>
      <c r="K125" s="282">
        <v>2776</v>
      </c>
      <c r="L125" s="282" t="s">
        <v>4853</v>
      </c>
      <c r="M125" s="283">
        <f t="shared" si="2"/>
        <v>0.15391648887534287</v>
      </c>
      <c r="N125" s="282">
        <v>1800</v>
      </c>
      <c r="O125" s="282"/>
      <c r="P125" s="282">
        <v>1997</v>
      </c>
      <c r="Q125" s="282">
        <f>2023-Table28[[#This Row],[year_built]]</f>
        <v>26</v>
      </c>
      <c r="R125" s="282">
        <v>476.88</v>
      </c>
      <c r="S125" s="282" t="s">
        <v>4978</v>
      </c>
      <c r="T125" s="282" t="s">
        <v>4979</v>
      </c>
      <c r="U125" s="282">
        <v>2018</v>
      </c>
      <c r="V125" s="284">
        <f t="shared" si="3"/>
        <v>0.26493333333333335</v>
      </c>
      <c r="W125" s="292">
        <f>Table28[[#This Row],[$/sqft]]/INDEX(CPI!$A$3:$C$31,MATCH(Table28[[#This Row],[start_year]],CPI!$A$3:$A$31,0),3)</f>
        <v>0.32085315279437149</v>
      </c>
      <c r="X125" s="282" t="s">
        <v>4844</v>
      </c>
      <c r="Y125" s="282"/>
      <c r="Z125" s="282" t="s">
        <v>4840</v>
      </c>
      <c r="AA125" s="282">
        <v>15.391648890000001</v>
      </c>
      <c r="AB125" s="55" t="s">
        <v>72</v>
      </c>
      <c r="AC125" t="s">
        <v>71</v>
      </c>
    </row>
    <row r="126" spans="1:29" x14ac:dyDescent="0.2">
      <c r="A126" s="282">
        <v>5081</v>
      </c>
      <c r="B126" s="282">
        <v>12492</v>
      </c>
      <c r="C126" s="282" t="s">
        <v>3410</v>
      </c>
      <c r="D126" s="282" t="str">
        <f>IF(Table28[[#This Row],[% Leakage Reduction (Calculated)]]&gt;0.4, "Greater than 40% Air Reduction", "Less than 40% Air Reduction")</f>
        <v>Less than 40% Air Reduction</v>
      </c>
      <c r="E126" s="282" t="s">
        <v>4831</v>
      </c>
      <c r="F126" s="282" t="s">
        <v>4832</v>
      </c>
      <c r="G126" s="282" t="s">
        <v>4833</v>
      </c>
      <c r="H126" s="282" t="s">
        <v>4972</v>
      </c>
      <c r="I126" s="282">
        <v>2344</v>
      </c>
      <c r="J126" s="282" t="s">
        <v>4852</v>
      </c>
      <c r="K126" s="282">
        <v>1983</v>
      </c>
      <c r="L126" s="282" t="s">
        <v>4853</v>
      </c>
      <c r="M126" s="283">
        <f t="shared" si="2"/>
        <v>0.15401023890784982</v>
      </c>
      <c r="N126" s="282">
        <v>1758</v>
      </c>
      <c r="O126" s="282"/>
      <c r="P126" s="282">
        <v>1995</v>
      </c>
      <c r="Q126" s="282">
        <f>2023-Table28[[#This Row],[year_built]]</f>
        <v>28</v>
      </c>
      <c r="R126" s="282">
        <v>475.48</v>
      </c>
      <c r="S126" s="282" t="s">
        <v>4992</v>
      </c>
      <c r="T126" s="282" t="s">
        <v>4979</v>
      </c>
      <c r="U126" s="282">
        <v>2019</v>
      </c>
      <c r="V126" s="284">
        <f t="shared" si="3"/>
        <v>0.2704664391353811</v>
      </c>
      <c r="W126" s="292">
        <f>Table28[[#This Row],[$/sqft]]/INDEX(CPI!$A$3:$C$31,MATCH(Table28[[#This Row],[start_year]],CPI!$A$3:$A$31,0),3)</f>
        <v>0.32166149448990772</v>
      </c>
      <c r="X126" s="282" t="s">
        <v>1241</v>
      </c>
      <c r="Y126" s="282"/>
      <c r="Z126" s="282" t="s">
        <v>4840</v>
      </c>
      <c r="AA126" s="282">
        <v>15.401023889999999</v>
      </c>
      <c r="AB126" s="55" t="s">
        <v>72</v>
      </c>
      <c r="AC126" t="s">
        <v>71</v>
      </c>
    </row>
    <row r="127" spans="1:29" x14ac:dyDescent="0.2">
      <c r="A127" s="282">
        <v>3093</v>
      </c>
      <c r="B127" s="282">
        <v>9417</v>
      </c>
      <c r="C127" s="282" t="s">
        <v>3410</v>
      </c>
      <c r="D127" s="282" t="str">
        <f>IF(Table28[[#This Row],[% Leakage Reduction (Calculated)]]&gt;0.4, "Greater than 40% Air Reduction", "Less than 40% Air Reduction")</f>
        <v>Greater than 40% Air Reduction</v>
      </c>
      <c r="E127" s="282" t="s">
        <v>4831</v>
      </c>
      <c r="F127" s="282" t="s">
        <v>4832</v>
      </c>
      <c r="G127" s="282" t="s">
        <v>4833</v>
      </c>
      <c r="H127" s="282" t="s">
        <v>4838</v>
      </c>
      <c r="I127" s="282">
        <v>23.16</v>
      </c>
      <c r="J127" s="282" t="s">
        <v>4834</v>
      </c>
      <c r="K127" s="282">
        <v>10.62</v>
      </c>
      <c r="L127" s="282" t="s">
        <v>4835</v>
      </c>
      <c r="M127" s="283">
        <f t="shared" si="2"/>
        <v>0.54145077720207258</v>
      </c>
      <c r="N127" s="282">
        <v>1474</v>
      </c>
      <c r="O127" s="282">
        <v>1.71</v>
      </c>
      <c r="P127" s="282">
        <v>1955</v>
      </c>
      <c r="Q127" s="282">
        <f>2023-Table28[[#This Row],[year_built]]</f>
        <v>68</v>
      </c>
      <c r="R127" s="282">
        <v>400</v>
      </c>
      <c r="S127" s="282" t="s">
        <v>4934</v>
      </c>
      <c r="T127" s="282" t="s">
        <v>4906</v>
      </c>
      <c r="U127" s="282">
        <v>2019</v>
      </c>
      <c r="V127" s="284">
        <f t="shared" si="3"/>
        <v>0.27137042062415195</v>
      </c>
      <c r="W127" s="292">
        <f>Table28[[#This Row],[$/sqft]]/INDEX(CPI!$A$3:$C$31,MATCH(Table28[[#This Row],[start_year]],CPI!$A$3:$A$31,0),3)</f>
        <v>0.3227365854978671</v>
      </c>
      <c r="X127" s="282"/>
      <c r="Y127" s="282" t="s">
        <v>217</v>
      </c>
      <c r="Z127" s="282" t="s">
        <v>4907</v>
      </c>
      <c r="AA127" s="282">
        <v>54.145077720000003</v>
      </c>
      <c r="AB127" s="55" t="s">
        <v>72</v>
      </c>
      <c r="AC127" t="s">
        <v>71</v>
      </c>
    </row>
    <row r="128" spans="1:29" x14ac:dyDescent="0.2">
      <c r="A128" s="282">
        <v>5024</v>
      </c>
      <c r="B128" s="282">
        <v>12146</v>
      </c>
      <c r="C128" s="282" t="s">
        <v>3410</v>
      </c>
      <c r="D128" s="282" t="str">
        <f>IF(Table28[[#This Row],[% Leakage Reduction (Calculated)]]&gt;0.4, "Greater than 40% Air Reduction", "Less than 40% Air Reduction")</f>
        <v>Less than 40% Air Reduction</v>
      </c>
      <c r="E128" s="282" t="s">
        <v>4831</v>
      </c>
      <c r="F128" s="282" t="s">
        <v>4832</v>
      </c>
      <c r="G128" s="282" t="s">
        <v>4833</v>
      </c>
      <c r="H128" s="282" t="s">
        <v>4972</v>
      </c>
      <c r="I128" s="282">
        <v>2072</v>
      </c>
      <c r="J128" s="282" t="s">
        <v>4852</v>
      </c>
      <c r="K128" s="282">
        <v>1826</v>
      </c>
      <c r="L128" s="282" t="s">
        <v>4853</v>
      </c>
      <c r="M128" s="283">
        <f t="shared" si="2"/>
        <v>0.11872586872586872</v>
      </c>
      <c r="N128" s="282">
        <v>1630</v>
      </c>
      <c r="O128" s="282"/>
      <c r="P128" s="282">
        <v>2006</v>
      </c>
      <c r="Q128" s="282">
        <f>2023-Table28[[#This Row],[year_built]]</f>
        <v>17</v>
      </c>
      <c r="R128" s="282">
        <v>448.36</v>
      </c>
      <c r="S128" s="282" t="s">
        <v>4960</v>
      </c>
      <c r="T128" s="282" t="s">
        <v>4979</v>
      </c>
      <c r="U128" s="282">
        <v>2020</v>
      </c>
      <c r="V128" s="284">
        <f t="shared" si="3"/>
        <v>0.27506748466257669</v>
      </c>
      <c r="W128" s="292">
        <f>Table28[[#This Row],[$/sqft]]/INDEX(CPI!$A$3:$C$31,MATCH(Table28[[#This Row],[start_year]],CPI!$A$3:$A$31,0),3)</f>
        <v>0.32321492305212357</v>
      </c>
      <c r="X128" s="282" t="s">
        <v>4844</v>
      </c>
      <c r="Y128" s="282"/>
      <c r="Z128" s="282" t="s">
        <v>4840</v>
      </c>
      <c r="AA128" s="282">
        <v>11.872586869999999</v>
      </c>
      <c r="AB128" s="55" t="s">
        <v>72</v>
      </c>
      <c r="AC128" t="s">
        <v>71</v>
      </c>
    </row>
    <row r="129" spans="1:29" x14ac:dyDescent="0.2">
      <c r="A129" s="282">
        <v>5006</v>
      </c>
      <c r="B129" s="282">
        <v>12036</v>
      </c>
      <c r="C129" s="282" t="s">
        <v>3410</v>
      </c>
      <c r="D129" s="282" t="str">
        <f>IF(Table28[[#This Row],[% Leakage Reduction (Calculated)]]&gt;0.4, "Greater than 40% Air Reduction", "Less than 40% Air Reduction")</f>
        <v>Less than 40% Air Reduction</v>
      </c>
      <c r="E129" s="282" t="s">
        <v>4831</v>
      </c>
      <c r="F129" s="282" t="s">
        <v>4832</v>
      </c>
      <c r="G129" s="282" t="s">
        <v>4833</v>
      </c>
      <c r="H129" s="282" t="s">
        <v>4838</v>
      </c>
      <c r="I129" s="282">
        <v>4915</v>
      </c>
      <c r="J129" s="282" t="s">
        <v>4852</v>
      </c>
      <c r="K129" s="282">
        <v>3972</v>
      </c>
      <c r="L129" s="282" t="s">
        <v>4853</v>
      </c>
      <c r="M129" s="283">
        <f t="shared" si="2"/>
        <v>0.1918616480162767</v>
      </c>
      <c r="N129" s="282">
        <v>1900</v>
      </c>
      <c r="O129" s="282"/>
      <c r="P129" s="282">
        <v>2000</v>
      </c>
      <c r="Q129" s="282">
        <f>2023-Table28[[#This Row],[year_built]]</f>
        <v>23</v>
      </c>
      <c r="R129" s="282">
        <v>523.05999999999995</v>
      </c>
      <c r="S129" s="282" t="s">
        <v>4980</v>
      </c>
      <c r="T129" s="282" t="s">
        <v>4979</v>
      </c>
      <c r="U129" s="282">
        <v>2020</v>
      </c>
      <c r="V129" s="284">
        <f t="shared" si="3"/>
        <v>0.27529473684210526</v>
      </c>
      <c r="W129" s="292">
        <f>Table28[[#This Row],[$/sqft]]/INDEX(CPI!$A$3:$C$31,MATCH(Table28[[#This Row],[start_year]],CPI!$A$3:$A$31,0),3)</f>
        <v>0.32348195314406575</v>
      </c>
      <c r="X129" s="282" t="s">
        <v>4844</v>
      </c>
      <c r="Y129" s="282"/>
      <c r="Z129" s="282" t="s">
        <v>4840</v>
      </c>
      <c r="AA129" s="282">
        <v>19.1861648</v>
      </c>
      <c r="AB129" s="55" t="s">
        <v>72</v>
      </c>
      <c r="AC129" t="s">
        <v>71</v>
      </c>
    </row>
    <row r="130" spans="1:29" x14ac:dyDescent="0.2">
      <c r="A130" s="282">
        <v>5023</v>
      </c>
      <c r="B130" s="282">
        <v>12139</v>
      </c>
      <c r="C130" s="282" t="s">
        <v>3410</v>
      </c>
      <c r="D130" s="282" t="str">
        <f>IF(Table28[[#This Row],[% Leakage Reduction (Calculated)]]&gt;0.4, "Greater than 40% Air Reduction", "Less than 40% Air Reduction")</f>
        <v>Less than 40% Air Reduction</v>
      </c>
      <c r="E130" s="282" t="s">
        <v>4831</v>
      </c>
      <c r="F130" s="282" t="s">
        <v>4832</v>
      </c>
      <c r="G130" s="282" t="s">
        <v>4833</v>
      </c>
      <c r="H130" s="282" t="s">
        <v>4972</v>
      </c>
      <c r="I130" s="282">
        <v>1972</v>
      </c>
      <c r="J130" s="282" t="s">
        <v>4852</v>
      </c>
      <c r="K130" s="282">
        <v>1694</v>
      </c>
      <c r="L130" s="282" t="s">
        <v>4853</v>
      </c>
      <c r="M130" s="283">
        <f t="shared" si="2"/>
        <v>0.14097363083164299</v>
      </c>
      <c r="N130" s="282">
        <v>1500</v>
      </c>
      <c r="O130" s="282"/>
      <c r="P130" s="282">
        <v>1999</v>
      </c>
      <c r="Q130" s="282">
        <f>2023-Table28[[#This Row],[year_built]]</f>
        <v>24</v>
      </c>
      <c r="R130" s="282">
        <v>408.31</v>
      </c>
      <c r="S130" s="282" t="s">
        <v>4982</v>
      </c>
      <c r="T130" s="282" t="s">
        <v>4979</v>
      </c>
      <c r="U130" s="282">
        <v>2019</v>
      </c>
      <c r="V130" s="284">
        <f t="shared" si="3"/>
        <v>0.27220666666666665</v>
      </c>
      <c r="W130" s="292">
        <f>Table28[[#This Row],[$/sqft]]/INDEX(CPI!$A$3:$C$31,MATCH(Table28[[#This Row],[start_year]],CPI!$A$3:$A$31,0),3)</f>
        <v>0.32373111980185115</v>
      </c>
      <c r="X130" s="282" t="s">
        <v>4844</v>
      </c>
      <c r="Y130" s="282"/>
      <c r="Z130" s="282" t="s">
        <v>4840</v>
      </c>
      <c r="AA130" s="282">
        <v>14.097363079999999</v>
      </c>
      <c r="AB130" s="55" t="s">
        <v>72</v>
      </c>
      <c r="AC130" t="s">
        <v>71</v>
      </c>
    </row>
    <row r="131" spans="1:29" x14ac:dyDescent="0.2">
      <c r="A131" s="282">
        <v>5225</v>
      </c>
      <c r="B131" s="282">
        <v>13338</v>
      </c>
      <c r="C131" s="282" t="s">
        <v>3410</v>
      </c>
      <c r="D131" s="282" t="str">
        <f>IF(Table28[[#This Row],[% Leakage Reduction (Calculated)]]&gt;0.4, "Greater than 40% Air Reduction", "Less than 40% Air Reduction")</f>
        <v>Less than 40% Air Reduction</v>
      </c>
      <c r="E131" s="282" t="s">
        <v>4831</v>
      </c>
      <c r="F131" s="282" t="s">
        <v>4832</v>
      </c>
      <c r="G131" s="282" t="s">
        <v>4833</v>
      </c>
      <c r="H131" s="282" t="s">
        <v>4972</v>
      </c>
      <c r="I131" s="282">
        <v>3626</v>
      </c>
      <c r="J131" s="282" t="s">
        <v>4852</v>
      </c>
      <c r="K131" s="282">
        <v>2637</v>
      </c>
      <c r="L131" s="282" t="s">
        <v>4853</v>
      </c>
      <c r="M131" s="283">
        <f t="shared" si="2"/>
        <v>0.2727523441809156</v>
      </c>
      <c r="N131" s="282">
        <v>1820</v>
      </c>
      <c r="O131" s="282"/>
      <c r="P131" s="282">
        <v>1997</v>
      </c>
      <c r="Q131" s="282">
        <f>2023-Table28[[#This Row],[year_built]]</f>
        <v>26</v>
      </c>
      <c r="R131" s="282">
        <v>489.75</v>
      </c>
      <c r="S131" s="282" t="s">
        <v>4978</v>
      </c>
      <c r="T131" s="282" t="s">
        <v>4979</v>
      </c>
      <c r="U131" s="282">
        <v>2018</v>
      </c>
      <c r="V131" s="284">
        <f t="shared" si="3"/>
        <v>0.26909340659340658</v>
      </c>
      <c r="W131" s="292">
        <f>Table28[[#This Row],[$/sqft]]/INDEX(CPI!$A$3:$C$31,MATCH(Table28[[#This Row],[start_year]],CPI!$A$3:$A$31,0),3)</f>
        <v>0.32589129806871742</v>
      </c>
      <c r="X131" s="282" t="s">
        <v>4844</v>
      </c>
      <c r="Y131" s="282"/>
      <c r="Z131" s="282" t="s">
        <v>4840</v>
      </c>
      <c r="AA131" s="282">
        <v>27.27523442</v>
      </c>
      <c r="AB131" s="55" t="s">
        <v>72</v>
      </c>
      <c r="AC131" t="s">
        <v>71</v>
      </c>
    </row>
    <row r="132" spans="1:29" x14ac:dyDescent="0.2">
      <c r="A132" s="282">
        <v>5139</v>
      </c>
      <c r="B132" s="282">
        <v>12845</v>
      </c>
      <c r="C132" s="282" t="s">
        <v>3410</v>
      </c>
      <c r="D132" s="282" t="str">
        <f>IF(Table28[[#This Row],[% Leakage Reduction (Calculated)]]&gt;0.4, "Greater than 40% Air Reduction", "Less than 40% Air Reduction")</f>
        <v>Less than 40% Air Reduction</v>
      </c>
      <c r="E132" s="282" t="s">
        <v>4831</v>
      </c>
      <c r="F132" s="282" t="s">
        <v>4832</v>
      </c>
      <c r="G132" s="282" t="s">
        <v>4833</v>
      </c>
      <c r="H132" s="282" t="s">
        <v>4838</v>
      </c>
      <c r="I132" s="282">
        <v>5619</v>
      </c>
      <c r="J132" s="282" t="s">
        <v>4852</v>
      </c>
      <c r="K132" s="282">
        <v>4224</v>
      </c>
      <c r="L132" s="282" t="s">
        <v>4853</v>
      </c>
      <c r="M132" s="283">
        <f t="shared" ref="M132:M195" si="4">ABS((I132-K132)/I132)</f>
        <v>0.24826481580352375</v>
      </c>
      <c r="N132" s="282">
        <v>3900</v>
      </c>
      <c r="O132" s="282"/>
      <c r="P132" s="282">
        <v>2004</v>
      </c>
      <c r="Q132" s="282">
        <f>2023-Table28[[#This Row],[year_built]]</f>
        <v>19</v>
      </c>
      <c r="R132" s="282">
        <v>1050.31</v>
      </c>
      <c r="S132" s="282" t="s">
        <v>4900</v>
      </c>
      <c r="T132" s="282" t="s">
        <v>4979</v>
      </c>
      <c r="U132" s="282">
        <v>2018</v>
      </c>
      <c r="V132" s="284">
        <f t="shared" ref="V132:V195" si="5">IFERROR(IF(R132/N132&lt;&gt;0, R132/N132, ""), "")</f>
        <v>0.26931025641025641</v>
      </c>
      <c r="W132" s="292">
        <f>Table28[[#This Row],[$/sqft]]/INDEX(CPI!$A$3:$C$31,MATCH(Table28[[#This Row],[start_year]],CPI!$A$3:$A$31,0),3)</f>
        <v>0.32615391865535237</v>
      </c>
      <c r="X132" s="282" t="s">
        <v>4844</v>
      </c>
      <c r="Y132" s="282"/>
      <c r="Z132" s="282" t="s">
        <v>4840</v>
      </c>
      <c r="AA132" s="282">
        <v>24.826481579999999</v>
      </c>
      <c r="AB132" s="55" t="s">
        <v>72</v>
      </c>
      <c r="AC132" t="s">
        <v>71</v>
      </c>
    </row>
    <row r="133" spans="1:29" x14ac:dyDescent="0.2">
      <c r="A133" s="282">
        <v>5267</v>
      </c>
      <c r="B133" s="282">
        <v>13567</v>
      </c>
      <c r="C133" s="282" t="s">
        <v>3410</v>
      </c>
      <c r="D133" s="282" t="str">
        <f>IF(Table28[[#This Row],[% Leakage Reduction (Calculated)]]&gt;0.4, "Greater than 40% Air Reduction", "Less than 40% Air Reduction")</f>
        <v>Greater than 40% Air Reduction</v>
      </c>
      <c r="E133" s="282" t="s">
        <v>4831</v>
      </c>
      <c r="F133" s="282" t="s">
        <v>4832</v>
      </c>
      <c r="G133" s="282" t="s">
        <v>4833</v>
      </c>
      <c r="H133" s="282" t="s">
        <v>4838</v>
      </c>
      <c r="I133" s="282">
        <v>4544</v>
      </c>
      <c r="J133" s="282" t="s">
        <v>4852</v>
      </c>
      <c r="K133" s="282">
        <v>2460</v>
      </c>
      <c r="L133" s="282" t="s">
        <v>4853</v>
      </c>
      <c r="M133" s="283">
        <f t="shared" si="4"/>
        <v>0.45862676056338031</v>
      </c>
      <c r="N133" s="282">
        <v>1500</v>
      </c>
      <c r="O133" s="282"/>
      <c r="P133" s="282">
        <v>1996</v>
      </c>
      <c r="Q133" s="282">
        <f>2023-Table28[[#This Row],[year_built]]</f>
        <v>27</v>
      </c>
      <c r="R133" s="282">
        <v>413.31</v>
      </c>
      <c r="S133" s="282" t="s">
        <v>4981</v>
      </c>
      <c r="T133" s="282" t="s">
        <v>4979</v>
      </c>
      <c r="U133" s="282">
        <v>2019</v>
      </c>
      <c r="V133" s="284">
        <f t="shared" si="5"/>
        <v>0.27554000000000001</v>
      </c>
      <c r="W133" s="292">
        <f>Table28[[#This Row],[$/sqft]]/INDEX(CPI!$A$3:$C$31,MATCH(Table28[[#This Row],[start_year]],CPI!$A$3:$A$31,0),3)</f>
        <v>0.32769540086038329</v>
      </c>
      <c r="X133" s="282" t="s">
        <v>4844</v>
      </c>
      <c r="Y133" s="282"/>
      <c r="Z133" s="282" t="s">
        <v>4840</v>
      </c>
      <c r="AA133" s="282">
        <v>45.862676059999998</v>
      </c>
      <c r="AB133" s="55" t="s">
        <v>72</v>
      </c>
      <c r="AC133" t="s">
        <v>71</v>
      </c>
    </row>
    <row r="134" spans="1:29" x14ac:dyDescent="0.2">
      <c r="A134" s="282">
        <v>3158</v>
      </c>
      <c r="B134" s="282">
        <v>9644</v>
      </c>
      <c r="C134" s="282" t="s">
        <v>3410</v>
      </c>
      <c r="D134" s="282" t="str">
        <f>IF(Table28[[#This Row],[% Leakage Reduction (Calculated)]]&gt;0.4, "Greater than 40% Air Reduction", "Less than 40% Air Reduction")</f>
        <v>Less than 40% Air Reduction</v>
      </c>
      <c r="E134" s="282" t="s">
        <v>4831</v>
      </c>
      <c r="F134" s="282" t="s">
        <v>4832</v>
      </c>
      <c r="G134" s="282" t="s">
        <v>4833</v>
      </c>
      <c r="H134" s="282" t="s">
        <v>4838</v>
      </c>
      <c r="I134" s="282">
        <v>13.8</v>
      </c>
      <c r="J134" s="282" t="s">
        <v>4834</v>
      </c>
      <c r="K134" s="282">
        <v>9.4700000000000006</v>
      </c>
      <c r="L134" s="282" t="s">
        <v>4835</v>
      </c>
      <c r="M134" s="283">
        <f t="shared" si="4"/>
        <v>0.31376811594202897</v>
      </c>
      <c r="N134" s="282">
        <v>3603</v>
      </c>
      <c r="O134" s="282">
        <v>2.75</v>
      </c>
      <c r="P134" s="282">
        <v>1890</v>
      </c>
      <c r="Q134" s="282">
        <f>2023-Table28[[#This Row],[year_built]]</f>
        <v>133</v>
      </c>
      <c r="R134" s="282">
        <v>1000</v>
      </c>
      <c r="S134" s="282" t="s">
        <v>4954</v>
      </c>
      <c r="T134" s="282" t="s">
        <v>4906</v>
      </c>
      <c r="U134" s="282">
        <v>2019</v>
      </c>
      <c r="V134" s="284">
        <f t="shared" si="5"/>
        <v>0.2775464890369137</v>
      </c>
      <c r="W134" s="292">
        <f>Table28[[#This Row],[$/sqft]]/INDEX(CPI!$A$3:$C$31,MATCH(Table28[[#This Row],[start_year]],CPI!$A$3:$A$31,0),3)</f>
        <v>0.33008168680534011</v>
      </c>
      <c r="X134" s="282"/>
      <c r="Y134" s="282" t="s">
        <v>217</v>
      </c>
      <c r="Z134" s="282" t="s">
        <v>4907</v>
      </c>
      <c r="AA134" s="282">
        <v>31.376811589999999</v>
      </c>
      <c r="AB134" s="55" t="s">
        <v>72</v>
      </c>
      <c r="AC134" t="s">
        <v>71</v>
      </c>
    </row>
    <row r="135" spans="1:29" x14ac:dyDescent="0.2">
      <c r="A135" s="282">
        <v>5043</v>
      </c>
      <c r="B135" s="282">
        <v>12263</v>
      </c>
      <c r="C135" s="282" t="s">
        <v>3410</v>
      </c>
      <c r="D135" s="282" t="str">
        <f>IF(Table28[[#This Row],[% Leakage Reduction (Calculated)]]&gt;0.4, "Greater than 40% Air Reduction", "Less than 40% Air Reduction")</f>
        <v>Less than 40% Air Reduction</v>
      </c>
      <c r="E135" s="282" t="s">
        <v>4831</v>
      </c>
      <c r="F135" s="282" t="s">
        <v>4832</v>
      </c>
      <c r="G135" s="282" t="s">
        <v>4833</v>
      </c>
      <c r="H135" s="282" t="s">
        <v>4972</v>
      </c>
      <c r="I135" s="282">
        <v>2293</v>
      </c>
      <c r="J135" s="282" t="s">
        <v>4852</v>
      </c>
      <c r="K135" s="282">
        <v>2063</v>
      </c>
      <c r="L135" s="282" t="s">
        <v>4853</v>
      </c>
      <c r="M135" s="283">
        <f t="shared" si="4"/>
        <v>0.1003052769297863</v>
      </c>
      <c r="N135" s="282">
        <v>1800</v>
      </c>
      <c r="O135" s="282"/>
      <c r="P135" s="282">
        <v>2002</v>
      </c>
      <c r="Q135" s="282">
        <f>2023-Table28[[#This Row],[year_built]]</f>
        <v>21</v>
      </c>
      <c r="R135" s="282">
        <v>502.38</v>
      </c>
      <c r="S135" s="282" t="s">
        <v>4987</v>
      </c>
      <c r="T135" s="282" t="s">
        <v>4979</v>
      </c>
      <c r="U135" s="282">
        <v>2019</v>
      </c>
      <c r="V135" s="284">
        <f t="shared" si="5"/>
        <v>0.27910000000000001</v>
      </c>
      <c r="W135" s="292">
        <f>Table28[[#This Row],[$/sqft]]/INDEX(CPI!$A$3:$C$31,MATCH(Table28[[#This Row],[start_year]],CPI!$A$3:$A$31,0),3)</f>
        <v>0.3319292530308956</v>
      </c>
      <c r="X135" s="282" t="s">
        <v>1241</v>
      </c>
      <c r="Y135" s="282"/>
      <c r="Z135" s="282" t="s">
        <v>4840</v>
      </c>
      <c r="AA135" s="282">
        <v>10.03052769</v>
      </c>
      <c r="AB135" s="55" t="s">
        <v>72</v>
      </c>
      <c r="AC135" t="s">
        <v>71</v>
      </c>
    </row>
    <row r="136" spans="1:29" x14ac:dyDescent="0.2">
      <c r="A136" s="282">
        <v>5116</v>
      </c>
      <c r="B136" s="282">
        <v>12703</v>
      </c>
      <c r="C136" s="282" t="s">
        <v>3410</v>
      </c>
      <c r="D136" s="282" t="str">
        <f>IF(Table28[[#This Row],[% Leakage Reduction (Calculated)]]&gt;0.4, "Greater than 40% Air Reduction", "Less than 40% Air Reduction")</f>
        <v>Less than 40% Air Reduction</v>
      </c>
      <c r="E136" s="282" t="s">
        <v>4831</v>
      </c>
      <c r="F136" s="282" t="s">
        <v>4832</v>
      </c>
      <c r="G136" s="282" t="s">
        <v>4833</v>
      </c>
      <c r="H136" s="282" t="s">
        <v>4838</v>
      </c>
      <c r="I136" s="282">
        <v>2111</v>
      </c>
      <c r="J136" s="282" t="s">
        <v>4852</v>
      </c>
      <c r="K136" s="282">
        <v>1880</v>
      </c>
      <c r="L136" s="282" t="s">
        <v>4853</v>
      </c>
      <c r="M136" s="283">
        <f t="shared" si="4"/>
        <v>0.10942681193747039</v>
      </c>
      <c r="N136" s="282">
        <v>1550</v>
      </c>
      <c r="O136" s="282"/>
      <c r="P136" s="282">
        <v>1980</v>
      </c>
      <c r="Q136" s="282">
        <f>2023-Table28[[#This Row],[year_built]]</f>
        <v>43</v>
      </c>
      <c r="R136" s="282">
        <v>432.9</v>
      </c>
      <c r="S136" s="282" t="s">
        <v>4900</v>
      </c>
      <c r="T136" s="282" t="s">
        <v>4979</v>
      </c>
      <c r="U136" s="282">
        <v>2019</v>
      </c>
      <c r="V136" s="284">
        <f t="shared" si="5"/>
        <v>0.27929032258064512</v>
      </c>
      <c r="W136" s="292">
        <f>Table28[[#This Row],[$/sqft]]/INDEX(CPI!$A$3:$C$31,MATCH(Table28[[#This Row],[start_year]],CPI!$A$3:$A$31,0),3)</f>
        <v>0.33215560069133432</v>
      </c>
      <c r="X136" s="282" t="s">
        <v>4844</v>
      </c>
      <c r="Y136" s="282"/>
      <c r="Z136" s="282" t="s">
        <v>4840</v>
      </c>
      <c r="AA136" s="282">
        <v>10.94268119</v>
      </c>
      <c r="AB136" s="55" t="s">
        <v>72</v>
      </c>
      <c r="AC136" t="s">
        <v>71</v>
      </c>
    </row>
    <row r="137" spans="1:29" x14ac:dyDescent="0.2">
      <c r="A137" s="282">
        <v>3244</v>
      </c>
      <c r="B137" s="282">
        <v>9917</v>
      </c>
      <c r="C137" s="282" t="s">
        <v>3410</v>
      </c>
      <c r="D137" s="282" t="str">
        <f>IF(Table28[[#This Row],[% Leakage Reduction (Calculated)]]&gt;0.4, "Greater than 40% Air Reduction", "Less than 40% Air Reduction")</f>
        <v>Greater than 40% Air Reduction</v>
      </c>
      <c r="E137" s="282" t="s">
        <v>4831</v>
      </c>
      <c r="F137" s="282" t="s">
        <v>4832</v>
      </c>
      <c r="G137" s="282" t="s">
        <v>4833</v>
      </c>
      <c r="H137" s="282" t="s">
        <v>4838</v>
      </c>
      <c r="I137" s="282">
        <v>33.58</v>
      </c>
      <c r="J137" s="282" t="s">
        <v>4834</v>
      </c>
      <c r="K137" s="282">
        <v>8.4700000000000006</v>
      </c>
      <c r="L137" s="282" t="s">
        <v>4835</v>
      </c>
      <c r="M137" s="283">
        <f t="shared" si="4"/>
        <v>0.74776652769505658</v>
      </c>
      <c r="N137" s="282">
        <v>1768</v>
      </c>
      <c r="O137" s="282">
        <v>2.5</v>
      </c>
      <c r="P137" s="282">
        <v>1900</v>
      </c>
      <c r="Q137" s="282">
        <f>2023-Table28[[#This Row],[year_built]]</f>
        <v>123</v>
      </c>
      <c r="R137" s="282">
        <v>500</v>
      </c>
      <c r="S137" s="282" t="s">
        <v>4944</v>
      </c>
      <c r="T137" s="282" t="s">
        <v>4906</v>
      </c>
      <c r="U137" s="282">
        <v>2020</v>
      </c>
      <c r="V137" s="284">
        <f t="shared" si="5"/>
        <v>0.28280542986425339</v>
      </c>
      <c r="W137" s="292">
        <f>Table28[[#This Row],[$/sqft]]/INDEX(CPI!$A$3:$C$31,MATCH(Table28[[#This Row],[start_year]],CPI!$A$3:$A$31,0),3)</f>
        <v>0.33230730765733946</v>
      </c>
      <c r="X137" s="282"/>
      <c r="Y137" s="282" t="s">
        <v>217</v>
      </c>
      <c r="Z137" s="282" t="s">
        <v>4907</v>
      </c>
      <c r="AA137" s="282">
        <v>74.776652769999998</v>
      </c>
      <c r="AB137" s="55" t="s">
        <v>72</v>
      </c>
      <c r="AC137" t="s">
        <v>71</v>
      </c>
    </row>
    <row r="138" spans="1:29" x14ac:dyDescent="0.2">
      <c r="A138" s="282">
        <v>3340</v>
      </c>
      <c r="B138" s="282">
        <v>10197</v>
      </c>
      <c r="C138" s="282" t="s">
        <v>3410</v>
      </c>
      <c r="D138" s="282" t="str">
        <f>IF(Table28[[#This Row],[% Leakage Reduction (Calculated)]]&gt;0.4, "Greater than 40% Air Reduction", "Less than 40% Air Reduction")</f>
        <v>Less than 40% Air Reduction</v>
      </c>
      <c r="E138" s="282" t="s">
        <v>4831</v>
      </c>
      <c r="F138" s="282" t="s">
        <v>4832</v>
      </c>
      <c r="G138" s="282" t="s">
        <v>4833</v>
      </c>
      <c r="H138" s="282" t="s">
        <v>4838</v>
      </c>
      <c r="I138" s="282">
        <v>7.29</v>
      </c>
      <c r="J138" s="282" t="s">
        <v>4834</v>
      </c>
      <c r="K138" s="282">
        <v>6.13</v>
      </c>
      <c r="L138" s="282" t="s">
        <v>4835</v>
      </c>
      <c r="M138" s="283">
        <f t="shared" si="4"/>
        <v>0.15912208504801098</v>
      </c>
      <c r="N138" s="282">
        <v>3536</v>
      </c>
      <c r="O138" s="282">
        <v>1</v>
      </c>
      <c r="P138" s="282">
        <v>1971</v>
      </c>
      <c r="Q138" s="282">
        <f>2023-Table28[[#This Row],[year_built]]</f>
        <v>52</v>
      </c>
      <c r="R138" s="282">
        <v>1000</v>
      </c>
      <c r="S138" s="282" t="s">
        <v>4967</v>
      </c>
      <c r="T138" s="282" t="s">
        <v>4906</v>
      </c>
      <c r="U138" s="282">
        <v>2020</v>
      </c>
      <c r="V138" s="284">
        <f t="shared" si="5"/>
        <v>0.28280542986425339</v>
      </c>
      <c r="W138" s="292">
        <f>Table28[[#This Row],[$/sqft]]/INDEX(CPI!$A$3:$C$31,MATCH(Table28[[#This Row],[start_year]],CPI!$A$3:$A$31,0),3)</f>
        <v>0.33230730765733946</v>
      </c>
      <c r="X138" s="282"/>
      <c r="Y138" s="282" t="s">
        <v>217</v>
      </c>
      <c r="Z138" s="282" t="s">
        <v>4907</v>
      </c>
      <c r="AA138" s="282">
        <v>15.9122085</v>
      </c>
      <c r="AB138" s="55" t="s">
        <v>72</v>
      </c>
      <c r="AC138" t="s">
        <v>71</v>
      </c>
    </row>
    <row r="139" spans="1:29" x14ac:dyDescent="0.2">
      <c r="A139" s="282">
        <v>5146</v>
      </c>
      <c r="B139" s="282">
        <v>12891</v>
      </c>
      <c r="C139" s="282" t="s">
        <v>3410</v>
      </c>
      <c r="D139" s="282" t="str">
        <f>IF(Table28[[#This Row],[% Leakage Reduction (Calculated)]]&gt;0.4, "Greater than 40% Air Reduction", "Less than 40% Air Reduction")</f>
        <v>Less than 40% Air Reduction</v>
      </c>
      <c r="E139" s="282" t="s">
        <v>4831</v>
      </c>
      <c r="F139" s="282" t="s">
        <v>4832</v>
      </c>
      <c r="G139" s="282" t="s">
        <v>4833</v>
      </c>
      <c r="H139" s="282" t="s">
        <v>4972</v>
      </c>
      <c r="I139" s="282">
        <v>3536</v>
      </c>
      <c r="J139" s="282" t="s">
        <v>4852</v>
      </c>
      <c r="K139" s="282">
        <v>2890</v>
      </c>
      <c r="L139" s="282" t="s">
        <v>4853</v>
      </c>
      <c r="M139" s="283">
        <f t="shared" si="4"/>
        <v>0.18269230769230768</v>
      </c>
      <c r="N139" s="282">
        <v>1500</v>
      </c>
      <c r="O139" s="282"/>
      <c r="P139" s="282">
        <v>1995</v>
      </c>
      <c r="Q139" s="282">
        <f>2023-Table28[[#This Row],[year_built]]</f>
        <v>28</v>
      </c>
      <c r="R139" s="282">
        <v>420.31</v>
      </c>
      <c r="S139" s="282" t="s">
        <v>4900</v>
      </c>
      <c r="T139" s="282" t="s">
        <v>4979</v>
      </c>
      <c r="U139" s="282">
        <v>2019</v>
      </c>
      <c r="V139" s="284">
        <f t="shared" si="5"/>
        <v>0.28020666666666666</v>
      </c>
      <c r="W139" s="292">
        <f>Table28[[#This Row],[$/sqft]]/INDEX(CPI!$A$3:$C$31,MATCH(Table28[[#This Row],[start_year]],CPI!$A$3:$A$31,0),3)</f>
        <v>0.33324539434232825</v>
      </c>
      <c r="X139" s="282" t="s">
        <v>4844</v>
      </c>
      <c r="Y139" s="282"/>
      <c r="Z139" s="282" t="s">
        <v>4840</v>
      </c>
      <c r="AA139" s="282">
        <v>18.26923077</v>
      </c>
      <c r="AB139" s="55" t="s">
        <v>72</v>
      </c>
      <c r="AC139" t="s">
        <v>71</v>
      </c>
    </row>
    <row r="140" spans="1:29" x14ac:dyDescent="0.2">
      <c r="A140" s="282">
        <v>5016</v>
      </c>
      <c r="B140" s="282">
        <v>12095</v>
      </c>
      <c r="C140" s="282" t="s">
        <v>3410</v>
      </c>
      <c r="D140" s="282" t="str">
        <f>IF(Table28[[#This Row],[% Leakage Reduction (Calculated)]]&gt;0.4, "Greater than 40% Air Reduction", "Less than 40% Air Reduction")</f>
        <v>Less than 40% Air Reduction</v>
      </c>
      <c r="E140" s="282" t="s">
        <v>4831</v>
      </c>
      <c r="F140" s="282" t="s">
        <v>4832</v>
      </c>
      <c r="G140" s="282" t="s">
        <v>4833</v>
      </c>
      <c r="H140" s="282" t="s">
        <v>4972</v>
      </c>
      <c r="I140" s="282">
        <v>3257</v>
      </c>
      <c r="J140" s="282" t="s">
        <v>4852</v>
      </c>
      <c r="K140" s="282">
        <v>2552</v>
      </c>
      <c r="L140" s="282" t="s">
        <v>4853</v>
      </c>
      <c r="M140" s="283">
        <f t="shared" si="4"/>
        <v>0.21645686214307644</v>
      </c>
      <c r="N140" s="282">
        <v>2000</v>
      </c>
      <c r="O140" s="282"/>
      <c r="P140" s="282">
        <v>1996</v>
      </c>
      <c r="Q140" s="282">
        <f>2023-Table28[[#This Row],[year_built]]</f>
        <v>27</v>
      </c>
      <c r="R140" s="282">
        <v>552.75</v>
      </c>
      <c r="S140" s="282" t="s">
        <v>4982</v>
      </c>
      <c r="T140" s="282" t="s">
        <v>4979</v>
      </c>
      <c r="U140" s="282">
        <v>2018</v>
      </c>
      <c r="V140" s="284">
        <f t="shared" si="5"/>
        <v>0.27637499999999998</v>
      </c>
      <c r="W140" s="292">
        <f>Table28[[#This Row],[$/sqft]]/INDEX(CPI!$A$3:$C$31,MATCH(Table28[[#This Row],[start_year]],CPI!$A$3:$A$31,0),3)</f>
        <v>0.33470982676224614</v>
      </c>
      <c r="X140" s="282" t="s">
        <v>1241</v>
      </c>
      <c r="Y140" s="282"/>
      <c r="Z140" s="282" t="s">
        <v>4840</v>
      </c>
      <c r="AA140" s="282">
        <v>21.645686210000001</v>
      </c>
      <c r="AB140" s="55" t="s">
        <v>72</v>
      </c>
      <c r="AC140" t="s">
        <v>71</v>
      </c>
    </row>
    <row r="141" spans="1:29" x14ac:dyDescent="0.2">
      <c r="A141" s="282">
        <v>5147</v>
      </c>
      <c r="B141" s="282">
        <v>12898</v>
      </c>
      <c r="C141" s="282" t="s">
        <v>3410</v>
      </c>
      <c r="D141" s="282" t="str">
        <f>IF(Table28[[#This Row],[% Leakage Reduction (Calculated)]]&gt;0.4, "Greater than 40% Air Reduction", "Less than 40% Air Reduction")</f>
        <v>Less than 40% Air Reduction</v>
      </c>
      <c r="E141" s="282" t="s">
        <v>4831</v>
      </c>
      <c r="F141" s="282" t="s">
        <v>4832</v>
      </c>
      <c r="G141" s="282" t="s">
        <v>4833</v>
      </c>
      <c r="H141" s="282" t="s">
        <v>4972</v>
      </c>
      <c r="I141" s="282">
        <v>2221</v>
      </c>
      <c r="J141" s="282" t="s">
        <v>4852</v>
      </c>
      <c r="K141" s="282">
        <v>1896</v>
      </c>
      <c r="L141" s="282" t="s">
        <v>4853</v>
      </c>
      <c r="M141" s="283">
        <f t="shared" si="4"/>
        <v>0.14633048176497074</v>
      </c>
      <c r="N141" s="282">
        <v>2000</v>
      </c>
      <c r="O141" s="282"/>
      <c r="P141" s="282">
        <v>1998</v>
      </c>
      <c r="Q141" s="282">
        <f>2023-Table28[[#This Row],[year_built]]</f>
        <v>25</v>
      </c>
      <c r="R141" s="282">
        <v>552.75</v>
      </c>
      <c r="S141" s="282" t="s">
        <v>4988</v>
      </c>
      <c r="T141" s="282" t="s">
        <v>4979</v>
      </c>
      <c r="U141" s="282">
        <v>2018</v>
      </c>
      <c r="V141" s="284">
        <f t="shared" si="5"/>
        <v>0.27637499999999998</v>
      </c>
      <c r="W141" s="292">
        <f>Table28[[#This Row],[$/sqft]]/INDEX(CPI!$A$3:$C$31,MATCH(Table28[[#This Row],[start_year]],CPI!$A$3:$A$31,0),3)</f>
        <v>0.33470982676224614</v>
      </c>
      <c r="X141" s="282" t="s">
        <v>4844</v>
      </c>
      <c r="Y141" s="282"/>
      <c r="Z141" s="282" t="s">
        <v>4840</v>
      </c>
      <c r="AA141" s="282">
        <v>14.633048179999999</v>
      </c>
      <c r="AB141" s="55" t="s">
        <v>72</v>
      </c>
      <c r="AC141" t="s">
        <v>71</v>
      </c>
    </row>
    <row r="142" spans="1:29" x14ac:dyDescent="0.2">
      <c r="A142" s="282">
        <v>5164</v>
      </c>
      <c r="B142" s="282">
        <v>13000</v>
      </c>
      <c r="C142" s="282" t="s">
        <v>3410</v>
      </c>
      <c r="D142" s="282" t="str">
        <f>IF(Table28[[#This Row],[% Leakage Reduction (Calculated)]]&gt;0.4, "Greater than 40% Air Reduction", "Less than 40% Air Reduction")</f>
        <v>Less than 40% Air Reduction</v>
      </c>
      <c r="E142" s="282" t="s">
        <v>4831</v>
      </c>
      <c r="F142" s="282" t="s">
        <v>4832</v>
      </c>
      <c r="G142" s="282" t="s">
        <v>4833</v>
      </c>
      <c r="H142" s="282" t="s">
        <v>4972</v>
      </c>
      <c r="I142" s="282">
        <v>2654</v>
      </c>
      <c r="J142" s="282" t="s">
        <v>4852</v>
      </c>
      <c r="K142" s="282">
        <v>2017</v>
      </c>
      <c r="L142" s="282" t="s">
        <v>4853</v>
      </c>
      <c r="M142" s="283">
        <f t="shared" si="4"/>
        <v>0.24001507159005275</v>
      </c>
      <c r="N142" s="282">
        <v>1900</v>
      </c>
      <c r="O142" s="282"/>
      <c r="P142" s="282">
        <v>2000</v>
      </c>
      <c r="Q142" s="282">
        <f>2023-Table28[[#This Row],[year_built]]</f>
        <v>23</v>
      </c>
      <c r="R142" s="282">
        <v>525.55999999999995</v>
      </c>
      <c r="S142" s="282" t="s">
        <v>4984</v>
      </c>
      <c r="T142" s="282" t="s">
        <v>4979</v>
      </c>
      <c r="U142" s="282">
        <v>2018</v>
      </c>
      <c r="V142" s="284">
        <f t="shared" si="5"/>
        <v>0.27661052631578942</v>
      </c>
      <c r="W142" s="292">
        <f>Table28[[#This Row],[$/sqft]]/INDEX(CPI!$A$3:$C$31,MATCH(Table28[[#This Row],[start_year]],CPI!$A$3:$A$31,0),3)</f>
        <v>0.33499506592047618</v>
      </c>
      <c r="X142" s="282" t="s">
        <v>1241</v>
      </c>
      <c r="Y142" s="282"/>
      <c r="Z142" s="282" t="s">
        <v>4840</v>
      </c>
      <c r="AA142" s="282">
        <v>24.001507159999999</v>
      </c>
      <c r="AB142" s="55" t="s">
        <v>72</v>
      </c>
      <c r="AC142" t="s">
        <v>71</v>
      </c>
    </row>
    <row r="143" spans="1:29" x14ac:dyDescent="0.2">
      <c r="A143" s="282">
        <v>5207</v>
      </c>
      <c r="B143" s="282">
        <v>13240</v>
      </c>
      <c r="C143" s="282" t="s">
        <v>3410</v>
      </c>
      <c r="D143" s="282" t="str">
        <f>IF(Table28[[#This Row],[% Leakage Reduction (Calculated)]]&gt;0.4, "Greater than 40% Air Reduction", "Less than 40% Air Reduction")</f>
        <v>Less than 40% Air Reduction</v>
      </c>
      <c r="E143" s="282" t="s">
        <v>4831</v>
      </c>
      <c r="F143" s="282" t="s">
        <v>4832</v>
      </c>
      <c r="G143" s="282" t="s">
        <v>4833</v>
      </c>
      <c r="H143" s="282" t="s">
        <v>4972</v>
      </c>
      <c r="I143" s="282">
        <v>2717</v>
      </c>
      <c r="J143" s="282" t="s">
        <v>4852</v>
      </c>
      <c r="K143" s="282">
        <v>2315</v>
      </c>
      <c r="L143" s="282" t="s">
        <v>4853</v>
      </c>
      <c r="M143" s="283">
        <f t="shared" si="4"/>
        <v>0.1479573058520427</v>
      </c>
      <c r="N143" s="282">
        <v>1700</v>
      </c>
      <c r="O143" s="282"/>
      <c r="P143" s="282">
        <v>2001</v>
      </c>
      <c r="Q143" s="282">
        <f>2023-Table28[[#This Row],[year_built]]</f>
        <v>22</v>
      </c>
      <c r="R143" s="282">
        <v>473.15</v>
      </c>
      <c r="S143" s="282" t="s">
        <v>4980</v>
      </c>
      <c r="T143" s="282" t="s">
        <v>4979</v>
      </c>
      <c r="U143" s="282">
        <v>2018</v>
      </c>
      <c r="V143" s="284">
        <f t="shared" si="5"/>
        <v>0.27832352941176469</v>
      </c>
      <c r="W143" s="292">
        <f>Table28[[#This Row],[$/sqft]]/INDEX(CPI!$A$3:$C$31,MATCH(Table28[[#This Row],[start_year]],CPI!$A$3:$A$31,0),3)</f>
        <v>0.33706963478342356</v>
      </c>
      <c r="X143" s="282" t="s">
        <v>4844</v>
      </c>
      <c r="Y143" s="282"/>
      <c r="Z143" s="282" t="s">
        <v>4840</v>
      </c>
      <c r="AA143" s="282">
        <v>14.79573059</v>
      </c>
      <c r="AB143" s="55" t="s">
        <v>72</v>
      </c>
      <c r="AC143" t="s">
        <v>71</v>
      </c>
    </row>
    <row r="144" spans="1:29" x14ac:dyDescent="0.2">
      <c r="A144" s="282">
        <v>5185</v>
      </c>
      <c r="B144" s="282">
        <v>13120</v>
      </c>
      <c r="C144" s="282" t="s">
        <v>3410</v>
      </c>
      <c r="D144" s="282" t="str">
        <f>IF(Table28[[#This Row],[% Leakage Reduction (Calculated)]]&gt;0.4, "Greater than 40% Air Reduction", "Less than 40% Air Reduction")</f>
        <v>Less than 40% Air Reduction</v>
      </c>
      <c r="E144" s="282" t="s">
        <v>4831</v>
      </c>
      <c r="F144" s="282" t="s">
        <v>4832</v>
      </c>
      <c r="G144" s="282" t="s">
        <v>4833</v>
      </c>
      <c r="H144" s="282" t="s">
        <v>4972</v>
      </c>
      <c r="I144" s="282">
        <v>4268</v>
      </c>
      <c r="J144" s="282" t="s">
        <v>4852</v>
      </c>
      <c r="K144" s="282">
        <v>3543</v>
      </c>
      <c r="L144" s="282" t="s">
        <v>4853</v>
      </c>
      <c r="M144" s="283">
        <f t="shared" si="4"/>
        <v>0.16986879100281163</v>
      </c>
      <c r="N144" s="282">
        <v>2120</v>
      </c>
      <c r="O144" s="282"/>
      <c r="P144" s="282">
        <v>1994</v>
      </c>
      <c r="Q144" s="282">
        <f>2023-Table28[[#This Row],[year_built]]</f>
        <v>29</v>
      </c>
      <c r="R144" s="282">
        <v>590.67999999999995</v>
      </c>
      <c r="S144" s="282" t="s">
        <v>4986</v>
      </c>
      <c r="T144" s="282" t="s">
        <v>4979</v>
      </c>
      <c r="U144" s="282">
        <v>2018</v>
      </c>
      <c r="V144" s="284">
        <f t="shared" si="5"/>
        <v>0.27862264150943394</v>
      </c>
      <c r="W144" s="292">
        <f>Table28[[#This Row],[$/sqft]]/INDEX(CPI!$A$3:$C$31,MATCH(Table28[[#This Row],[start_year]],CPI!$A$3:$A$31,0),3)</f>
        <v>0.33743188085630771</v>
      </c>
      <c r="X144" s="282" t="s">
        <v>4844</v>
      </c>
      <c r="Y144" s="282"/>
      <c r="Z144" s="282" t="s">
        <v>4840</v>
      </c>
      <c r="AA144" s="282">
        <v>16.986879099999999</v>
      </c>
      <c r="AB144" s="55" t="s">
        <v>72</v>
      </c>
      <c r="AC144" t="s">
        <v>71</v>
      </c>
    </row>
    <row r="145" spans="1:29" x14ac:dyDescent="0.2">
      <c r="A145" s="282">
        <v>3115</v>
      </c>
      <c r="B145" s="282">
        <v>9495</v>
      </c>
      <c r="C145" s="282" t="s">
        <v>3410</v>
      </c>
      <c r="D145" s="282" t="str">
        <f>IF(Table28[[#This Row],[% Leakage Reduction (Calculated)]]&gt;0.4, "Greater than 40% Air Reduction", "Less than 40% Air Reduction")</f>
        <v>Less than 40% Air Reduction</v>
      </c>
      <c r="E145" s="282" t="s">
        <v>4831</v>
      </c>
      <c r="F145" s="282" t="s">
        <v>4832</v>
      </c>
      <c r="G145" s="282" t="s">
        <v>4833</v>
      </c>
      <c r="H145" s="282" t="s">
        <v>4838</v>
      </c>
      <c r="I145" s="282">
        <v>15.5</v>
      </c>
      <c r="J145" s="282" t="s">
        <v>4834</v>
      </c>
      <c r="K145" s="282">
        <v>11.09</v>
      </c>
      <c r="L145" s="282" t="s">
        <v>4835</v>
      </c>
      <c r="M145" s="283">
        <f t="shared" si="4"/>
        <v>0.28451612903225809</v>
      </c>
      <c r="N145" s="282">
        <v>1900</v>
      </c>
      <c r="O145" s="282">
        <v>1.67</v>
      </c>
      <c r="P145" s="282">
        <v>1934</v>
      </c>
      <c r="Q145" s="282">
        <f>2023-Table28[[#This Row],[year_built]]</f>
        <v>89</v>
      </c>
      <c r="R145" s="282">
        <v>4000</v>
      </c>
      <c r="S145" s="282" t="s">
        <v>4908</v>
      </c>
      <c r="T145" s="282" t="s">
        <v>4906</v>
      </c>
      <c r="U145" s="282">
        <v>2020</v>
      </c>
      <c r="V145" s="284">
        <f t="shared" si="5"/>
        <v>2.1052631578947367</v>
      </c>
      <c r="W145" s="292">
        <f>Table28[[#This Row],[$/sqft]]/INDEX(CPI!$A$3:$C$31,MATCH(Table28[[#This Row],[start_year]],CPI!$A$3:$A$31,0),3)</f>
        <v>2.473765557634426</v>
      </c>
      <c r="X145" s="282"/>
      <c r="Y145" s="282" t="s">
        <v>217</v>
      </c>
      <c r="Z145" s="282" t="s">
        <v>4840</v>
      </c>
      <c r="AA145" s="282">
        <v>28.451612900000001</v>
      </c>
      <c r="AB145" s="55" t="s">
        <v>71</v>
      </c>
      <c r="AC145" t="s">
        <v>72</v>
      </c>
    </row>
    <row r="146" spans="1:29" x14ac:dyDescent="0.2">
      <c r="A146" s="282">
        <v>5062</v>
      </c>
      <c r="B146" s="282">
        <v>12382</v>
      </c>
      <c r="C146" s="282" t="s">
        <v>3410</v>
      </c>
      <c r="D146" s="282" t="str">
        <f>IF(Table28[[#This Row],[% Leakage Reduction (Calculated)]]&gt;0.4, "Greater than 40% Air Reduction", "Less than 40% Air Reduction")</f>
        <v>Less than 40% Air Reduction</v>
      </c>
      <c r="E146" s="282" t="s">
        <v>4831</v>
      </c>
      <c r="F146" s="282" t="s">
        <v>4832</v>
      </c>
      <c r="G146" s="282" t="s">
        <v>4833</v>
      </c>
      <c r="H146" s="282" t="s">
        <v>4838</v>
      </c>
      <c r="I146" s="282">
        <v>5616</v>
      </c>
      <c r="J146" s="282" t="s">
        <v>4852</v>
      </c>
      <c r="K146" s="282">
        <v>4822</v>
      </c>
      <c r="L146" s="282" t="s">
        <v>4853</v>
      </c>
      <c r="M146" s="283">
        <f t="shared" si="4"/>
        <v>0.14138176638176639</v>
      </c>
      <c r="N146" s="282">
        <v>2300</v>
      </c>
      <c r="O146" s="282"/>
      <c r="P146" s="282">
        <v>1985</v>
      </c>
      <c r="Q146" s="282">
        <f>2023-Table28[[#This Row],[year_built]]</f>
        <v>38</v>
      </c>
      <c r="R146" s="282">
        <v>641.30999999999995</v>
      </c>
      <c r="S146" s="282" t="s">
        <v>4982</v>
      </c>
      <c r="T146" s="282" t="s">
        <v>4979</v>
      </c>
      <c r="U146" s="282">
        <v>2018</v>
      </c>
      <c r="V146" s="284">
        <f t="shared" si="5"/>
        <v>0.27883043478260866</v>
      </c>
      <c r="W146" s="292">
        <f>Table28[[#This Row],[$/sqft]]/INDEX(CPI!$A$3:$C$31,MATCH(Table28[[#This Row],[start_year]],CPI!$A$3:$A$31,0),3)</f>
        <v>0.33768353332294426</v>
      </c>
      <c r="X146" s="282" t="s">
        <v>1241</v>
      </c>
      <c r="Y146" s="282"/>
      <c r="Z146" s="282" t="s">
        <v>4840</v>
      </c>
      <c r="AA146" s="282">
        <v>14.138176639999999</v>
      </c>
      <c r="AB146" s="55" t="s">
        <v>72</v>
      </c>
      <c r="AC146" t="s">
        <v>71</v>
      </c>
    </row>
    <row r="147" spans="1:29" x14ac:dyDescent="0.2">
      <c r="A147" s="282">
        <v>5033</v>
      </c>
      <c r="B147" s="282">
        <v>12206</v>
      </c>
      <c r="C147" s="282" t="s">
        <v>3410</v>
      </c>
      <c r="D147" s="282" t="str">
        <f>IF(Table28[[#This Row],[% Leakage Reduction (Calculated)]]&gt;0.4, "Greater than 40% Air Reduction", "Less than 40% Air Reduction")</f>
        <v>Less than 40% Air Reduction</v>
      </c>
      <c r="E147" s="282" t="s">
        <v>4831</v>
      </c>
      <c r="F147" s="282" t="s">
        <v>4832</v>
      </c>
      <c r="G147" s="282" t="s">
        <v>4833</v>
      </c>
      <c r="H147" s="282" t="s">
        <v>4838</v>
      </c>
      <c r="I147" s="282">
        <v>2143</v>
      </c>
      <c r="J147" s="282" t="s">
        <v>4852</v>
      </c>
      <c r="K147" s="282">
        <v>1738</v>
      </c>
      <c r="L147" s="282" t="s">
        <v>4853</v>
      </c>
      <c r="M147" s="283">
        <f t="shared" si="4"/>
        <v>0.188987400839944</v>
      </c>
      <c r="N147" s="282">
        <v>2010</v>
      </c>
      <c r="O147" s="282"/>
      <c r="P147" s="282">
        <v>2000</v>
      </c>
      <c r="Q147" s="282">
        <f>2023-Table28[[#This Row],[year_built]]</f>
        <v>23</v>
      </c>
      <c r="R147" s="282">
        <v>562.45000000000005</v>
      </c>
      <c r="S147" s="282" t="s">
        <v>4982</v>
      </c>
      <c r="T147" s="282" t="s">
        <v>4979</v>
      </c>
      <c r="U147" s="282">
        <v>2018</v>
      </c>
      <c r="V147" s="284">
        <f t="shared" si="5"/>
        <v>0.27982587064676617</v>
      </c>
      <c r="W147" s="292">
        <f>Table28[[#This Row],[$/sqft]]/INDEX(CPI!$A$3:$C$31,MATCH(Table28[[#This Row],[start_year]],CPI!$A$3:$A$31,0),3)</f>
        <v>0.33888907711541855</v>
      </c>
      <c r="X147" s="282" t="s">
        <v>4844</v>
      </c>
      <c r="Y147" s="282"/>
      <c r="Z147" s="282" t="s">
        <v>4840</v>
      </c>
      <c r="AA147" s="282">
        <v>18.89874008</v>
      </c>
      <c r="AB147" s="55" t="s">
        <v>72</v>
      </c>
      <c r="AC147" t="s">
        <v>71</v>
      </c>
    </row>
    <row r="148" spans="1:29" x14ac:dyDescent="0.2">
      <c r="A148" s="282">
        <v>1252</v>
      </c>
      <c r="B148" s="282">
        <v>3265</v>
      </c>
      <c r="C148" s="282" t="s">
        <v>3410</v>
      </c>
      <c r="D148" s="282" t="str">
        <f>IF(Table28[[#This Row],[% Leakage Reduction (Calculated)]]&gt;0.4, "Greater than 40% Air Reduction", "Less than 40% Air Reduction")</f>
        <v>Less than 40% Air Reduction</v>
      </c>
      <c r="E148" s="282" t="s">
        <v>4831</v>
      </c>
      <c r="F148" s="282" t="s">
        <v>4832</v>
      </c>
      <c r="G148" s="282" t="s">
        <v>4833</v>
      </c>
      <c r="H148" s="282" t="s">
        <v>4838</v>
      </c>
      <c r="I148" s="282">
        <v>11.18</v>
      </c>
      <c r="J148" s="282" t="s">
        <v>4834</v>
      </c>
      <c r="K148" s="282">
        <v>7.8</v>
      </c>
      <c r="L148" s="282" t="s">
        <v>4835</v>
      </c>
      <c r="M148" s="283">
        <f t="shared" si="4"/>
        <v>0.30232558139534882</v>
      </c>
      <c r="N148" s="282">
        <v>1196</v>
      </c>
      <c r="O148" s="282">
        <v>1</v>
      </c>
      <c r="P148" s="282">
        <v>1967</v>
      </c>
      <c r="Q148" s="282">
        <f>2023-Table28[[#This Row],[year_built]]</f>
        <v>56</v>
      </c>
      <c r="R148" s="282">
        <v>300</v>
      </c>
      <c r="S148" s="282" t="s">
        <v>4836</v>
      </c>
      <c r="T148" s="282" t="s">
        <v>4837</v>
      </c>
      <c r="U148" s="282">
        <v>2011</v>
      </c>
      <c r="V148" s="284">
        <f t="shared" si="5"/>
        <v>0.25083612040133779</v>
      </c>
      <c r="W148" s="292">
        <f>Table28[[#This Row],[$/sqft]]/INDEX(CPI!$A$3:$C$31,MATCH(Table28[[#This Row],[start_year]],CPI!$A$3:$A$31,0),3)</f>
        <v>0.33911088879228068</v>
      </c>
      <c r="X148" s="282" t="s">
        <v>56</v>
      </c>
      <c r="Y148" s="282" t="s">
        <v>4839</v>
      </c>
      <c r="Z148" s="282" t="s">
        <v>4840</v>
      </c>
      <c r="AA148" s="282">
        <v>30.232558139999998</v>
      </c>
      <c r="AB148" s="55" t="s">
        <v>72</v>
      </c>
      <c r="AC148" t="s">
        <v>71</v>
      </c>
    </row>
    <row r="149" spans="1:29" x14ac:dyDescent="0.2">
      <c r="A149" s="282">
        <v>5268</v>
      </c>
      <c r="B149" s="282">
        <v>13573</v>
      </c>
      <c r="C149" s="282" t="s">
        <v>3410</v>
      </c>
      <c r="D149" s="282" t="str">
        <f>IF(Table28[[#This Row],[% Leakage Reduction (Calculated)]]&gt;0.4, "Greater than 40% Air Reduction", "Less than 40% Air Reduction")</f>
        <v>Less than 40% Air Reduction</v>
      </c>
      <c r="E149" s="282" t="s">
        <v>4831</v>
      </c>
      <c r="F149" s="282" t="s">
        <v>4832</v>
      </c>
      <c r="G149" s="282" t="s">
        <v>4833</v>
      </c>
      <c r="H149" s="282" t="s">
        <v>4972</v>
      </c>
      <c r="I149" s="282">
        <v>3380</v>
      </c>
      <c r="J149" s="282" t="s">
        <v>4852</v>
      </c>
      <c r="K149" s="282">
        <v>2824</v>
      </c>
      <c r="L149" s="282" t="s">
        <v>4853</v>
      </c>
      <c r="M149" s="283">
        <f t="shared" si="4"/>
        <v>0.16449704142011834</v>
      </c>
      <c r="N149" s="282">
        <v>1900</v>
      </c>
      <c r="O149" s="282"/>
      <c r="P149" s="282">
        <v>2005</v>
      </c>
      <c r="Q149" s="282">
        <f>2023-Table28[[#This Row],[year_built]]</f>
        <v>18</v>
      </c>
      <c r="R149" s="282">
        <v>542.05999999999995</v>
      </c>
      <c r="S149" s="282" t="s">
        <v>4900</v>
      </c>
      <c r="T149" s="282" t="s">
        <v>4979</v>
      </c>
      <c r="U149" s="282">
        <v>2019</v>
      </c>
      <c r="V149" s="284">
        <f t="shared" si="5"/>
        <v>0.28529473684210521</v>
      </c>
      <c r="W149" s="292">
        <f>Table28[[#This Row],[$/sqft]]/INDEX(CPI!$A$3:$C$31,MATCH(Table28[[#This Row],[start_year]],CPI!$A$3:$A$31,0),3)</f>
        <v>0.33929655640862028</v>
      </c>
      <c r="X149" s="282" t="s">
        <v>4844</v>
      </c>
      <c r="Y149" s="282"/>
      <c r="Z149" s="282" t="s">
        <v>4840</v>
      </c>
      <c r="AA149" s="282">
        <v>16.449704140000001</v>
      </c>
      <c r="AB149" s="55" t="s">
        <v>72</v>
      </c>
      <c r="AC149" t="s">
        <v>71</v>
      </c>
    </row>
    <row r="150" spans="1:29" x14ac:dyDescent="0.2">
      <c r="A150" s="282">
        <v>3223</v>
      </c>
      <c r="B150" s="282">
        <v>9856</v>
      </c>
      <c r="C150" s="282" t="s">
        <v>3410</v>
      </c>
      <c r="D150" s="282" t="str">
        <f>IF(Table28[[#This Row],[% Leakage Reduction (Calculated)]]&gt;0.4, "Greater than 40% Air Reduction", "Less than 40% Air Reduction")</f>
        <v>Less than 40% Air Reduction</v>
      </c>
      <c r="E150" s="282" t="s">
        <v>4831</v>
      </c>
      <c r="F150" s="282" t="s">
        <v>4832</v>
      </c>
      <c r="G150" s="282" t="s">
        <v>4833</v>
      </c>
      <c r="H150" s="282" t="s">
        <v>4838</v>
      </c>
      <c r="I150" s="282">
        <v>6.64</v>
      </c>
      <c r="J150" s="282" t="s">
        <v>4834</v>
      </c>
      <c r="K150" s="282">
        <v>4.3600000000000003</v>
      </c>
      <c r="L150" s="282" t="s">
        <v>4835</v>
      </c>
      <c r="M150" s="283">
        <f t="shared" si="4"/>
        <v>0.34337349397590355</v>
      </c>
      <c r="N150" s="282">
        <v>3500</v>
      </c>
      <c r="O150" s="282">
        <v>2</v>
      </c>
      <c r="P150" s="282">
        <v>1988</v>
      </c>
      <c r="Q150" s="282">
        <f>2023-Table28[[#This Row],[year_built]]</f>
        <v>35</v>
      </c>
      <c r="R150" s="282">
        <v>1000</v>
      </c>
      <c r="S150" s="282" t="s">
        <v>4911</v>
      </c>
      <c r="T150" s="282" t="s">
        <v>4906</v>
      </c>
      <c r="U150" s="282">
        <v>2019</v>
      </c>
      <c r="V150" s="284">
        <f t="shared" si="5"/>
        <v>0.2857142857142857</v>
      </c>
      <c r="W150" s="292">
        <f>Table28[[#This Row],[$/sqft]]/INDEX(CPI!$A$3:$C$31,MATCH(Table28[[#This Row],[start_year]],CPI!$A$3:$A$31,0),3)</f>
        <v>0.33979551930275437</v>
      </c>
      <c r="X150" s="282"/>
      <c r="Y150" s="282" t="s">
        <v>217</v>
      </c>
      <c r="Z150" s="282" t="s">
        <v>4907</v>
      </c>
      <c r="AA150" s="282">
        <v>34.337349400000001</v>
      </c>
      <c r="AB150" s="55" t="s">
        <v>72</v>
      </c>
      <c r="AC150" t="s">
        <v>71</v>
      </c>
    </row>
    <row r="151" spans="1:29" x14ac:dyDescent="0.2">
      <c r="A151" s="282">
        <v>5158</v>
      </c>
      <c r="B151" s="282">
        <v>12965</v>
      </c>
      <c r="C151" s="282" t="s">
        <v>3410</v>
      </c>
      <c r="D151" s="282" t="str">
        <f>IF(Table28[[#This Row],[% Leakage Reduction (Calculated)]]&gt;0.4, "Greater than 40% Air Reduction", "Less than 40% Air Reduction")</f>
        <v>Less than 40% Air Reduction</v>
      </c>
      <c r="E151" s="282" t="s">
        <v>4831</v>
      </c>
      <c r="F151" s="282" t="s">
        <v>4832</v>
      </c>
      <c r="G151" s="282" t="s">
        <v>4833</v>
      </c>
      <c r="H151" s="282" t="s">
        <v>4838</v>
      </c>
      <c r="I151" s="282">
        <v>2149</v>
      </c>
      <c r="J151" s="282" t="s">
        <v>4852</v>
      </c>
      <c r="K151" s="282">
        <v>1927</v>
      </c>
      <c r="L151" s="282" t="s">
        <v>4853</v>
      </c>
      <c r="M151" s="283">
        <f t="shared" si="4"/>
        <v>0.10330386226151698</v>
      </c>
      <c r="N151" s="282">
        <v>1600</v>
      </c>
      <c r="O151" s="282"/>
      <c r="P151" s="282">
        <v>1986</v>
      </c>
      <c r="Q151" s="282">
        <f>2023-Table28[[#This Row],[year_built]]</f>
        <v>37</v>
      </c>
      <c r="R151" s="282">
        <v>457.59</v>
      </c>
      <c r="S151" s="282" t="s">
        <v>4997</v>
      </c>
      <c r="T151" s="282" t="s">
        <v>4979</v>
      </c>
      <c r="U151" s="282">
        <v>2019</v>
      </c>
      <c r="V151" s="284">
        <f t="shared" si="5"/>
        <v>0.28599374999999999</v>
      </c>
      <c r="W151" s="292">
        <f>Table28[[#This Row],[$/sqft]]/INDEX(CPI!$A$3:$C$31,MATCH(Table28[[#This Row],[start_year]],CPI!$A$3:$A$31,0),3)</f>
        <v>0.34012788179507236</v>
      </c>
      <c r="X151" s="282" t="s">
        <v>4844</v>
      </c>
      <c r="Y151" s="282"/>
      <c r="Z151" s="282" t="s">
        <v>4840</v>
      </c>
      <c r="AA151" s="282">
        <v>10.33038623</v>
      </c>
      <c r="AB151" s="55" t="s">
        <v>72</v>
      </c>
      <c r="AC151" t="s">
        <v>71</v>
      </c>
    </row>
    <row r="152" spans="1:29" x14ac:dyDescent="0.2">
      <c r="A152" s="282">
        <v>3190</v>
      </c>
      <c r="B152" s="282">
        <v>9745</v>
      </c>
      <c r="C152" s="282" t="s">
        <v>3410</v>
      </c>
      <c r="D152" s="282" t="str">
        <f>IF(Table28[[#This Row],[% Leakage Reduction (Calculated)]]&gt;0.4, "Greater than 40% Air Reduction", "Less than 40% Air Reduction")</f>
        <v>Less than 40% Air Reduction</v>
      </c>
      <c r="E152" s="282" t="s">
        <v>4831</v>
      </c>
      <c r="F152" s="282" t="s">
        <v>4832</v>
      </c>
      <c r="G152" s="282" t="s">
        <v>4833</v>
      </c>
      <c r="H152" s="282" t="s">
        <v>4838</v>
      </c>
      <c r="I152" s="282">
        <v>8.2799999999999994</v>
      </c>
      <c r="J152" s="282" t="s">
        <v>4834</v>
      </c>
      <c r="K152" s="282">
        <v>5.69</v>
      </c>
      <c r="L152" s="282" t="s">
        <v>4835</v>
      </c>
      <c r="M152" s="283">
        <f t="shared" si="4"/>
        <v>0.31280193236714965</v>
      </c>
      <c r="N152" s="282">
        <v>3490</v>
      </c>
      <c r="O152" s="282">
        <v>2</v>
      </c>
      <c r="P152" s="282">
        <v>1950</v>
      </c>
      <c r="Q152" s="282">
        <f>2023-Table28[[#This Row],[year_built]]</f>
        <v>73</v>
      </c>
      <c r="R152" s="282">
        <v>1000</v>
      </c>
      <c r="S152" s="282" t="s">
        <v>4939</v>
      </c>
      <c r="T152" s="282" t="s">
        <v>4906</v>
      </c>
      <c r="U152" s="282">
        <v>2019</v>
      </c>
      <c r="V152" s="284">
        <f t="shared" si="5"/>
        <v>0.28653295128939826</v>
      </c>
      <c r="W152" s="292">
        <f>Table28[[#This Row],[$/sqft]]/INDEX(CPI!$A$3:$C$31,MATCH(Table28[[#This Row],[start_year]],CPI!$A$3:$A$31,0),3)</f>
        <v>0.34076914543256165</v>
      </c>
      <c r="X152" s="282"/>
      <c r="Y152" s="282" t="s">
        <v>4917</v>
      </c>
      <c r="Z152" s="282" t="s">
        <v>4840</v>
      </c>
      <c r="AA152" s="282">
        <v>31.280193239999999</v>
      </c>
      <c r="AB152" s="55" t="s">
        <v>72</v>
      </c>
      <c r="AC152" t="s">
        <v>71</v>
      </c>
    </row>
    <row r="153" spans="1:29" x14ac:dyDescent="0.2">
      <c r="A153" s="282">
        <v>4049</v>
      </c>
      <c r="B153" s="282">
        <v>11212</v>
      </c>
      <c r="C153" s="282" t="s">
        <v>3410</v>
      </c>
      <c r="D153" s="282" t="str">
        <f>IF(Table28[[#This Row],[% Leakage Reduction (Calculated)]]&gt;0.4, "Greater than 40% Air Reduction", "Less than 40% Air Reduction")</f>
        <v>Less than 40% Air Reduction</v>
      </c>
      <c r="E153" s="282" t="s">
        <v>4831</v>
      </c>
      <c r="F153" s="282" t="s">
        <v>4832</v>
      </c>
      <c r="G153" s="282" t="s">
        <v>4833</v>
      </c>
      <c r="H153" s="282" t="s">
        <v>4838</v>
      </c>
      <c r="I153" s="282">
        <v>3049</v>
      </c>
      <c r="J153" s="282" t="s">
        <v>4852</v>
      </c>
      <c r="K153" s="282">
        <v>2718</v>
      </c>
      <c r="L153" s="282" t="s">
        <v>4853</v>
      </c>
      <c r="M153" s="283">
        <f t="shared" si="4"/>
        <v>0.10856018366677599</v>
      </c>
      <c r="N153" s="282">
        <v>1500</v>
      </c>
      <c r="O153" s="282"/>
      <c r="P153" s="282">
        <v>1970</v>
      </c>
      <c r="Q153" s="282">
        <f>2023-Table28[[#This Row],[year_built]]</f>
        <v>53</v>
      </c>
      <c r="R153" s="282">
        <v>430.1</v>
      </c>
      <c r="S153" s="282" t="s">
        <v>4973</v>
      </c>
      <c r="T153" s="282" t="s">
        <v>4969</v>
      </c>
      <c r="U153" s="282">
        <v>2019</v>
      </c>
      <c r="V153" s="284">
        <f t="shared" si="5"/>
        <v>0.28673333333333334</v>
      </c>
      <c r="W153" s="292">
        <f>Table28[[#This Row],[$/sqft]]/INDEX(CPI!$A$3:$C$31,MATCH(Table28[[#This Row],[start_year]],CPI!$A$3:$A$31,0),3)</f>
        <v>0.3410074566549342</v>
      </c>
      <c r="X153" s="282" t="s">
        <v>4844</v>
      </c>
      <c r="Y153" s="282"/>
      <c r="Z153" s="282" t="s">
        <v>4840</v>
      </c>
      <c r="AA153" s="282">
        <v>10.856018369999999</v>
      </c>
      <c r="AB153" s="55" t="s">
        <v>72</v>
      </c>
      <c r="AC153" t="s">
        <v>71</v>
      </c>
    </row>
    <row r="154" spans="1:29" x14ac:dyDescent="0.2">
      <c r="A154" s="282">
        <v>5170</v>
      </c>
      <c r="B154" s="282">
        <v>13038</v>
      </c>
      <c r="C154" s="282" t="s">
        <v>3410</v>
      </c>
      <c r="D154" s="282" t="str">
        <f>IF(Table28[[#This Row],[% Leakage Reduction (Calculated)]]&gt;0.4, "Greater than 40% Air Reduction", "Less than 40% Air Reduction")</f>
        <v>Less than 40% Air Reduction</v>
      </c>
      <c r="E154" s="282" t="s">
        <v>4831</v>
      </c>
      <c r="F154" s="282" t="s">
        <v>4832</v>
      </c>
      <c r="G154" s="282" t="s">
        <v>4833</v>
      </c>
      <c r="H154" s="282" t="s">
        <v>4972</v>
      </c>
      <c r="I154" s="282">
        <v>2991</v>
      </c>
      <c r="J154" s="282" t="s">
        <v>4852</v>
      </c>
      <c r="K154" s="282">
        <v>2366</v>
      </c>
      <c r="L154" s="282" t="s">
        <v>4853</v>
      </c>
      <c r="M154" s="283">
        <f t="shared" si="4"/>
        <v>0.2089602139752591</v>
      </c>
      <c r="N154" s="282">
        <v>1800</v>
      </c>
      <c r="O154" s="282"/>
      <c r="P154" s="282">
        <v>2001</v>
      </c>
      <c r="Q154" s="282">
        <f>2023-Table28[[#This Row],[year_built]]</f>
        <v>22</v>
      </c>
      <c r="R154" s="282">
        <v>516.88</v>
      </c>
      <c r="S154" s="282" t="s">
        <v>4997</v>
      </c>
      <c r="T154" s="282" t="s">
        <v>4979</v>
      </c>
      <c r="U154" s="282">
        <v>2019</v>
      </c>
      <c r="V154" s="284">
        <f t="shared" si="5"/>
        <v>0.28715555555555555</v>
      </c>
      <c r="W154" s="292">
        <f>Table28[[#This Row],[$/sqft]]/INDEX(CPI!$A$3:$C$31,MATCH(Table28[[#This Row],[start_year]],CPI!$A$3:$A$31,0),3)</f>
        <v>0.34150959892234828</v>
      </c>
      <c r="X154" s="282" t="s">
        <v>4844</v>
      </c>
      <c r="Y154" s="282"/>
      <c r="Z154" s="282" t="s">
        <v>4840</v>
      </c>
      <c r="AA154" s="282">
        <v>20.896021399999999</v>
      </c>
      <c r="AB154" s="55" t="s">
        <v>72</v>
      </c>
      <c r="AC154" t="s">
        <v>71</v>
      </c>
    </row>
    <row r="155" spans="1:29" x14ac:dyDescent="0.2">
      <c r="A155" s="282">
        <v>5181</v>
      </c>
      <c r="B155" s="282">
        <v>13098</v>
      </c>
      <c r="C155" s="282" t="s">
        <v>3410</v>
      </c>
      <c r="D155" s="282" t="str">
        <f>IF(Table28[[#This Row],[% Leakage Reduction (Calculated)]]&gt;0.4, "Greater than 40% Air Reduction", "Less than 40% Air Reduction")</f>
        <v>Less than 40% Air Reduction</v>
      </c>
      <c r="E155" s="282" t="s">
        <v>4831</v>
      </c>
      <c r="F155" s="282" t="s">
        <v>4832</v>
      </c>
      <c r="G155" s="282" t="s">
        <v>4833</v>
      </c>
      <c r="H155" s="282" t="s">
        <v>4972</v>
      </c>
      <c r="I155" s="282">
        <v>2841</v>
      </c>
      <c r="J155" s="282" t="s">
        <v>4852</v>
      </c>
      <c r="K155" s="282">
        <v>2299</v>
      </c>
      <c r="L155" s="282" t="s">
        <v>4853</v>
      </c>
      <c r="M155" s="283">
        <f t="shared" si="4"/>
        <v>0.19077789510735657</v>
      </c>
      <c r="N155" s="282">
        <v>1750</v>
      </c>
      <c r="O155" s="282"/>
      <c r="P155" s="282">
        <v>2003</v>
      </c>
      <c r="Q155" s="282">
        <f>2023-Table28[[#This Row],[year_built]]</f>
        <v>20</v>
      </c>
      <c r="R155" s="282">
        <v>481.75</v>
      </c>
      <c r="S155" s="282" t="s">
        <v>4991</v>
      </c>
      <c r="T155" s="282" t="s">
        <v>4979</v>
      </c>
      <c r="U155" s="282">
        <v>2017</v>
      </c>
      <c r="V155" s="284">
        <f t="shared" si="5"/>
        <v>0.2752857142857143</v>
      </c>
      <c r="W155" s="292">
        <f>Table28[[#This Row],[$/sqft]]/INDEX(CPI!$A$3:$C$31,MATCH(Table28[[#This Row],[start_year]],CPI!$A$3:$A$31,0),3)</f>
        <v>0.34155196129859539</v>
      </c>
      <c r="X155" s="282" t="s">
        <v>1241</v>
      </c>
      <c r="Y155" s="282"/>
      <c r="Z155" s="282" t="s">
        <v>4840</v>
      </c>
      <c r="AA155" s="282">
        <v>19.077789509999999</v>
      </c>
      <c r="AB155" s="55" t="s">
        <v>72</v>
      </c>
      <c r="AC155" t="s">
        <v>71</v>
      </c>
    </row>
    <row r="156" spans="1:29" x14ac:dyDescent="0.2">
      <c r="A156" s="282">
        <v>3067</v>
      </c>
      <c r="B156" s="282">
        <v>9299</v>
      </c>
      <c r="C156" s="282" t="s">
        <v>3410</v>
      </c>
      <c r="D156" s="282" t="str">
        <f>IF(Table28[[#This Row],[% Leakage Reduction (Calculated)]]&gt;0.4, "Greater than 40% Air Reduction", "Less than 40% Air Reduction")</f>
        <v>Less than 40% Air Reduction</v>
      </c>
      <c r="E156" s="282" t="s">
        <v>4831</v>
      </c>
      <c r="F156" s="282" t="s">
        <v>4832</v>
      </c>
      <c r="G156" s="282" t="s">
        <v>4833</v>
      </c>
      <c r="H156" s="282" t="s">
        <v>4838</v>
      </c>
      <c r="I156" s="282">
        <v>3.59</v>
      </c>
      <c r="J156" s="282" t="s">
        <v>4834</v>
      </c>
      <c r="K156" s="282">
        <v>2.88</v>
      </c>
      <c r="L156" s="282" t="s">
        <v>4835</v>
      </c>
      <c r="M156" s="283">
        <f t="shared" si="4"/>
        <v>0.1977715877437326</v>
      </c>
      <c r="N156" s="282">
        <v>3216</v>
      </c>
      <c r="O156" s="282">
        <v>2</v>
      </c>
      <c r="P156" s="282">
        <v>1995</v>
      </c>
      <c r="Q156" s="282">
        <f>2023-Table28[[#This Row],[year_built]]</f>
        <v>28</v>
      </c>
      <c r="R156" s="282">
        <v>930</v>
      </c>
      <c r="S156" s="282" t="s">
        <v>4936</v>
      </c>
      <c r="T156" s="282" t="s">
        <v>4906</v>
      </c>
      <c r="U156" s="282">
        <v>2019</v>
      </c>
      <c r="V156" s="284">
        <f t="shared" si="5"/>
        <v>0.28917910447761191</v>
      </c>
      <c r="W156" s="292">
        <f>Table28[[#This Row],[$/sqft]]/INDEX(CPI!$A$3:$C$31,MATCH(Table28[[#This Row],[start_year]],CPI!$A$3:$A$31,0),3)</f>
        <v>0.34391617392116458</v>
      </c>
      <c r="X156" s="282"/>
      <c r="Y156" s="282" t="s">
        <v>217</v>
      </c>
      <c r="Z156" s="282" t="s">
        <v>4840</v>
      </c>
      <c r="AA156" s="282">
        <v>19.77715877</v>
      </c>
      <c r="AB156" s="55" t="s">
        <v>72</v>
      </c>
      <c r="AC156" t="s">
        <v>71</v>
      </c>
    </row>
    <row r="157" spans="1:29" x14ac:dyDescent="0.2">
      <c r="A157" s="282">
        <v>5223</v>
      </c>
      <c r="B157" s="282">
        <v>13327</v>
      </c>
      <c r="C157" s="282" t="s">
        <v>3410</v>
      </c>
      <c r="D157" s="282" t="str">
        <f>IF(Table28[[#This Row],[% Leakage Reduction (Calculated)]]&gt;0.4, "Greater than 40% Air Reduction", "Less than 40% Air Reduction")</f>
        <v>Less than 40% Air Reduction</v>
      </c>
      <c r="E157" s="282" t="s">
        <v>4831</v>
      </c>
      <c r="F157" s="282" t="s">
        <v>4832</v>
      </c>
      <c r="G157" s="282" t="s">
        <v>4833</v>
      </c>
      <c r="H157" s="282" t="s">
        <v>4972</v>
      </c>
      <c r="I157" s="282">
        <v>2905</v>
      </c>
      <c r="J157" s="282" t="s">
        <v>4852</v>
      </c>
      <c r="K157" s="282">
        <v>2200</v>
      </c>
      <c r="L157" s="282" t="s">
        <v>4853</v>
      </c>
      <c r="M157" s="283">
        <f t="shared" si="4"/>
        <v>0.24268502581755594</v>
      </c>
      <c r="N157" s="282">
        <v>1976</v>
      </c>
      <c r="O157" s="282"/>
      <c r="P157" s="282">
        <v>2002</v>
      </c>
      <c r="Q157" s="282">
        <f>2023-Table28[[#This Row],[year_built]]</f>
        <v>21</v>
      </c>
      <c r="R157" s="282">
        <v>562.1</v>
      </c>
      <c r="S157" s="282" t="s">
        <v>4982</v>
      </c>
      <c r="T157" s="282" t="s">
        <v>4979</v>
      </c>
      <c r="U157" s="282">
        <v>2018</v>
      </c>
      <c r="V157" s="284">
        <f t="shared" si="5"/>
        <v>0.28446356275303647</v>
      </c>
      <c r="W157" s="292">
        <f>Table28[[#This Row],[$/sqft]]/INDEX(CPI!$A$3:$C$31,MATCH(Table28[[#This Row],[start_year]],CPI!$A$3:$A$31,0),3)</f>
        <v>0.34450565286020868</v>
      </c>
      <c r="X157" s="282" t="s">
        <v>4844</v>
      </c>
      <c r="Y157" s="282"/>
      <c r="Z157" s="282" t="s">
        <v>4840</v>
      </c>
      <c r="AA157" s="282">
        <v>24.26850258</v>
      </c>
      <c r="AB157" s="55" t="s">
        <v>72</v>
      </c>
      <c r="AC157" t="s">
        <v>71</v>
      </c>
    </row>
    <row r="158" spans="1:29" x14ac:dyDescent="0.2">
      <c r="A158" s="282">
        <v>5017</v>
      </c>
      <c r="B158" s="282">
        <v>12101</v>
      </c>
      <c r="C158" s="282" t="s">
        <v>3410</v>
      </c>
      <c r="D158" s="282" t="str">
        <f>IF(Table28[[#This Row],[% Leakage Reduction (Calculated)]]&gt;0.4, "Greater than 40% Air Reduction", "Less than 40% Air Reduction")</f>
        <v>Less than 40% Air Reduction</v>
      </c>
      <c r="E158" s="282" t="s">
        <v>4831</v>
      </c>
      <c r="F158" s="282" t="s">
        <v>4832</v>
      </c>
      <c r="G158" s="282" t="s">
        <v>4833</v>
      </c>
      <c r="H158" s="282" t="s">
        <v>4972</v>
      </c>
      <c r="I158" s="282">
        <v>2511</v>
      </c>
      <c r="J158" s="282" t="s">
        <v>4852</v>
      </c>
      <c r="K158" s="282">
        <v>2110</v>
      </c>
      <c r="L158" s="282" t="s">
        <v>4853</v>
      </c>
      <c r="M158" s="283">
        <f t="shared" si="4"/>
        <v>0.15969733174034248</v>
      </c>
      <c r="N158" s="282">
        <v>2209</v>
      </c>
      <c r="O158" s="282"/>
      <c r="P158" s="282">
        <v>2006</v>
      </c>
      <c r="Q158" s="282">
        <f>2023-Table28[[#This Row],[year_built]]</f>
        <v>17</v>
      </c>
      <c r="R158" s="282">
        <v>628.53</v>
      </c>
      <c r="S158" s="282" t="s">
        <v>4982</v>
      </c>
      <c r="T158" s="282" t="s">
        <v>4979</v>
      </c>
      <c r="U158" s="282">
        <v>2018</v>
      </c>
      <c r="V158" s="284">
        <f t="shared" si="5"/>
        <v>0.28453146220009051</v>
      </c>
      <c r="W158" s="292">
        <f>Table28[[#This Row],[$/sqft]]/INDEX(CPI!$A$3:$C$31,MATCH(Table28[[#This Row],[start_year]],CPI!$A$3:$A$31,0),3)</f>
        <v>0.34458788393089418</v>
      </c>
      <c r="X158" s="282" t="s">
        <v>1241</v>
      </c>
      <c r="Y158" s="282"/>
      <c r="Z158" s="282" t="s">
        <v>4840</v>
      </c>
      <c r="AA158" s="282">
        <v>15.96973317</v>
      </c>
      <c r="AB158" s="55" t="s">
        <v>72</v>
      </c>
      <c r="AC158" t="s">
        <v>71</v>
      </c>
    </row>
    <row r="159" spans="1:29" x14ac:dyDescent="0.2">
      <c r="A159" s="282">
        <v>3100</v>
      </c>
      <c r="B159" s="282">
        <v>9448</v>
      </c>
      <c r="C159" s="282" t="s">
        <v>3410</v>
      </c>
      <c r="D159" s="282" t="str">
        <f>IF(Table28[[#This Row],[% Leakage Reduction (Calculated)]]&gt;0.4, "Greater than 40% Air Reduction", "Less than 40% Air Reduction")</f>
        <v>Greater than 40% Air Reduction</v>
      </c>
      <c r="E159" s="282" t="s">
        <v>4831</v>
      </c>
      <c r="F159" s="282" t="s">
        <v>4832</v>
      </c>
      <c r="G159" s="282" t="s">
        <v>4833</v>
      </c>
      <c r="H159" s="282" t="s">
        <v>4838</v>
      </c>
      <c r="I159" s="282">
        <v>25.83</v>
      </c>
      <c r="J159" s="282" t="s">
        <v>4834</v>
      </c>
      <c r="K159" s="282">
        <v>14.86</v>
      </c>
      <c r="L159" s="282" t="s">
        <v>4835</v>
      </c>
      <c r="M159" s="283">
        <f t="shared" si="4"/>
        <v>0.42469996128532711</v>
      </c>
      <c r="N159" s="282">
        <v>1380</v>
      </c>
      <c r="O159" s="282">
        <v>1</v>
      </c>
      <c r="P159" s="282">
        <v>1950</v>
      </c>
      <c r="Q159" s="282">
        <f>2023-Table28[[#This Row],[year_built]]</f>
        <v>73</v>
      </c>
      <c r="R159" s="282">
        <v>400</v>
      </c>
      <c r="S159" s="282" t="s">
        <v>4915</v>
      </c>
      <c r="T159" s="282" t="s">
        <v>4906</v>
      </c>
      <c r="U159" s="282">
        <v>2019</v>
      </c>
      <c r="V159" s="284">
        <f t="shared" si="5"/>
        <v>0.28985507246376813</v>
      </c>
      <c r="W159" s="292">
        <f>Table28[[#This Row],[$/sqft]]/INDEX(CPI!$A$3:$C$31,MATCH(Table28[[#This Row],[start_year]],CPI!$A$3:$A$31,0),3)</f>
        <v>0.34472009204627257</v>
      </c>
      <c r="X159" s="282"/>
      <c r="Y159" s="282" t="s">
        <v>217</v>
      </c>
      <c r="Z159" s="282" t="s">
        <v>4840</v>
      </c>
      <c r="AA159" s="282">
        <v>42.469996129999998</v>
      </c>
      <c r="AB159" s="55" t="s">
        <v>72</v>
      </c>
      <c r="AC159" t="s">
        <v>71</v>
      </c>
    </row>
    <row r="160" spans="1:29" x14ac:dyDescent="0.2">
      <c r="A160" s="282">
        <v>5109</v>
      </c>
      <c r="B160" s="282">
        <v>12660</v>
      </c>
      <c r="C160" s="282" t="s">
        <v>3410</v>
      </c>
      <c r="D160" s="282" t="str">
        <f>IF(Table28[[#This Row],[% Leakage Reduction (Calculated)]]&gt;0.4, "Greater than 40% Air Reduction", "Less than 40% Air Reduction")</f>
        <v>Less than 40% Air Reduction</v>
      </c>
      <c r="E160" s="282" t="s">
        <v>4831</v>
      </c>
      <c r="F160" s="282" t="s">
        <v>4832</v>
      </c>
      <c r="G160" s="282" t="s">
        <v>4833</v>
      </c>
      <c r="H160" s="282" t="s">
        <v>4838</v>
      </c>
      <c r="I160" s="282">
        <v>4199</v>
      </c>
      <c r="J160" s="282" t="s">
        <v>4852</v>
      </c>
      <c r="K160" s="282">
        <v>3111</v>
      </c>
      <c r="L160" s="282" t="s">
        <v>4853</v>
      </c>
      <c r="M160" s="283">
        <f t="shared" si="4"/>
        <v>0.25910931174089069</v>
      </c>
      <c r="N160" s="282">
        <v>2000</v>
      </c>
      <c r="O160" s="282"/>
      <c r="P160" s="282">
        <v>1970</v>
      </c>
      <c r="Q160" s="282">
        <f>2023-Table28[[#This Row],[year_built]]</f>
        <v>53</v>
      </c>
      <c r="R160" s="282">
        <v>571.30999999999995</v>
      </c>
      <c r="S160" s="282" t="s">
        <v>4985</v>
      </c>
      <c r="T160" s="282" t="s">
        <v>4979</v>
      </c>
      <c r="U160" s="282">
        <v>2018</v>
      </c>
      <c r="V160" s="284">
        <f t="shared" si="5"/>
        <v>0.28565499999999999</v>
      </c>
      <c r="W160" s="292">
        <f>Table28[[#This Row],[$/sqft]]/INDEX(CPI!$A$3:$C$31,MATCH(Table28[[#This Row],[start_year]],CPI!$A$3:$A$31,0),3)</f>
        <v>0.34594856829948228</v>
      </c>
      <c r="X160" s="282" t="s">
        <v>1241</v>
      </c>
      <c r="Y160" s="282"/>
      <c r="Z160" s="282" t="s">
        <v>4840</v>
      </c>
      <c r="AA160" s="282">
        <v>25.910931170000001</v>
      </c>
      <c r="AB160" s="55" t="s">
        <v>72</v>
      </c>
      <c r="AC160" t="s">
        <v>71</v>
      </c>
    </row>
    <row r="161" spans="1:29" x14ac:dyDescent="0.2">
      <c r="A161" s="282">
        <v>5215</v>
      </c>
      <c r="B161" s="282">
        <v>13282</v>
      </c>
      <c r="C161" s="282" t="s">
        <v>3410</v>
      </c>
      <c r="D161" s="282" t="str">
        <f>IF(Table28[[#This Row],[% Leakage Reduction (Calculated)]]&gt;0.4, "Greater than 40% Air Reduction", "Less than 40% Air Reduction")</f>
        <v>Less than 40% Air Reduction</v>
      </c>
      <c r="E161" s="282" t="s">
        <v>4831</v>
      </c>
      <c r="F161" s="282" t="s">
        <v>4832</v>
      </c>
      <c r="G161" s="282" t="s">
        <v>4833</v>
      </c>
      <c r="H161" s="282" t="s">
        <v>4972</v>
      </c>
      <c r="I161" s="282">
        <v>3435</v>
      </c>
      <c r="J161" s="282" t="s">
        <v>4852</v>
      </c>
      <c r="K161" s="282">
        <v>2587</v>
      </c>
      <c r="L161" s="282" t="s">
        <v>4853</v>
      </c>
      <c r="M161" s="283">
        <f t="shared" si="4"/>
        <v>0.24687045123726348</v>
      </c>
      <c r="N161" s="282">
        <v>1976</v>
      </c>
      <c r="O161" s="282"/>
      <c r="P161" s="282">
        <v>1998</v>
      </c>
      <c r="Q161" s="282">
        <f>2023-Table28[[#This Row],[year_built]]</f>
        <v>25</v>
      </c>
      <c r="R161" s="282">
        <v>567.70000000000005</v>
      </c>
      <c r="S161" s="282" t="s">
        <v>4981</v>
      </c>
      <c r="T161" s="282" t="s">
        <v>4979</v>
      </c>
      <c r="U161" s="282">
        <v>2018</v>
      </c>
      <c r="V161" s="284">
        <f t="shared" si="5"/>
        <v>0.28729757085020247</v>
      </c>
      <c r="W161" s="292">
        <f>Table28[[#This Row],[$/sqft]]/INDEX(CPI!$A$3:$C$31,MATCH(Table28[[#This Row],[start_year]],CPI!$A$3:$A$31,0),3)</f>
        <v>0.34793783869194178</v>
      </c>
      <c r="X161" s="282" t="s">
        <v>4844</v>
      </c>
      <c r="Y161" s="282"/>
      <c r="Z161" s="282" t="s">
        <v>4840</v>
      </c>
      <c r="AA161" s="282">
        <v>24.687045120000001</v>
      </c>
      <c r="AB161" s="55" t="s">
        <v>72</v>
      </c>
      <c r="AC161" t="s">
        <v>71</v>
      </c>
    </row>
    <row r="162" spans="1:29" x14ac:dyDescent="0.2">
      <c r="A162" s="282">
        <v>5100</v>
      </c>
      <c r="B162" s="282">
        <v>12601</v>
      </c>
      <c r="C162" s="282" t="s">
        <v>3410</v>
      </c>
      <c r="D162" s="282" t="str">
        <f>IF(Table28[[#This Row],[% Leakage Reduction (Calculated)]]&gt;0.4, "Greater than 40% Air Reduction", "Less than 40% Air Reduction")</f>
        <v>Less than 40% Air Reduction</v>
      </c>
      <c r="E162" s="282" t="s">
        <v>4831</v>
      </c>
      <c r="F162" s="282" t="s">
        <v>4832</v>
      </c>
      <c r="G162" s="282" t="s">
        <v>4833</v>
      </c>
      <c r="H162" s="282" t="s">
        <v>4972</v>
      </c>
      <c r="I162" s="282">
        <v>2094</v>
      </c>
      <c r="J162" s="282" t="s">
        <v>4852</v>
      </c>
      <c r="K162" s="282">
        <v>1720</v>
      </c>
      <c r="L162" s="282" t="s">
        <v>4853</v>
      </c>
      <c r="M162" s="283">
        <f t="shared" si="4"/>
        <v>0.17860553963705827</v>
      </c>
      <c r="N162" s="282">
        <v>1664</v>
      </c>
      <c r="O162" s="282"/>
      <c r="P162" s="282">
        <v>2002</v>
      </c>
      <c r="Q162" s="282">
        <f>2023-Table28[[#This Row],[year_built]]</f>
        <v>21</v>
      </c>
      <c r="R162" s="282">
        <v>488.55</v>
      </c>
      <c r="S162" s="282" t="s">
        <v>4981</v>
      </c>
      <c r="T162" s="282" t="s">
        <v>4979</v>
      </c>
      <c r="U162" s="282">
        <v>2019</v>
      </c>
      <c r="V162" s="284">
        <f t="shared" si="5"/>
        <v>0.29359975961538465</v>
      </c>
      <c r="W162" s="292">
        <f>Table28[[#This Row],[$/sqft]]/INDEX(CPI!$A$3:$C$31,MATCH(Table28[[#This Row],[start_year]],CPI!$A$3:$A$31,0),3)</f>
        <v>0.34917358974985718</v>
      </c>
      <c r="X162" s="282" t="s">
        <v>4844</v>
      </c>
      <c r="Y162" s="282"/>
      <c r="Z162" s="282" t="s">
        <v>4840</v>
      </c>
      <c r="AA162" s="282">
        <v>17.860553960000001</v>
      </c>
      <c r="AB162" s="55" t="s">
        <v>72</v>
      </c>
      <c r="AC162" t="s">
        <v>71</v>
      </c>
    </row>
    <row r="163" spans="1:29" x14ac:dyDescent="0.2">
      <c r="A163" s="282">
        <v>5125</v>
      </c>
      <c r="B163" s="282">
        <v>12761</v>
      </c>
      <c r="C163" s="282" t="s">
        <v>3410</v>
      </c>
      <c r="D163" s="282" t="str">
        <f>IF(Table28[[#This Row],[% Leakage Reduction (Calculated)]]&gt;0.4, "Greater than 40% Air Reduction", "Less than 40% Air Reduction")</f>
        <v>Less than 40% Air Reduction</v>
      </c>
      <c r="E163" s="282" t="s">
        <v>4831</v>
      </c>
      <c r="F163" s="282" t="s">
        <v>4832</v>
      </c>
      <c r="G163" s="282" t="s">
        <v>4833</v>
      </c>
      <c r="H163" s="282" t="s">
        <v>4972</v>
      </c>
      <c r="I163" s="282">
        <v>2947</v>
      </c>
      <c r="J163" s="282" t="s">
        <v>4852</v>
      </c>
      <c r="K163" s="282">
        <v>2365</v>
      </c>
      <c r="L163" s="282" t="s">
        <v>4853</v>
      </c>
      <c r="M163" s="283">
        <f t="shared" si="4"/>
        <v>0.19748897183576519</v>
      </c>
      <c r="N163" s="282">
        <v>1657</v>
      </c>
      <c r="O163" s="282"/>
      <c r="P163" s="282">
        <v>1994</v>
      </c>
      <c r="Q163" s="282">
        <f>2023-Table28[[#This Row],[year_built]]</f>
        <v>29</v>
      </c>
      <c r="R163" s="282">
        <v>486.58</v>
      </c>
      <c r="S163" s="282" t="s">
        <v>4988</v>
      </c>
      <c r="T163" s="282" t="s">
        <v>4979</v>
      </c>
      <c r="U163" s="282">
        <v>2019</v>
      </c>
      <c r="V163" s="284">
        <f t="shared" si="5"/>
        <v>0.29365117682558839</v>
      </c>
      <c r="W163" s="292">
        <f>Table28[[#This Row],[$/sqft]]/INDEX(CPI!$A$3:$C$31,MATCH(Table28[[#This Row],[start_year]],CPI!$A$3:$A$31,0),3)</f>
        <v>0.34923473943160516</v>
      </c>
      <c r="X163" s="282" t="s">
        <v>4844</v>
      </c>
      <c r="Y163" s="282"/>
      <c r="Z163" s="282" t="s">
        <v>4840</v>
      </c>
      <c r="AA163" s="282">
        <v>19.74889718</v>
      </c>
      <c r="AB163" s="55" t="s">
        <v>72</v>
      </c>
      <c r="AC163" t="s">
        <v>71</v>
      </c>
    </row>
    <row r="164" spans="1:29" x14ac:dyDescent="0.2">
      <c r="A164" s="282">
        <v>5201</v>
      </c>
      <c r="B164" s="282">
        <v>13207</v>
      </c>
      <c r="C164" s="282" t="s">
        <v>3410</v>
      </c>
      <c r="D164" s="282" t="str">
        <f>IF(Table28[[#This Row],[% Leakage Reduction (Calculated)]]&gt;0.4, "Greater than 40% Air Reduction", "Less than 40% Air Reduction")</f>
        <v>Less than 40% Air Reduction</v>
      </c>
      <c r="E164" s="282" t="s">
        <v>4831</v>
      </c>
      <c r="F164" s="282" t="s">
        <v>4832</v>
      </c>
      <c r="G164" s="282" t="s">
        <v>4833</v>
      </c>
      <c r="H164" s="282" t="s">
        <v>4838</v>
      </c>
      <c r="I164" s="282">
        <v>3480</v>
      </c>
      <c r="J164" s="282" t="s">
        <v>4852</v>
      </c>
      <c r="K164" s="282">
        <v>2463</v>
      </c>
      <c r="L164" s="282" t="s">
        <v>4853</v>
      </c>
      <c r="M164" s="283">
        <f t="shared" si="4"/>
        <v>0.29224137931034483</v>
      </c>
      <c r="N164" s="282">
        <v>1600</v>
      </c>
      <c r="O164" s="282"/>
      <c r="P164" s="282">
        <v>1900</v>
      </c>
      <c r="Q164" s="282">
        <f>2023-Table28[[#This Row],[year_built]]</f>
        <v>123</v>
      </c>
      <c r="R164" s="282">
        <v>462</v>
      </c>
      <c r="S164" s="282" t="s">
        <v>4997</v>
      </c>
      <c r="T164" s="282" t="s">
        <v>4979</v>
      </c>
      <c r="U164" s="282">
        <v>2018</v>
      </c>
      <c r="V164" s="284">
        <f t="shared" si="5"/>
        <v>0.28875000000000001</v>
      </c>
      <c r="W164" s="292">
        <f>Table28[[#This Row],[$/sqft]]/INDEX(CPI!$A$3:$C$31,MATCH(Table28[[#This Row],[start_year]],CPI!$A$3:$A$31,0),3)</f>
        <v>0.34969683393070494</v>
      </c>
      <c r="X164" s="282" t="s">
        <v>4844</v>
      </c>
      <c r="Y164" s="282"/>
      <c r="Z164" s="282" t="s">
        <v>4840</v>
      </c>
      <c r="AA164" s="282">
        <v>29.224137930000001</v>
      </c>
      <c r="AB164" s="55" t="s">
        <v>72</v>
      </c>
      <c r="AC164" t="s">
        <v>71</v>
      </c>
    </row>
    <row r="165" spans="1:29" x14ac:dyDescent="0.2">
      <c r="A165" s="282">
        <v>3063</v>
      </c>
      <c r="B165" s="282">
        <v>9279</v>
      </c>
      <c r="C165" s="282" t="s">
        <v>3410</v>
      </c>
      <c r="D165" s="282" t="str">
        <f>IF(Table28[[#This Row],[% Leakage Reduction (Calculated)]]&gt;0.4, "Greater than 40% Air Reduction", "Less than 40% Air Reduction")</f>
        <v>Less than 40% Air Reduction</v>
      </c>
      <c r="E165" s="282" t="s">
        <v>4831</v>
      </c>
      <c r="F165" s="282" t="s">
        <v>4832</v>
      </c>
      <c r="G165" s="282" t="s">
        <v>4833</v>
      </c>
      <c r="H165" s="282" t="s">
        <v>4838</v>
      </c>
      <c r="I165" s="282">
        <v>9.56</v>
      </c>
      <c r="J165" s="282" t="s">
        <v>4834</v>
      </c>
      <c r="K165" s="282">
        <v>6.26</v>
      </c>
      <c r="L165" s="282" t="s">
        <v>4835</v>
      </c>
      <c r="M165" s="283">
        <f t="shared" si="4"/>
        <v>0.34518828451882849</v>
      </c>
      <c r="N165" s="282">
        <v>1896</v>
      </c>
      <c r="O165" s="282">
        <v>1.43</v>
      </c>
      <c r="P165" s="282">
        <v>1957</v>
      </c>
      <c r="Q165" s="282">
        <f>2023-Table28[[#This Row],[year_built]]</f>
        <v>66</v>
      </c>
      <c r="R165" s="282">
        <v>558</v>
      </c>
      <c r="S165" s="282" t="s">
        <v>4934</v>
      </c>
      <c r="T165" s="282" t="s">
        <v>4906</v>
      </c>
      <c r="U165" s="282">
        <v>2019</v>
      </c>
      <c r="V165" s="284">
        <f t="shared" si="5"/>
        <v>0.29430379746835444</v>
      </c>
      <c r="W165" s="292">
        <f>Table28[[#This Row],[$/sqft]]/INDEX(CPI!$A$3:$C$31,MATCH(Table28[[#This Row],[start_year]],CPI!$A$3:$A$31,0),3)</f>
        <v>0.35001089092736248</v>
      </c>
      <c r="X165" s="282"/>
      <c r="Y165" s="282" t="s">
        <v>4917</v>
      </c>
      <c r="Z165" s="282" t="s">
        <v>4840</v>
      </c>
      <c r="AA165" s="282">
        <v>34.518828450000001</v>
      </c>
      <c r="AB165" s="55" t="s">
        <v>72</v>
      </c>
      <c r="AC165" t="s">
        <v>71</v>
      </c>
    </row>
    <row r="166" spans="1:29" x14ac:dyDescent="0.2">
      <c r="A166" s="282">
        <v>5120</v>
      </c>
      <c r="B166" s="282">
        <v>12728</v>
      </c>
      <c r="C166" s="282" t="s">
        <v>3410</v>
      </c>
      <c r="D166" s="282" t="str">
        <f>IF(Table28[[#This Row],[% Leakage Reduction (Calculated)]]&gt;0.4, "Greater than 40% Air Reduction", "Less than 40% Air Reduction")</f>
        <v>Less than 40% Air Reduction</v>
      </c>
      <c r="E166" s="282" t="s">
        <v>4831</v>
      </c>
      <c r="F166" s="282" t="s">
        <v>4832</v>
      </c>
      <c r="G166" s="282" t="s">
        <v>4833</v>
      </c>
      <c r="H166" s="282" t="s">
        <v>4972</v>
      </c>
      <c r="I166" s="282">
        <v>3022</v>
      </c>
      <c r="J166" s="282" t="s">
        <v>4852</v>
      </c>
      <c r="K166" s="282">
        <v>2597</v>
      </c>
      <c r="L166" s="282" t="s">
        <v>4853</v>
      </c>
      <c r="M166" s="283">
        <f t="shared" si="4"/>
        <v>0.14063534083388485</v>
      </c>
      <c r="N166" s="282">
        <v>1000</v>
      </c>
      <c r="O166" s="282"/>
      <c r="P166" s="282">
        <v>1998</v>
      </c>
      <c r="Q166" s="282">
        <f>2023-Table28[[#This Row],[year_built]]</f>
        <v>25</v>
      </c>
      <c r="R166" s="282">
        <v>294.88</v>
      </c>
      <c r="S166" s="282" t="s">
        <v>4900</v>
      </c>
      <c r="T166" s="282" t="s">
        <v>4979</v>
      </c>
      <c r="U166" s="282">
        <v>2019</v>
      </c>
      <c r="V166" s="284">
        <f t="shared" si="5"/>
        <v>0.29487999999999998</v>
      </c>
      <c r="W166" s="292">
        <f>Table28[[#This Row],[$/sqft]]/INDEX(CPI!$A$3:$C$31,MATCH(Table28[[#This Row],[start_year]],CPI!$A$3:$A$31,0),3)</f>
        <v>0.35069615956198669</v>
      </c>
      <c r="X166" s="282" t="s">
        <v>4844</v>
      </c>
      <c r="Y166" s="282"/>
      <c r="Z166" s="282" t="s">
        <v>4840</v>
      </c>
      <c r="AA166" s="282">
        <v>14.06353408</v>
      </c>
      <c r="AB166" s="55" t="s">
        <v>72</v>
      </c>
      <c r="AC166" t="s">
        <v>71</v>
      </c>
    </row>
    <row r="167" spans="1:29" x14ac:dyDescent="0.2">
      <c r="A167" s="282">
        <v>1233</v>
      </c>
      <c r="B167" s="282">
        <v>3068</v>
      </c>
      <c r="C167" s="282" t="s">
        <v>3410</v>
      </c>
      <c r="D167" s="282" t="str">
        <f>IF(Table28[[#This Row],[% Leakage Reduction (Calculated)]]&gt;0.4, "Greater than 40% Air Reduction", "Less than 40% Air Reduction")</f>
        <v>Less than 40% Air Reduction</v>
      </c>
      <c r="E167" s="282" t="s">
        <v>4831</v>
      </c>
      <c r="F167" s="282" t="s">
        <v>4832</v>
      </c>
      <c r="G167" s="282" t="s">
        <v>4833</v>
      </c>
      <c r="H167" s="282" t="s">
        <v>4843</v>
      </c>
      <c r="I167" s="282">
        <v>7.86</v>
      </c>
      <c r="J167" s="282" t="s">
        <v>4834</v>
      </c>
      <c r="K167" s="282">
        <v>6.74</v>
      </c>
      <c r="L167" s="282" t="s">
        <v>4835</v>
      </c>
      <c r="M167" s="283">
        <f t="shared" si="4"/>
        <v>0.14249363867684478</v>
      </c>
      <c r="N167" s="282">
        <v>1156</v>
      </c>
      <c r="O167" s="282"/>
      <c r="P167" s="282">
        <v>1989</v>
      </c>
      <c r="Q167" s="282">
        <f>2023-Table28[[#This Row],[year_built]]</f>
        <v>34</v>
      </c>
      <c r="R167" s="282">
        <v>300</v>
      </c>
      <c r="S167" s="282" t="s">
        <v>4842</v>
      </c>
      <c r="T167" s="282" t="s">
        <v>4837</v>
      </c>
      <c r="U167" s="282">
        <v>2011</v>
      </c>
      <c r="V167" s="284">
        <f t="shared" si="5"/>
        <v>0.25951557093425603</v>
      </c>
      <c r="W167" s="292">
        <f>Table28[[#This Row],[$/sqft]]/INDEX(CPI!$A$3:$C$31,MATCH(Table28[[#This Row],[start_year]],CPI!$A$3:$A$31,0),3)</f>
        <v>0.35084482958094088</v>
      </c>
      <c r="X167" s="282" t="s">
        <v>4844</v>
      </c>
      <c r="Y167" s="282"/>
      <c r="Z167" s="282" t="s">
        <v>4840</v>
      </c>
      <c r="AA167" s="282">
        <v>14.24936387</v>
      </c>
      <c r="AB167" s="55" t="s">
        <v>72</v>
      </c>
      <c r="AC167" t="s">
        <v>71</v>
      </c>
    </row>
    <row r="168" spans="1:29" x14ac:dyDescent="0.2">
      <c r="A168" s="282">
        <v>5020</v>
      </c>
      <c r="B168" s="282">
        <v>12118</v>
      </c>
      <c r="C168" s="282" t="s">
        <v>3410</v>
      </c>
      <c r="D168" s="282" t="str">
        <f>IF(Table28[[#This Row],[% Leakage Reduction (Calculated)]]&gt;0.4, "Greater than 40% Air Reduction", "Less than 40% Air Reduction")</f>
        <v>Less than 40% Air Reduction</v>
      </c>
      <c r="E168" s="282" t="s">
        <v>4831</v>
      </c>
      <c r="F168" s="282" t="s">
        <v>4832</v>
      </c>
      <c r="G168" s="282" t="s">
        <v>4833</v>
      </c>
      <c r="H168" s="282" t="s">
        <v>4972</v>
      </c>
      <c r="I168" s="282">
        <v>3668</v>
      </c>
      <c r="J168" s="282" t="s">
        <v>4852</v>
      </c>
      <c r="K168" s="282">
        <v>3115</v>
      </c>
      <c r="L168" s="282" t="s">
        <v>4853</v>
      </c>
      <c r="M168" s="283">
        <f t="shared" si="4"/>
        <v>0.15076335877862596</v>
      </c>
      <c r="N168" s="282">
        <v>2128</v>
      </c>
      <c r="O168" s="282"/>
      <c r="P168" s="282">
        <v>1998</v>
      </c>
      <c r="Q168" s="282">
        <f>2023-Table28[[#This Row],[year_built]]</f>
        <v>25</v>
      </c>
      <c r="R168" s="282">
        <v>618.37</v>
      </c>
      <c r="S168" s="282" t="s">
        <v>4900</v>
      </c>
      <c r="T168" s="282" t="s">
        <v>4979</v>
      </c>
      <c r="U168" s="282">
        <v>2018</v>
      </c>
      <c r="V168" s="284">
        <f t="shared" si="5"/>
        <v>0.29058740601503757</v>
      </c>
      <c r="W168" s="292">
        <f>Table28[[#This Row],[$/sqft]]/INDEX(CPI!$A$3:$C$31,MATCH(Table28[[#This Row],[start_year]],CPI!$A$3:$A$31,0),3)</f>
        <v>0.35192206359686551</v>
      </c>
      <c r="X168" s="282" t="s">
        <v>1241</v>
      </c>
      <c r="Y168" s="282"/>
      <c r="Z168" s="282" t="s">
        <v>4840</v>
      </c>
      <c r="AA168" s="282">
        <v>15.07633588</v>
      </c>
      <c r="AB168" s="55" t="s">
        <v>72</v>
      </c>
      <c r="AC168" t="s">
        <v>71</v>
      </c>
    </row>
    <row r="169" spans="1:29" x14ac:dyDescent="0.2">
      <c r="A169" s="282">
        <v>4040</v>
      </c>
      <c r="B169" s="282">
        <v>11176</v>
      </c>
      <c r="C169" s="282" t="s">
        <v>3410</v>
      </c>
      <c r="D169" s="282" t="str">
        <f>IF(Table28[[#This Row],[% Leakage Reduction (Calculated)]]&gt;0.4, "Greater than 40% Air Reduction", "Less than 40% Air Reduction")</f>
        <v>Less than 40% Air Reduction</v>
      </c>
      <c r="E169" s="282" t="s">
        <v>4831</v>
      </c>
      <c r="F169" s="282" t="s">
        <v>4832</v>
      </c>
      <c r="G169" s="282" t="s">
        <v>4833</v>
      </c>
      <c r="H169" s="282" t="s">
        <v>4838</v>
      </c>
      <c r="I169" s="282">
        <v>2998</v>
      </c>
      <c r="J169" s="282" t="s">
        <v>4852</v>
      </c>
      <c r="K169" s="282">
        <v>2220</v>
      </c>
      <c r="L169" s="282" t="s">
        <v>4853</v>
      </c>
      <c r="M169" s="283">
        <f t="shared" si="4"/>
        <v>0.25950633755837227</v>
      </c>
      <c r="N169" s="282">
        <v>1250</v>
      </c>
      <c r="O169" s="282"/>
      <c r="P169" s="282">
        <v>1969</v>
      </c>
      <c r="Q169" s="282">
        <f>2023-Table28[[#This Row],[year_built]]</f>
        <v>54</v>
      </c>
      <c r="R169" s="282">
        <v>370.07</v>
      </c>
      <c r="S169" s="282" t="s">
        <v>4968</v>
      </c>
      <c r="T169" s="282" t="s">
        <v>4969</v>
      </c>
      <c r="U169" s="282">
        <v>2019</v>
      </c>
      <c r="V169" s="284">
        <f t="shared" si="5"/>
        <v>0.29605599999999999</v>
      </c>
      <c r="W169" s="292">
        <f>Table28[[#This Row],[$/sqft]]/INDEX(CPI!$A$3:$C$31,MATCH(Table28[[#This Row],[start_year]],CPI!$A$3:$A$31,0),3)</f>
        <v>0.35209475791943684</v>
      </c>
      <c r="X169" s="282" t="s">
        <v>1241</v>
      </c>
      <c r="Y169" s="282"/>
      <c r="Z169" s="282" t="s">
        <v>4840</v>
      </c>
      <c r="AA169" s="282">
        <v>25.950633759999999</v>
      </c>
      <c r="AB169" s="55" t="s">
        <v>72</v>
      </c>
      <c r="AC169" t="s">
        <v>71</v>
      </c>
    </row>
    <row r="170" spans="1:29" x14ac:dyDescent="0.2">
      <c r="A170" s="282">
        <v>2277</v>
      </c>
      <c r="B170" s="282">
        <v>6149</v>
      </c>
      <c r="C170" s="282" t="s">
        <v>3410</v>
      </c>
      <c r="D170" s="282" t="str">
        <f>IF(Table28[[#This Row],[% Leakage Reduction (Calculated)]]&gt;0.4, "Greater than 40% Air Reduction", "Less than 40% Air Reduction")</f>
        <v>Greater than 40% Air Reduction</v>
      </c>
      <c r="E170" s="282" t="s">
        <v>4831</v>
      </c>
      <c r="F170" s="282" t="s">
        <v>4832</v>
      </c>
      <c r="G170" s="282" t="s">
        <v>4833</v>
      </c>
      <c r="H170" s="282"/>
      <c r="I170" s="282">
        <v>3449</v>
      </c>
      <c r="J170" s="282" t="s">
        <v>4853</v>
      </c>
      <c r="K170" s="282">
        <v>5966</v>
      </c>
      <c r="L170" s="282" t="s">
        <v>4852</v>
      </c>
      <c r="M170" s="283">
        <f t="shared" si="4"/>
        <v>0.72977674688315453</v>
      </c>
      <c r="N170" s="282">
        <v>3329</v>
      </c>
      <c r="O170" s="282"/>
      <c r="P170" s="282">
        <v>1985</v>
      </c>
      <c r="Q170" s="282">
        <f>2023-Table28[[#This Row],[year_built]]</f>
        <v>38</v>
      </c>
      <c r="R170" s="282">
        <v>1000</v>
      </c>
      <c r="S170" s="282" t="s">
        <v>4897</v>
      </c>
      <c r="T170" s="282" t="s">
        <v>4857</v>
      </c>
      <c r="U170" s="282">
        <v>2020</v>
      </c>
      <c r="V170" s="284">
        <f t="shared" si="5"/>
        <v>0.30039050765995795</v>
      </c>
      <c r="W170" s="292">
        <f>Table28[[#This Row],[$/sqft]]/INDEX(CPI!$A$3:$C$31,MATCH(Table28[[#This Row],[start_year]],CPI!$A$3:$A$31,0),3)</f>
        <v>0.35297045355252399</v>
      </c>
      <c r="X170" s="282"/>
      <c r="Y170" s="282"/>
      <c r="Z170" s="282" t="s">
        <v>4840</v>
      </c>
      <c r="AA170" s="282">
        <v>42.189071400000003</v>
      </c>
      <c r="AB170" s="55" t="s">
        <v>72</v>
      </c>
      <c r="AC170" t="s">
        <v>71</v>
      </c>
    </row>
    <row r="171" spans="1:29" x14ac:dyDescent="0.2">
      <c r="A171" s="282">
        <v>5270</v>
      </c>
      <c r="B171" s="282">
        <v>13582</v>
      </c>
      <c r="C171" s="282" t="s">
        <v>3410</v>
      </c>
      <c r="D171" s="282" t="str">
        <f>IF(Table28[[#This Row],[% Leakage Reduction (Calculated)]]&gt;0.4, "Greater than 40% Air Reduction", "Less than 40% Air Reduction")</f>
        <v>Less than 40% Air Reduction</v>
      </c>
      <c r="E171" s="282" t="s">
        <v>4831</v>
      </c>
      <c r="F171" s="282" t="s">
        <v>4832</v>
      </c>
      <c r="G171" s="282" t="s">
        <v>4833</v>
      </c>
      <c r="H171" s="282" t="s">
        <v>4972</v>
      </c>
      <c r="I171" s="282">
        <v>2644</v>
      </c>
      <c r="J171" s="282" t="s">
        <v>4852</v>
      </c>
      <c r="K171" s="282">
        <v>2173</v>
      </c>
      <c r="L171" s="282" t="s">
        <v>4853</v>
      </c>
      <c r="M171" s="283">
        <f t="shared" si="4"/>
        <v>0.17813918305597579</v>
      </c>
      <c r="N171" s="282">
        <v>1300</v>
      </c>
      <c r="O171" s="282"/>
      <c r="P171" s="282">
        <v>1995</v>
      </c>
      <c r="Q171" s="282">
        <f>2023-Table28[[#This Row],[year_built]]</f>
        <v>28</v>
      </c>
      <c r="R171" s="282">
        <v>385.94</v>
      </c>
      <c r="S171" s="282" t="s">
        <v>4988</v>
      </c>
      <c r="T171" s="282" t="s">
        <v>4979</v>
      </c>
      <c r="U171" s="282">
        <v>2019</v>
      </c>
      <c r="V171" s="284">
        <f t="shared" si="5"/>
        <v>0.29687692307692309</v>
      </c>
      <c r="W171" s="292">
        <f>Table28[[#This Row],[$/sqft]]/INDEX(CPI!$A$3:$C$31,MATCH(Table28[[#This Row],[start_year]],CPI!$A$3:$A$31,0),3)</f>
        <v>0.3530710688607443</v>
      </c>
      <c r="X171" s="282" t="s">
        <v>4844</v>
      </c>
      <c r="Y171" s="282"/>
      <c r="Z171" s="282" t="s">
        <v>4840</v>
      </c>
      <c r="AA171" s="282">
        <v>17.813918309999998</v>
      </c>
      <c r="AB171" s="55" t="s">
        <v>72</v>
      </c>
      <c r="AC171" t="s">
        <v>71</v>
      </c>
    </row>
    <row r="172" spans="1:29" x14ac:dyDescent="0.2">
      <c r="A172" s="282">
        <v>5073</v>
      </c>
      <c r="B172" s="282">
        <v>12447</v>
      </c>
      <c r="C172" s="282" t="s">
        <v>3410</v>
      </c>
      <c r="D172" s="282" t="str">
        <f>IF(Table28[[#This Row],[% Leakage Reduction (Calculated)]]&gt;0.4, "Greater than 40% Air Reduction", "Less than 40% Air Reduction")</f>
        <v>Less than 40% Air Reduction</v>
      </c>
      <c r="E172" s="282" t="s">
        <v>4831</v>
      </c>
      <c r="F172" s="282" t="s">
        <v>4832</v>
      </c>
      <c r="G172" s="282" t="s">
        <v>4833</v>
      </c>
      <c r="H172" s="282" t="s">
        <v>4972</v>
      </c>
      <c r="I172" s="282">
        <v>2481</v>
      </c>
      <c r="J172" s="282" t="s">
        <v>4852</v>
      </c>
      <c r="K172" s="282">
        <v>1938</v>
      </c>
      <c r="L172" s="282" t="s">
        <v>4853</v>
      </c>
      <c r="M172" s="283">
        <f t="shared" si="4"/>
        <v>0.21886336154776301</v>
      </c>
      <c r="N172" s="282">
        <v>1100</v>
      </c>
      <c r="O172" s="282"/>
      <c r="P172" s="282">
        <v>2001</v>
      </c>
      <c r="Q172" s="282">
        <f>2023-Table28[[#This Row],[year_built]]</f>
        <v>22</v>
      </c>
      <c r="R172" s="282">
        <v>328.56</v>
      </c>
      <c r="S172" s="282" t="s">
        <v>4990</v>
      </c>
      <c r="T172" s="282" t="s">
        <v>4979</v>
      </c>
      <c r="U172" s="282">
        <v>2019</v>
      </c>
      <c r="V172" s="284">
        <f t="shared" si="5"/>
        <v>0.29869090909090912</v>
      </c>
      <c r="W172" s="292">
        <f>Table28[[#This Row],[$/sqft]]/INDEX(CPI!$A$3:$C$31,MATCH(Table28[[#This Row],[start_year]],CPI!$A$3:$A$31,0),3)</f>
        <v>0.35522841397945037</v>
      </c>
      <c r="X172" s="282" t="s">
        <v>4844</v>
      </c>
      <c r="Y172" s="282"/>
      <c r="Z172" s="282" t="s">
        <v>4840</v>
      </c>
      <c r="AA172" s="282">
        <v>21.886336150000002</v>
      </c>
      <c r="AB172" s="55" t="s">
        <v>72</v>
      </c>
      <c r="AC172" t="s">
        <v>71</v>
      </c>
    </row>
    <row r="173" spans="1:29" x14ac:dyDescent="0.2">
      <c r="A173" s="282">
        <v>5089</v>
      </c>
      <c r="B173" s="282">
        <v>12540</v>
      </c>
      <c r="C173" s="282" t="s">
        <v>3410</v>
      </c>
      <c r="D173" s="282" t="str">
        <f>IF(Table28[[#This Row],[% Leakage Reduction (Calculated)]]&gt;0.4, "Greater than 40% Air Reduction", "Less than 40% Air Reduction")</f>
        <v>Less than 40% Air Reduction</v>
      </c>
      <c r="E173" s="282" t="s">
        <v>4831</v>
      </c>
      <c r="F173" s="282" t="s">
        <v>4832</v>
      </c>
      <c r="G173" s="282" t="s">
        <v>4833</v>
      </c>
      <c r="H173" s="282" t="s">
        <v>4972</v>
      </c>
      <c r="I173" s="282">
        <v>2821</v>
      </c>
      <c r="J173" s="282" t="s">
        <v>4852</v>
      </c>
      <c r="K173" s="282">
        <v>2178</v>
      </c>
      <c r="L173" s="282" t="s">
        <v>4853</v>
      </c>
      <c r="M173" s="283">
        <f t="shared" si="4"/>
        <v>0.22793335696561504</v>
      </c>
      <c r="N173" s="282">
        <v>1500</v>
      </c>
      <c r="O173" s="282"/>
      <c r="P173" s="282">
        <v>1999</v>
      </c>
      <c r="Q173" s="282">
        <f>2023-Table28[[#This Row],[year_built]]</f>
        <v>24</v>
      </c>
      <c r="R173" s="282">
        <v>451.81</v>
      </c>
      <c r="S173" s="282" t="s">
        <v>4960</v>
      </c>
      <c r="T173" s="282" t="s">
        <v>4979</v>
      </c>
      <c r="U173" s="282">
        <v>2019</v>
      </c>
      <c r="V173" s="284">
        <f t="shared" si="5"/>
        <v>0.30120666666666668</v>
      </c>
      <c r="W173" s="292">
        <f>Table28[[#This Row],[$/sqft]]/INDEX(CPI!$A$3:$C$31,MATCH(Table28[[#This Row],[start_year]],CPI!$A$3:$A$31,0),3)</f>
        <v>0.35822036501108073</v>
      </c>
      <c r="X173" s="282" t="s">
        <v>4844</v>
      </c>
      <c r="Y173" s="282"/>
      <c r="Z173" s="282" t="s">
        <v>4840</v>
      </c>
      <c r="AA173" s="282">
        <v>22.7933357</v>
      </c>
      <c r="AB173" s="55" t="s">
        <v>72</v>
      </c>
      <c r="AC173" t="s">
        <v>71</v>
      </c>
    </row>
    <row r="174" spans="1:29" x14ac:dyDescent="0.2">
      <c r="A174" s="282">
        <v>5189</v>
      </c>
      <c r="B174" s="282">
        <v>13144</v>
      </c>
      <c r="C174" s="282" t="s">
        <v>3410</v>
      </c>
      <c r="D174" s="282" t="str">
        <f>IF(Table28[[#This Row],[% Leakage Reduction (Calculated)]]&gt;0.4, "Greater than 40% Air Reduction", "Less than 40% Air Reduction")</f>
        <v>Less than 40% Air Reduction</v>
      </c>
      <c r="E174" s="282" t="s">
        <v>4831</v>
      </c>
      <c r="F174" s="282" t="s">
        <v>4832</v>
      </c>
      <c r="G174" s="282" t="s">
        <v>4833</v>
      </c>
      <c r="H174" s="282" t="s">
        <v>4972</v>
      </c>
      <c r="I174" s="282">
        <v>2518</v>
      </c>
      <c r="J174" s="282" t="s">
        <v>4852</v>
      </c>
      <c r="K174" s="282">
        <v>1992</v>
      </c>
      <c r="L174" s="282" t="s">
        <v>4853</v>
      </c>
      <c r="M174" s="283">
        <f t="shared" si="4"/>
        <v>0.20889594916600476</v>
      </c>
      <c r="N174" s="282">
        <v>1500</v>
      </c>
      <c r="O174" s="282"/>
      <c r="P174" s="282">
        <v>2001</v>
      </c>
      <c r="Q174" s="282">
        <f>2023-Table28[[#This Row],[year_built]]</f>
        <v>22</v>
      </c>
      <c r="R174" s="282">
        <v>451.81</v>
      </c>
      <c r="S174" s="282" t="s">
        <v>4981</v>
      </c>
      <c r="T174" s="282" t="s">
        <v>4979</v>
      </c>
      <c r="U174" s="282">
        <v>2019</v>
      </c>
      <c r="V174" s="284">
        <f t="shared" si="5"/>
        <v>0.30120666666666668</v>
      </c>
      <c r="W174" s="292">
        <f>Table28[[#This Row],[$/sqft]]/INDEX(CPI!$A$3:$C$31,MATCH(Table28[[#This Row],[start_year]],CPI!$A$3:$A$31,0),3)</f>
        <v>0.35822036501108073</v>
      </c>
      <c r="X174" s="282" t="s">
        <v>4844</v>
      </c>
      <c r="Y174" s="282"/>
      <c r="Z174" s="282" t="s">
        <v>4840</v>
      </c>
      <c r="AA174" s="282">
        <v>20.88959492</v>
      </c>
      <c r="AB174" s="55" t="s">
        <v>72</v>
      </c>
      <c r="AC174" t="s">
        <v>71</v>
      </c>
    </row>
    <row r="175" spans="1:29" x14ac:dyDescent="0.2">
      <c r="A175" s="282">
        <v>5144</v>
      </c>
      <c r="B175" s="282">
        <v>12881</v>
      </c>
      <c r="C175" s="282" t="s">
        <v>3410</v>
      </c>
      <c r="D175" s="282" t="str">
        <f>IF(Table28[[#This Row],[% Leakage Reduction (Calculated)]]&gt;0.4, "Greater than 40% Air Reduction", "Less than 40% Air Reduction")</f>
        <v>Less than 40% Air Reduction</v>
      </c>
      <c r="E175" s="282" t="s">
        <v>4831</v>
      </c>
      <c r="F175" s="282" t="s">
        <v>4832</v>
      </c>
      <c r="G175" s="282" t="s">
        <v>4833</v>
      </c>
      <c r="H175" s="282" t="s">
        <v>4838</v>
      </c>
      <c r="I175" s="282">
        <v>1999</v>
      </c>
      <c r="J175" s="282" t="s">
        <v>4852</v>
      </c>
      <c r="K175" s="282">
        <v>1512</v>
      </c>
      <c r="L175" s="282" t="s">
        <v>4853</v>
      </c>
      <c r="M175" s="283">
        <f t="shared" si="4"/>
        <v>0.24362181090545273</v>
      </c>
      <c r="N175" s="282">
        <v>1200</v>
      </c>
      <c r="O175" s="282"/>
      <c r="P175" s="282">
        <v>1980</v>
      </c>
      <c r="Q175" s="282">
        <f>2023-Table28[[#This Row],[year_built]]</f>
        <v>43</v>
      </c>
      <c r="R175" s="282">
        <v>362.25</v>
      </c>
      <c r="S175" s="282" t="s">
        <v>4997</v>
      </c>
      <c r="T175" s="282" t="s">
        <v>4979</v>
      </c>
      <c r="U175" s="282">
        <v>2019</v>
      </c>
      <c r="V175" s="284">
        <f t="shared" si="5"/>
        <v>0.301875</v>
      </c>
      <c r="W175" s="292">
        <f>Table28[[#This Row],[$/sqft]]/INDEX(CPI!$A$3:$C$31,MATCH(Table28[[#This Row],[start_year]],CPI!$A$3:$A$31,0),3)</f>
        <v>0.35901520336331644</v>
      </c>
      <c r="X175" s="282" t="s">
        <v>1241</v>
      </c>
      <c r="Y175" s="282"/>
      <c r="Z175" s="282" t="s">
        <v>4840</v>
      </c>
      <c r="AA175" s="282">
        <v>24.36218109</v>
      </c>
      <c r="AB175" s="55" t="s">
        <v>72</v>
      </c>
      <c r="AC175" t="s">
        <v>71</v>
      </c>
    </row>
    <row r="176" spans="1:29" x14ac:dyDescent="0.2">
      <c r="A176" s="282">
        <v>5152</v>
      </c>
      <c r="B176" s="282">
        <v>12927</v>
      </c>
      <c r="C176" s="282" t="s">
        <v>3410</v>
      </c>
      <c r="D176" s="282" t="str">
        <f>IF(Table28[[#This Row],[% Leakage Reduction (Calculated)]]&gt;0.4, "Greater than 40% Air Reduction", "Less than 40% Air Reduction")</f>
        <v>Greater than 40% Air Reduction</v>
      </c>
      <c r="E176" s="282" t="s">
        <v>4831</v>
      </c>
      <c r="F176" s="282" t="s">
        <v>4832</v>
      </c>
      <c r="G176" s="282" t="s">
        <v>4833</v>
      </c>
      <c r="H176" s="282" t="s">
        <v>4838</v>
      </c>
      <c r="I176" s="282">
        <v>3054</v>
      </c>
      <c r="J176" s="282" t="s">
        <v>4852</v>
      </c>
      <c r="K176" s="282">
        <v>1150</v>
      </c>
      <c r="L176" s="282" t="s">
        <v>4853</v>
      </c>
      <c r="M176" s="283">
        <f t="shared" si="4"/>
        <v>0.62344466273739363</v>
      </c>
      <c r="N176" s="282">
        <v>1200</v>
      </c>
      <c r="O176" s="282"/>
      <c r="P176" s="282">
        <v>1993</v>
      </c>
      <c r="Q176" s="282">
        <f>2023-Table28[[#This Row],[year_built]]</f>
        <v>30</v>
      </c>
      <c r="R176" s="282">
        <v>362.25</v>
      </c>
      <c r="S176" s="282" t="s">
        <v>4999</v>
      </c>
      <c r="T176" s="282" t="s">
        <v>4979</v>
      </c>
      <c r="U176" s="282">
        <v>2019</v>
      </c>
      <c r="V176" s="284">
        <f t="shared" si="5"/>
        <v>0.301875</v>
      </c>
      <c r="W176" s="292">
        <f>Table28[[#This Row],[$/sqft]]/INDEX(CPI!$A$3:$C$31,MATCH(Table28[[#This Row],[start_year]],CPI!$A$3:$A$31,0),3)</f>
        <v>0.35901520336331644</v>
      </c>
      <c r="X176" s="282" t="s">
        <v>4844</v>
      </c>
      <c r="Y176" s="282"/>
      <c r="Z176" s="282" t="s">
        <v>4840</v>
      </c>
      <c r="AA176" s="282">
        <v>62.344466269999998</v>
      </c>
      <c r="AB176" s="55" t="s">
        <v>72</v>
      </c>
      <c r="AC176" t="s">
        <v>71</v>
      </c>
    </row>
    <row r="177" spans="1:29" x14ac:dyDescent="0.2">
      <c r="A177" s="282">
        <v>5025</v>
      </c>
      <c r="B177" s="282">
        <v>12153</v>
      </c>
      <c r="C177" s="282" t="s">
        <v>3410</v>
      </c>
      <c r="D177" s="282" t="str">
        <f>IF(Table28[[#This Row],[% Leakage Reduction (Calculated)]]&gt;0.4, "Greater than 40% Air Reduction", "Less than 40% Air Reduction")</f>
        <v>Less than 40% Air Reduction</v>
      </c>
      <c r="E177" s="282" t="s">
        <v>4831</v>
      </c>
      <c r="F177" s="282" t="s">
        <v>4832</v>
      </c>
      <c r="G177" s="282" t="s">
        <v>4833</v>
      </c>
      <c r="H177" s="282" t="s">
        <v>4972</v>
      </c>
      <c r="I177" s="282">
        <v>2103</v>
      </c>
      <c r="J177" s="282" t="s">
        <v>4852</v>
      </c>
      <c r="K177" s="282">
        <v>1791</v>
      </c>
      <c r="L177" s="282" t="s">
        <v>4853</v>
      </c>
      <c r="M177" s="283">
        <f t="shared" si="4"/>
        <v>0.14835948644793154</v>
      </c>
      <c r="N177" s="282">
        <v>1600</v>
      </c>
      <c r="O177" s="282"/>
      <c r="P177" s="282">
        <v>2003</v>
      </c>
      <c r="Q177" s="282">
        <f>2023-Table28[[#This Row],[year_built]]</f>
        <v>20</v>
      </c>
      <c r="R177" s="282">
        <v>476.62</v>
      </c>
      <c r="S177" s="282" t="s">
        <v>4982</v>
      </c>
      <c r="T177" s="282" t="s">
        <v>4979</v>
      </c>
      <c r="U177" s="282">
        <v>2018</v>
      </c>
      <c r="V177" s="284">
        <f t="shared" si="5"/>
        <v>0.29788750000000003</v>
      </c>
      <c r="W177" s="292">
        <f>Table28[[#This Row],[$/sqft]]/INDEX(CPI!$A$3:$C$31,MATCH(Table28[[#This Row],[start_year]],CPI!$A$3:$A$31,0),3)</f>
        <v>0.36076299780963766</v>
      </c>
      <c r="X177" s="282" t="s">
        <v>1241</v>
      </c>
      <c r="Y177" s="282"/>
      <c r="Z177" s="282" t="s">
        <v>4840</v>
      </c>
      <c r="AA177" s="282">
        <v>14.83594864</v>
      </c>
      <c r="AB177" s="55" t="s">
        <v>72</v>
      </c>
      <c r="AC177" t="s">
        <v>71</v>
      </c>
    </row>
    <row r="178" spans="1:29" x14ac:dyDescent="0.2">
      <c r="A178" s="282">
        <v>3205</v>
      </c>
      <c r="B178" s="282">
        <v>9798</v>
      </c>
      <c r="C178" s="282" t="s">
        <v>3410</v>
      </c>
      <c r="D178" s="282" t="str">
        <f>IF(Table28[[#This Row],[% Leakage Reduction (Calculated)]]&gt;0.4, "Greater than 40% Air Reduction", "Less than 40% Air Reduction")</f>
        <v>Less than 40% Air Reduction</v>
      </c>
      <c r="E178" s="282" t="s">
        <v>4831</v>
      </c>
      <c r="F178" s="282" t="s">
        <v>4832</v>
      </c>
      <c r="G178" s="282" t="s">
        <v>4833</v>
      </c>
      <c r="H178" s="282" t="s">
        <v>4838</v>
      </c>
      <c r="I178" s="282">
        <v>14.61</v>
      </c>
      <c r="J178" s="282" t="s">
        <v>4834</v>
      </c>
      <c r="K178" s="282">
        <v>12</v>
      </c>
      <c r="L178" s="282" t="s">
        <v>4835</v>
      </c>
      <c r="M178" s="283">
        <f t="shared" si="4"/>
        <v>0.17864476386036957</v>
      </c>
      <c r="N178" s="282">
        <v>3280</v>
      </c>
      <c r="O178" s="282">
        <v>2.2999999999999998</v>
      </c>
      <c r="P178" s="282">
        <v>1963</v>
      </c>
      <c r="Q178" s="282">
        <f>2023-Table28[[#This Row],[year_built]]</f>
        <v>60</v>
      </c>
      <c r="R178" s="282">
        <v>1000</v>
      </c>
      <c r="S178" s="282" t="s">
        <v>4958</v>
      </c>
      <c r="T178" s="282" t="s">
        <v>4906</v>
      </c>
      <c r="U178" s="282">
        <v>2019</v>
      </c>
      <c r="V178" s="284">
        <f t="shared" si="5"/>
        <v>0.3048780487804878</v>
      </c>
      <c r="W178" s="292">
        <f>Table28[[#This Row],[$/sqft]]/INDEX(CPI!$A$3:$C$31,MATCH(Table28[[#This Row],[start_year]],CPI!$A$3:$A$31,0),3)</f>
        <v>0.36258668218281714</v>
      </c>
      <c r="X178" s="282"/>
      <c r="Y178" s="282" t="s">
        <v>4872</v>
      </c>
      <c r="Z178" s="282" t="s">
        <v>4907</v>
      </c>
      <c r="AA178" s="282">
        <v>17.86447639</v>
      </c>
      <c r="AB178" s="55" t="s">
        <v>72</v>
      </c>
      <c r="AC178" t="s">
        <v>71</v>
      </c>
    </row>
    <row r="179" spans="1:29" x14ac:dyDescent="0.2">
      <c r="A179" s="282">
        <v>5044</v>
      </c>
      <c r="B179" s="282">
        <v>12270</v>
      </c>
      <c r="C179" s="282" t="s">
        <v>3410</v>
      </c>
      <c r="D179" s="282" t="str">
        <f>IF(Table28[[#This Row],[% Leakage Reduction (Calculated)]]&gt;0.4, "Greater than 40% Air Reduction", "Less than 40% Air Reduction")</f>
        <v>Less than 40% Air Reduction</v>
      </c>
      <c r="E179" s="282" t="s">
        <v>4831</v>
      </c>
      <c r="F179" s="282" t="s">
        <v>4832</v>
      </c>
      <c r="G179" s="282" t="s">
        <v>4833</v>
      </c>
      <c r="H179" s="282" t="s">
        <v>4972</v>
      </c>
      <c r="I179" s="282">
        <v>5120</v>
      </c>
      <c r="J179" s="282" t="s">
        <v>4852</v>
      </c>
      <c r="K179" s="282">
        <v>4107</v>
      </c>
      <c r="L179" s="282" t="s">
        <v>4853</v>
      </c>
      <c r="M179" s="283">
        <f t="shared" si="4"/>
        <v>0.19785156249999999</v>
      </c>
      <c r="N179" s="282">
        <v>2000</v>
      </c>
      <c r="O179" s="282"/>
      <c r="P179" s="282">
        <v>1994</v>
      </c>
      <c r="Q179" s="282">
        <f>2023-Table28[[#This Row],[year_built]]</f>
        <v>29</v>
      </c>
      <c r="R179" s="282">
        <v>598.79999999999995</v>
      </c>
      <c r="S179" s="282" t="s">
        <v>4985</v>
      </c>
      <c r="T179" s="282" t="s">
        <v>4979</v>
      </c>
      <c r="U179" s="282">
        <v>2018</v>
      </c>
      <c r="V179" s="284">
        <f t="shared" si="5"/>
        <v>0.2994</v>
      </c>
      <c r="W179" s="292">
        <f>Table28[[#This Row],[$/sqft]]/INDEX(CPI!$A$3:$C$31,MATCH(Table28[[#This Row],[start_year]],CPI!$A$3:$A$31,0),3)</f>
        <v>0.36259474313022705</v>
      </c>
      <c r="X179" s="282" t="s">
        <v>1241</v>
      </c>
      <c r="Y179" s="282"/>
      <c r="Z179" s="282" t="s">
        <v>4840</v>
      </c>
      <c r="AA179" s="282">
        <v>19.78515625</v>
      </c>
      <c r="AB179" s="55" t="s">
        <v>72</v>
      </c>
      <c r="AC179" t="s">
        <v>71</v>
      </c>
    </row>
    <row r="180" spans="1:29" x14ac:dyDescent="0.2">
      <c r="A180" s="282">
        <v>5111</v>
      </c>
      <c r="B180" s="282">
        <v>12672</v>
      </c>
      <c r="C180" s="282" t="s">
        <v>3410</v>
      </c>
      <c r="D180" s="282" t="str">
        <f>IF(Table28[[#This Row],[% Leakage Reduction (Calculated)]]&gt;0.4, "Greater than 40% Air Reduction", "Less than 40% Air Reduction")</f>
        <v>Less than 40% Air Reduction</v>
      </c>
      <c r="E180" s="282" t="s">
        <v>4831</v>
      </c>
      <c r="F180" s="282" t="s">
        <v>4832</v>
      </c>
      <c r="G180" s="282" t="s">
        <v>4833</v>
      </c>
      <c r="H180" s="282" t="s">
        <v>4972</v>
      </c>
      <c r="I180" s="282">
        <v>2583</v>
      </c>
      <c r="J180" s="282" t="s">
        <v>4852</v>
      </c>
      <c r="K180" s="282">
        <v>1863</v>
      </c>
      <c r="L180" s="282" t="s">
        <v>4853</v>
      </c>
      <c r="M180" s="283">
        <f t="shared" si="4"/>
        <v>0.27874564459930312</v>
      </c>
      <c r="N180" s="282">
        <v>1100</v>
      </c>
      <c r="O180" s="282"/>
      <c r="P180" s="282">
        <v>1996</v>
      </c>
      <c r="Q180" s="282">
        <f>2023-Table28[[#This Row],[year_built]]</f>
        <v>27</v>
      </c>
      <c r="R180" s="282">
        <v>336.06</v>
      </c>
      <c r="S180" s="282" t="s">
        <v>4987</v>
      </c>
      <c r="T180" s="282" t="s">
        <v>4979</v>
      </c>
      <c r="U180" s="282">
        <v>2019</v>
      </c>
      <c r="V180" s="284">
        <f t="shared" si="5"/>
        <v>0.3055090909090909</v>
      </c>
      <c r="W180" s="292">
        <f>Table28[[#This Row],[$/sqft]]/INDEX(CPI!$A$3:$C$31,MATCH(Table28[[#This Row],[start_year]],CPI!$A$3:$A$31,0),3)</f>
        <v>0.36333717069008425</v>
      </c>
      <c r="X180" s="282" t="s">
        <v>4844</v>
      </c>
      <c r="Y180" s="282"/>
      <c r="Z180" s="282" t="s">
        <v>4840</v>
      </c>
      <c r="AA180" s="282">
        <v>27.874564459999998</v>
      </c>
      <c r="AB180" s="55" t="s">
        <v>72</v>
      </c>
      <c r="AC180" t="s">
        <v>71</v>
      </c>
    </row>
    <row r="181" spans="1:29" x14ac:dyDescent="0.2">
      <c r="A181" s="282">
        <v>3228</v>
      </c>
      <c r="B181" s="282">
        <v>9869</v>
      </c>
      <c r="C181" s="282" t="s">
        <v>3410</v>
      </c>
      <c r="D181" s="282" t="str">
        <f>IF(Table28[[#This Row],[% Leakage Reduction (Calculated)]]&gt;0.4, "Greater than 40% Air Reduction", "Less than 40% Air Reduction")</f>
        <v>Less than 40% Air Reduction</v>
      </c>
      <c r="E181" s="282" t="s">
        <v>4831</v>
      </c>
      <c r="F181" s="282" t="s">
        <v>4832</v>
      </c>
      <c r="G181" s="282" t="s">
        <v>4833</v>
      </c>
      <c r="H181" s="282" t="s">
        <v>4838</v>
      </c>
      <c r="I181" s="282">
        <v>15.16</v>
      </c>
      <c r="J181" s="282" t="s">
        <v>4834</v>
      </c>
      <c r="K181" s="282">
        <v>12.88</v>
      </c>
      <c r="L181" s="282" t="s">
        <v>4835</v>
      </c>
      <c r="M181" s="283">
        <f t="shared" si="4"/>
        <v>0.15039577836411605</v>
      </c>
      <c r="N181" s="282">
        <v>1092</v>
      </c>
      <c r="O181" s="282">
        <v>1</v>
      </c>
      <c r="P181" s="282">
        <v>1973</v>
      </c>
      <c r="Q181" s="282">
        <f>2023-Table28[[#This Row],[year_built]]</f>
        <v>50</v>
      </c>
      <c r="R181" s="282">
        <v>3242.2</v>
      </c>
      <c r="S181" s="282" t="s">
        <v>4931</v>
      </c>
      <c r="T181" s="282" t="s">
        <v>4906</v>
      </c>
      <c r="U181" s="282">
        <v>2019</v>
      </c>
      <c r="V181" s="284">
        <f t="shared" si="5"/>
        <v>2.9690476190476187</v>
      </c>
      <c r="W181" s="292">
        <f>Table28[[#This Row],[$/sqft]]/INDEX(CPI!$A$3:$C$31,MATCH(Table28[[#This Row],[start_year]],CPI!$A$3:$A$31,0),3)</f>
        <v>3.5310417714211222</v>
      </c>
      <c r="X181" s="282"/>
      <c r="Y181" s="282" t="s">
        <v>217</v>
      </c>
      <c r="Z181" s="282" t="s">
        <v>4907</v>
      </c>
      <c r="AA181" s="282">
        <v>15.03957784</v>
      </c>
      <c r="AB181" s="55" t="s">
        <v>71</v>
      </c>
      <c r="AC181" t="s">
        <v>72</v>
      </c>
    </row>
    <row r="182" spans="1:29" x14ac:dyDescent="0.2">
      <c r="A182" s="282">
        <v>4043</v>
      </c>
      <c r="B182" s="282">
        <v>11188</v>
      </c>
      <c r="C182" s="282" t="s">
        <v>3410</v>
      </c>
      <c r="D182" s="282" t="str">
        <f>IF(Table28[[#This Row],[% Leakage Reduction (Calculated)]]&gt;0.4, "Greater than 40% Air Reduction", "Less than 40% Air Reduction")</f>
        <v>Greater than 40% Air Reduction</v>
      </c>
      <c r="E182" s="282" t="s">
        <v>4831</v>
      </c>
      <c r="F182" s="282" t="s">
        <v>4832</v>
      </c>
      <c r="G182" s="282" t="s">
        <v>4833</v>
      </c>
      <c r="H182" s="282" t="s">
        <v>4838</v>
      </c>
      <c r="I182" s="282">
        <v>5405</v>
      </c>
      <c r="J182" s="282" t="s">
        <v>4852</v>
      </c>
      <c r="K182" s="282">
        <v>2858</v>
      </c>
      <c r="L182" s="282" t="s">
        <v>4853</v>
      </c>
      <c r="M182" s="283">
        <f t="shared" si="4"/>
        <v>0.47123034227567068</v>
      </c>
      <c r="N182" s="282">
        <v>1352</v>
      </c>
      <c r="O182" s="282"/>
      <c r="P182" s="282">
        <v>1980</v>
      </c>
      <c r="Q182" s="282">
        <f>2023-Table28[[#This Row],[year_built]]</f>
        <v>43</v>
      </c>
      <c r="R182" s="282">
        <v>415.86</v>
      </c>
      <c r="S182" s="282" t="s">
        <v>4973</v>
      </c>
      <c r="T182" s="282" t="s">
        <v>4969</v>
      </c>
      <c r="U182" s="282">
        <v>2019</v>
      </c>
      <c r="V182" s="284">
        <f t="shared" si="5"/>
        <v>0.3075887573964497</v>
      </c>
      <c r="W182" s="292">
        <f>Table28[[#This Row],[$/sqft]]/INDEX(CPI!$A$3:$C$31,MATCH(Table28[[#This Row],[start_year]],CPI!$A$3:$A$31,0),3)</f>
        <v>0.36581048542925443</v>
      </c>
      <c r="X182" s="282" t="s">
        <v>1241</v>
      </c>
      <c r="Y182" s="282"/>
      <c r="Z182" s="282" t="s">
        <v>4840</v>
      </c>
      <c r="AA182" s="282">
        <v>47.123034230000002</v>
      </c>
      <c r="AB182" s="55" t="s">
        <v>72</v>
      </c>
      <c r="AC182" t="s">
        <v>71</v>
      </c>
    </row>
    <row r="183" spans="1:29" x14ac:dyDescent="0.2">
      <c r="A183" s="282">
        <v>5130</v>
      </c>
      <c r="B183" s="282">
        <v>12787</v>
      </c>
      <c r="C183" s="282" t="s">
        <v>3410</v>
      </c>
      <c r="D183" s="282" t="str">
        <f>IF(Table28[[#This Row],[% Leakage Reduction (Calculated)]]&gt;0.4, "Greater than 40% Air Reduction", "Less than 40% Air Reduction")</f>
        <v>Less than 40% Air Reduction</v>
      </c>
      <c r="E183" s="282" t="s">
        <v>4831</v>
      </c>
      <c r="F183" s="282" t="s">
        <v>4832</v>
      </c>
      <c r="G183" s="282" t="s">
        <v>4833</v>
      </c>
      <c r="H183" s="282" t="s">
        <v>4972</v>
      </c>
      <c r="I183" s="282">
        <v>2692</v>
      </c>
      <c r="J183" s="282" t="s">
        <v>4852</v>
      </c>
      <c r="K183" s="282">
        <v>2237</v>
      </c>
      <c r="L183" s="282" t="s">
        <v>4853</v>
      </c>
      <c r="M183" s="283">
        <f t="shared" si="4"/>
        <v>0.16901931649331353</v>
      </c>
      <c r="N183" s="282">
        <v>1700</v>
      </c>
      <c r="O183" s="282"/>
      <c r="P183" s="282">
        <v>1999</v>
      </c>
      <c r="Q183" s="282">
        <f>2023-Table28[[#This Row],[year_built]]</f>
        <v>24</v>
      </c>
      <c r="R183" s="282">
        <v>523.94000000000005</v>
      </c>
      <c r="S183" s="282" t="s">
        <v>4988</v>
      </c>
      <c r="T183" s="282" t="s">
        <v>4979</v>
      </c>
      <c r="U183" s="282">
        <v>2019</v>
      </c>
      <c r="V183" s="284">
        <f t="shared" si="5"/>
        <v>0.30820000000000003</v>
      </c>
      <c r="W183" s="292">
        <f>Table28[[#This Row],[$/sqft]]/INDEX(CPI!$A$3:$C$31,MATCH(Table28[[#This Row],[start_year]],CPI!$A$3:$A$31,0),3)</f>
        <v>0.36653742667188116</v>
      </c>
      <c r="X183" s="282" t="s">
        <v>1241</v>
      </c>
      <c r="Y183" s="282"/>
      <c r="Z183" s="282" t="s">
        <v>4840</v>
      </c>
      <c r="AA183" s="282">
        <v>16.901931650000002</v>
      </c>
      <c r="AB183" s="55" t="s">
        <v>72</v>
      </c>
      <c r="AC183" t="s">
        <v>71</v>
      </c>
    </row>
    <row r="184" spans="1:29" x14ac:dyDescent="0.2">
      <c r="A184" s="282">
        <v>1237</v>
      </c>
      <c r="B184" s="282">
        <v>3110</v>
      </c>
      <c r="C184" s="282" t="s">
        <v>3410</v>
      </c>
      <c r="D184" s="282" t="str">
        <f>IF(Table28[[#This Row],[% Leakage Reduction (Calculated)]]&gt;0.4, "Greater than 40% Air Reduction", "Less than 40% Air Reduction")</f>
        <v>Less than 40% Air Reduction</v>
      </c>
      <c r="E184" s="282" t="s">
        <v>4831</v>
      </c>
      <c r="F184" s="282" t="s">
        <v>4832</v>
      </c>
      <c r="G184" s="282" t="s">
        <v>4833</v>
      </c>
      <c r="H184" s="282" t="s">
        <v>4838</v>
      </c>
      <c r="I184" s="282">
        <v>6.7</v>
      </c>
      <c r="J184" s="282" t="s">
        <v>4834</v>
      </c>
      <c r="K184" s="282">
        <v>5.5</v>
      </c>
      <c r="L184" s="282" t="s">
        <v>4835</v>
      </c>
      <c r="M184" s="283">
        <f t="shared" si="4"/>
        <v>0.17910447761194032</v>
      </c>
      <c r="N184" s="282">
        <v>1217</v>
      </c>
      <c r="O184" s="282">
        <v>1</v>
      </c>
      <c r="P184" s="282">
        <v>1995</v>
      </c>
      <c r="Q184" s="282">
        <f>2023-Table28[[#This Row],[year_built]]</f>
        <v>28</v>
      </c>
      <c r="R184" s="282">
        <v>330</v>
      </c>
      <c r="S184" s="282" t="s">
        <v>4845</v>
      </c>
      <c r="T184" s="282" t="s">
        <v>4837</v>
      </c>
      <c r="U184" s="282">
        <v>2011</v>
      </c>
      <c r="V184" s="284">
        <f t="shared" si="5"/>
        <v>0.27115858668857845</v>
      </c>
      <c r="W184" s="292">
        <f>Table28[[#This Row],[$/sqft]]/INDEX(CPI!$A$3:$C$31,MATCH(Table28[[#This Row],[start_year]],CPI!$A$3:$A$31,0),3)</f>
        <v>0.36658527961801518</v>
      </c>
      <c r="X184" s="282" t="s">
        <v>56</v>
      </c>
      <c r="Y184" s="282" t="s">
        <v>4839</v>
      </c>
      <c r="Z184" s="282" t="s">
        <v>4840</v>
      </c>
      <c r="AA184" s="282">
        <v>17.91044776</v>
      </c>
      <c r="AB184" s="55" t="s">
        <v>72</v>
      </c>
      <c r="AC184" t="s">
        <v>71</v>
      </c>
    </row>
    <row r="185" spans="1:29" x14ac:dyDescent="0.2">
      <c r="A185" s="282">
        <v>5039</v>
      </c>
      <c r="B185" s="282">
        <v>12241</v>
      </c>
      <c r="C185" s="282" t="s">
        <v>3410</v>
      </c>
      <c r="D185" s="282" t="str">
        <f>IF(Table28[[#This Row],[% Leakage Reduction (Calculated)]]&gt;0.4, "Greater than 40% Air Reduction", "Less than 40% Air Reduction")</f>
        <v>Less than 40% Air Reduction</v>
      </c>
      <c r="E185" s="282" t="s">
        <v>4831</v>
      </c>
      <c r="F185" s="282" t="s">
        <v>4832</v>
      </c>
      <c r="G185" s="282" t="s">
        <v>4833</v>
      </c>
      <c r="H185" s="282" t="s">
        <v>4972</v>
      </c>
      <c r="I185" s="282">
        <v>3169</v>
      </c>
      <c r="J185" s="282" t="s">
        <v>4852</v>
      </c>
      <c r="K185" s="282">
        <v>2529</v>
      </c>
      <c r="L185" s="282" t="s">
        <v>4853</v>
      </c>
      <c r="M185" s="283">
        <f t="shared" si="4"/>
        <v>0.20195645313979174</v>
      </c>
      <c r="N185" s="282">
        <v>1800</v>
      </c>
      <c r="O185" s="282"/>
      <c r="P185" s="282">
        <v>1998</v>
      </c>
      <c r="Q185" s="282">
        <f>2023-Table28[[#This Row],[year_built]]</f>
        <v>25</v>
      </c>
      <c r="R185" s="282">
        <v>548.88</v>
      </c>
      <c r="S185" s="282" t="s">
        <v>4980</v>
      </c>
      <c r="T185" s="282" t="s">
        <v>4979</v>
      </c>
      <c r="U185" s="282">
        <v>2018</v>
      </c>
      <c r="V185" s="284">
        <f t="shared" si="5"/>
        <v>0.30493333333333333</v>
      </c>
      <c r="W185" s="292">
        <f>Table28[[#This Row],[$/sqft]]/INDEX(CPI!$A$3:$C$31,MATCH(Table28[[#This Row],[start_year]],CPI!$A$3:$A$31,0),3)</f>
        <v>0.3692960042479756</v>
      </c>
      <c r="X185" s="282" t="s">
        <v>4844</v>
      </c>
      <c r="Y185" s="282"/>
      <c r="Z185" s="282" t="s">
        <v>4840</v>
      </c>
      <c r="AA185" s="282">
        <v>20.19564531</v>
      </c>
      <c r="AB185" s="55" t="s">
        <v>72</v>
      </c>
      <c r="AC185" t="s">
        <v>71</v>
      </c>
    </row>
    <row r="186" spans="1:29" x14ac:dyDescent="0.2">
      <c r="A186" s="282">
        <v>5193</v>
      </c>
      <c r="B186" s="282">
        <v>13168</v>
      </c>
      <c r="C186" s="282" t="s">
        <v>3410</v>
      </c>
      <c r="D186" s="282" t="str">
        <f>IF(Table28[[#This Row],[% Leakage Reduction (Calculated)]]&gt;0.4, "Greater than 40% Air Reduction", "Less than 40% Air Reduction")</f>
        <v>Less than 40% Air Reduction</v>
      </c>
      <c r="E186" s="282" t="s">
        <v>4831</v>
      </c>
      <c r="F186" s="282" t="s">
        <v>4832</v>
      </c>
      <c r="G186" s="282" t="s">
        <v>4833</v>
      </c>
      <c r="H186" s="282" t="s">
        <v>4972</v>
      </c>
      <c r="I186" s="282">
        <v>1941</v>
      </c>
      <c r="J186" s="282" t="s">
        <v>4852</v>
      </c>
      <c r="K186" s="282">
        <v>1387</v>
      </c>
      <c r="L186" s="282" t="s">
        <v>4853</v>
      </c>
      <c r="M186" s="283">
        <f t="shared" si="4"/>
        <v>0.2854198866563627</v>
      </c>
      <c r="N186" s="282">
        <v>1468</v>
      </c>
      <c r="O186" s="282"/>
      <c r="P186" s="282">
        <v>1994</v>
      </c>
      <c r="Q186" s="282">
        <f>2023-Table28[[#This Row],[year_built]]</f>
        <v>29</v>
      </c>
      <c r="R186" s="282">
        <v>447.83</v>
      </c>
      <c r="S186" s="282" t="s">
        <v>4990</v>
      </c>
      <c r="T186" s="282" t="s">
        <v>4979</v>
      </c>
      <c r="U186" s="282">
        <v>2018</v>
      </c>
      <c r="V186" s="284">
        <f t="shared" si="5"/>
        <v>0.30506130790190733</v>
      </c>
      <c r="W186" s="292">
        <f>Table28[[#This Row],[$/sqft]]/INDEX(CPI!$A$3:$C$31,MATCH(Table28[[#This Row],[start_year]],CPI!$A$3:$A$31,0),3)</f>
        <v>0.36945099057335734</v>
      </c>
      <c r="X186" s="282" t="s">
        <v>4844</v>
      </c>
      <c r="Y186" s="282"/>
      <c r="Z186" s="282" t="s">
        <v>4840</v>
      </c>
      <c r="AA186" s="282">
        <v>28.541988669999999</v>
      </c>
      <c r="AB186" s="55" t="s">
        <v>72</v>
      </c>
      <c r="AC186" t="s">
        <v>71</v>
      </c>
    </row>
    <row r="187" spans="1:29" x14ac:dyDescent="0.2">
      <c r="A187" s="282">
        <v>5084</v>
      </c>
      <c r="B187" s="282">
        <v>12510</v>
      </c>
      <c r="C187" s="282" t="s">
        <v>3410</v>
      </c>
      <c r="D187" s="282" t="str">
        <f>IF(Table28[[#This Row],[% Leakage Reduction (Calculated)]]&gt;0.4, "Greater than 40% Air Reduction", "Less than 40% Air Reduction")</f>
        <v>Less than 40% Air Reduction</v>
      </c>
      <c r="E187" s="282" t="s">
        <v>4831</v>
      </c>
      <c r="F187" s="282" t="s">
        <v>4832</v>
      </c>
      <c r="G187" s="282" t="s">
        <v>4833</v>
      </c>
      <c r="H187" s="282" t="s">
        <v>4838</v>
      </c>
      <c r="I187" s="282">
        <v>2620</v>
      </c>
      <c r="J187" s="282" t="s">
        <v>4852</v>
      </c>
      <c r="K187" s="282">
        <v>1996</v>
      </c>
      <c r="L187" s="282" t="s">
        <v>4853</v>
      </c>
      <c r="M187" s="283">
        <f t="shared" si="4"/>
        <v>0.2381679389312977</v>
      </c>
      <c r="N187" s="282">
        <v>1400</v>
      </c>
      <c r="O187" s="282"/>
      <c r="P187" s="282">
        <v>1993</v>
      </c>
      <c r="Q187" s="282">
        <f>2023-Table28[[#This Row],[year_built]]</f>
        <v>30</v>
      </c>
      <c r="R187" s="282">
        <v>435.13</v>
      </c>
      <c r="S187" s="282" t="s">
        <v>4990</v>
      </c>
      <c r="T187" s="282" t="s">
        <v>4979</v>
      </c>
      <c r="U187" s="282">
        <v>2019</v>
      </c>
      <c r="V187" s="284">
        <f t="shared" si="5"/>
        <v>0.31080714285714284</v>
      </c>
      <c r="W187" s="292">
        <f>Table28[[#This Row],[$/sqft]]/INDEX(CPI!$A$3:$C$31,MATCH(Table28[[#This Row],[start_year]],CPI!$A$3:$A$31,0),3)</f>
        <v>0.36963806078551875</v>
      </c>
      <c r="X187" s="282" t="s">
        <v>4844</v>
      </c>
      <c r="Y187" s="282"/>
      <c r="Z187" s="282" t="s">
        <v>4840</v>
      </c>
      <c r="AA187" s="282">
        <v>23.81679389</v>
      </c>
      <c r="AB187" s="55" t="s">
        <v>72</v>
      </c>
      <c r="AC187" t="s">
        <v>71</v>
      </c>
    </row>
    <row r="188" spans="1:29" x14ac:dyDescent="0.2">
      <c r="A188" s="282">
        <v>5162</v>
      </c>
      <c r="B188" s="282">
        <v>12989</v>
      </c>
      <c r="C188" s="282" t="s">
        <v>3410</v>
      </c>
      <c r="D188" s="282" t="str">
        <f>IF(Table28[[#This Row],[% Leakage Reduction (Calculated)]]&gt;0.4, "Greater than 40% Air Reduction", "Less than 40% Air Reduction")</f>
        <v>Less than 40% Air Reduction</v>
      </c>
      <c r="E188" s="282" t="s">
        <v>4831</v>
      </c>
      <c r="F188" s="282" t="s">
        <v>4832</v>
      </c>
      <c r="G188" s="282" t="s">
        <v>4833</v>
      </c>
      <c r="H188" s="282" t="s">
        <v>4972</v>
      </c>
      <c r="I188" s="282">
        <v>2868</v>
      </c>
      <c r="J188" s="282" t="s">
        <v>4852</v>
      </c>
      <c r="K188" s="282">
        <v>2462</v>
      </c>
      <c r="L188" s="282" t="s">
        <v>4853</v>
      </c>
      <c r="M188" s="283">
        <f t="shared" si="4"/>
        <v>0.14156206415620642</v>
      </c>
      <c r="N188" s="282">
        <v>1971</v>
      </c>
      <c r="O188" s="282"/>
      <c r="P188" s="282">
        <v>2004</v>
      </c>
      <c r="Q188" s="282">
        <f>2023-Table28[[#This Row],[year_built]]</f>
        <v>19</v>
      </c>
      <c r="R188" s="282">
        <v>615.30999999999995</v>
      </c>
      <c r="S188" s="282" t="s">
        <v>4997</v>
      </c>
      <c r="T188" s="282" t="s">
        <v>4979</v>
      </c>
      <c r="U188" s="282">
        <v>2019</v>
      </c>
      <c r="V188" s="284">
        <f t="shared" si="5"/>
        <v>0.31218163368848295</v>
      </c>
      <c r="W188" s="292">
        <f>Table28[[#This Row],[$/sqft]]/INDEX(CPI!$A$3:$C$31,MATCH(Table28[[#This Row],[start_year]],CPI!$A$3:$A$31,0),3)</f>
        <v>0.37127272117586108</v>
      </c>
      <c r="X188" s="282" t="s">
        <v>4844</v>
      </c>
      <c r="Y188" s="282"/>
      <c r="Z188" s="282" t="s">
        <v>4840</v>
      </c>
      <c r="AA188" s="282">
        <v>14.15620642</v>
      </c>
      <c r="AB188" s="55" t="s">
        <v>72</v>
      </c>
      <c r="AC188" t="s">
        <v>71</v>
      </c>
    </row>
    <row r="189" spans="1:29" x14ac:dyDescent="0.2">
      <c r="A189" s="282">
        <v>1247</v>
      </c>
      <c r="B189" s="282">
        <v>3209</v>
      </c>
      <c r="C189" s="282" t="s">
        <v>3410</v>
      </c>
      <c r="D189" s="282" t="str">
        <f>IF(Table28[[#This Row],[% Leakage Reduction (Calculated)]]&gt;0.4, "Greater than 40% Air Reduction", "Less than 40% Air Reduction")</f>
        <v>Less than 40% Air Reduction</v>
      </c>
      <c r="E189" s="282" t="s">
        <v>4831</v>
      </c>
      <c r="F189" s="282" t="s">
        <v>4832</v>
      </c>
      <c r="G189" s="282" t="s">
        <v>4833</v>
      </c>
      <c r="H189" s="282" t="s">
        <v>4838</v>
      </c>
      <c r="I189" s="282">
        <v>10.95</v>
      </c>
      <c r="J189" s="282" t="s">
        <v>4834</v>
      </c>
      <c r="K189" s="282">
        <v>8.1199999999999992</v>
      </c>
      <c r="L189" s="282" t="s">
        <v>4835</v>
      </c>
      <c r="M189" s="283">
        <f t="shared" si="4"/>
        <v>0.25844748858447492</v>
      </c>
      <c r="N189" s="282">
        <v>1092</v>
      </c>
      <c r="O189" s="282">
        <v>1</v>
      </c>
      <c r="P189" s="282">
        <v>1977</v>
      </c>
      <c r="Q189" s="282">
        <f>2023-Table28[[#This Row],[year_built]]</f>
        <v>46</v>
      </c>
      <c r="R189" s="282">
        <v>300</v>
      </c>
      <c r="S189" s="282" t="s">
        <v>4836</v>
      </c>
      <c r="T189" s="282" t="s">
        <v>4837</v>
      </c>
      <c r="U189" s="282">
        <v>2011</v>
      </c>
      <c r="V189" s="284">
        <f t="shared" si="5"/>
        <v>0.27472527472527475</v>
      </c>
      <c r="W189" s="292">
        <f>Table28[[#This Row],[$/sqft]]/INDEX(CPI!$A$3:$C$31,MATCH(Table28[[#This Row],[start_year]],CPI!$A$3:$A$31,0),3)</f>
        <v>0.37140716391535511</v>
      </c>
      <c r="X189" s="282" t="s">
        <v>56</v>
      </c>
      <c r="Y189" s="282" t="s">
        <v>4839</v>
      </c>
      <c r="Z189" s="282" t="s">
        <v>4840</v>
      </c>
      <c r="AA189" s="282">
        <v>25.844748859999999</v>
      </c>
      <c r="AB189" s="55" t="s">
        <v>72</v>
      </c>
      <c r="AC189" t="s">
        <v>71</v>
      </c>
    </row>
    <row r="190" spans="1:29" x14ac:dyDescent="0.2">
      <c r="A190" s="282">
        <v>5030</v>
      </c>
      <c r="B190" s="282">
        <v>12187</v>
      </c>
      <c r="C190" s="282" t="s">
        <v>3410</v>
      </c>
      <c r="D190" s="282" t="str">
        <f>IF(Table28[[#This Row],[% Leakage Reduction (Calculated)]]&gt;0.4, "Greater than 40% Air Reduction", "Less than 40% Air Reduction")</f>
        <v>Less than 40% Air Reduction</v>
      </c>
      <c r="E190" s="282" t="s">
        <v>4831</v>
      </c>
      <c r="F190" s="282" t="s">
        <v>4832</v>
      </c>
      <c r="G190" s="282" t="s">
        <v>4833</v>
      </c>
      <c r="H190" s="282" t="s">
        <v>4972</v>
      </c>
      <c r="I190" s="282">
        <v>1991</v>
      </c>
      <c r="J190" s="282" t="s">
        <v>4852</v>
      </c>
      <c r="K190" s="282">
        <v>1587</v>
      </c>
      <c r="L190" s="282" t="s">
        <v>4853</v>
      </c>
      <c r="M190" s="283">
        <f t="shared" si="4"/>
        <v>0.20291310899045706</v>
      </c>
      <c r="N190" s="282">
        <v>900</v>
      </c>
      <c r="O190" s="282"/>
      <c r="P190" s="282">
        <v>1998</v>
      </c>
      <c r="Q190" s="282">
        <f>2023-Table28[[#This Row],[year_built]]</f>
        <v>25</v>
      </c>
      <c r="R190" s="282">
        <v>281.19</v>
      </c>
      <c r="S190" s="282" t="s">
        <v>4981</v>
      </c>
      <c r="T190" s="282" t="s">
        <v>4979</v>
      </c>
      <c r="U190" s="282">
        <v>2019</v>
      </c>
      <c r="V190" s="284">
        <f t="shared" si="5"/>
        <v>0.31243333333333334</v>
      </c>
      <c r="W190" s="292">
        <f>Table28[[#This Row],[$/sqft]]/INDEX(CPI!$A$3:$C$31,MATCH(Table28[[#This Row],[start_year]],CPI!$A$3:$A$31,0),3)</f>
        <v>0.37157206361621697</v>
      </c>
      <c r="X190" s="282" t="s">
        <v>1241</v>
      </c>
      <c r="Y190" s="282"/>
      <c r="Z190" s="282" t="s">
        <v>4840</v>
      </c>
      <c r="AA190" s="282">
        <v>20.291310899999999</v>
      </c>
      <c r="AB190" s="55" t="s">
        <v>72</v>
      </c>
      <c r="AC190" t="s">
        <v>71</v>
      </c>
    </row>
    <row r="191" spans="1:29" x14ac:dyDescent="0.2">
      <c r="A191" s="282">
        <v>3080</v>
      </c>
      <c r="B191" s="282">
        <v>9355</v>
      </c>
      <c r="C191" s="282" t="s">
        <v>3410</v>
      </c>
      <c r="D191" s="282" t="str">
        <f>IF(Table28[[#This Row],[% Leakage Reduction (Calculated)]]&gt;0.4, "Greater than 40% Air Reduction", "Less than 40% Air Reduction")</f>
        <v>Less than 40% Air Reduction</v>
      </c>
      <c r="E191" s="282" t="s">
        <v>4831</v>
      </c>
      <c r="F191" s="282" t="s">
        <v>4832</v>
      </c>
      <c r="G191" s="282" t="s">
        <v>4833</v>
      </c>
      <c r="H191" s="282" t="s">
        <v>4838</v>
      </c>
      <c r="I191" s="282">
        <v>11.82</v>
      </c>
      <c r="J191" s="282" t="s">
        <v>4834</v>
      </c>
      <c r="K191" s="282">
        <v>10.82</v>
      </c>
      <c r="L191" s="282" t="s">
        <v>4835</v>
      </c>
      <c r="M191" s="283">
        <f t="shared" si="4"/>
        <v>8.4602368866328256E-2</v>
      </c>
      <c r="N191" s="282">
        <v>1180</v>
      </c>
      <c r="O191" s="282">
        <v>1.91</v>
      </c>
      <c r="P191" s="282">
        <v>1954</v>
      </c>
      <c r="Q191" s="282">
        <f>2023-Table28[[#This Row],[year_built]]</f>
        <v>69</v>
      </c>
      <c r="R191" s="282">
        <v>372</v>
      </c>
      <c r="S191" s="282" t="s">
        <v>4941</v>
      </c>
      <c r="T191" s="282" t="s">
        <v>4906</v>
      </c>
      <c r="U191" s="282">
        <v>2019</v>
      </c>
      <c r="V191" s="284">
        <f t="shared" si="5"/>
        <v>0.31525423728813562</v>
      </c>
      <c r="W191" s="292">
        <f>Table28[[#This Row],[$/sqft]]/INDEX(CPI!$A$3:$C$31,MATCH(Table28[[#This Row],[start_year]],CPI!$A$3:$A$31,0),3)</f>
        <v>0.37492692045100529</v>
      </c>
      <c r="X191" s="282"/>
      <c r="Y191" s="282" t="s">
        <v>217</v>
      </c>
      <c r="Z191" s="282" t="s">
        <v>4907</v>
      </c>
      <c r="AA191" s="282">
        <v>8.4602368870000006</v>
      </c>
      <c r="AB191" s="55" t="s">
        <v>72</v>
      </c>
      <c r="AC191" t="s">
        <v>71</v>
      </c>
    </row>
    <row r="192" spans="1:29" x14ac:dyDescent="0.2">
      <c r="A192" s="282">
        <v>5178</v>
      </c>
      <c r="B192" s="282">
        <v>13084</v>
      </c>
      <c r="C192" s="282" t="s">
        <v>3410</v>
      </c>
      <c r="D192" s="282" t="str">
        <f>IF(Table28[[#This Row],[% Leakage Reduction (Calculated)]]&gt;0.4, "Greater than 40% Air Reduction", "Less than 40% Air Reduction")</f>
        <v>Less than 40% Air Reduction</v>
      </c>
      <c r="E192" s="282" t="s">
        <v>4831</v>
      </c>
      <c r="F192" s="282" t="s">
        <v>4832</v>
      </c>
      <c r="G192" s="282" t="s">
        <v>4833</v>
      </c>
      <c r="H192" s="282" t="s">
        <v>4972</v>
      </c>
      <c r="I192" s="282">
        <v>2636</v>
      </c>
      <c r="J192" s="282" t="s">
        <v>4852</v>
      </c>
      <c r="K192" s="282">
        <v>2017</v>
      </c>
      <c r="L192" s="282" t="s">
        <v>4853</v>
      </c>
      <c r="M192" s="283">
        <f t="shared" si="4"/>
        <v>0.23482549317147192</v>
      </c>
      <c r="N192" s="282">
        <v>1650</v>
      </c>
      <c r="O192" s="282"/>
      <c r="P192" s="282">
        <v>1996</v>
      </c>
      <c r="Q192" s="282">
        <f>2023-Table28[[#This Row],[year_built]]</f>
        <v>27</v>
      </c>
      <c r="R192" s="282">
        <v>511.09</v>
      </c>
      <c r="S192" s="282" t="s">
        <v>4978</v>
      </c>
      <c r="T192" s="282" t="s">
        <v>4979</v>
      </c>
      <c r="U192" s="282">
        <v>2018</v>
      </c>
      <c r="V192" s="284">
        <f t="shared" si="5"/>
        <v>0.30975151515151511</v>
      </c>
      <c r="W192" s="292">
        <f>Table28[[#This Row],[$/sqft]]/INDEX(CPI!$A$3:$C$31,MATCH(Table28[[#This Row],[start_year]],CPI!$A$3:$A$31,0),3)</f>
        <v>0.37513116590034151</v>
      </c>
      <c r="X192" s="282" t="s">
        <v>1241</v>
      </c>
      <c r="Y192" s="282"/>
      <c r="Z192" s="282" t="s">
        <v>4840</v>
      </c>
      <c r="AA192" s="282">
        <v>23.48254932</v>
      </c>
      <c r="AB192" s="55" t="s">
        <v>72</v>
      </c>
      <c r="AC192" t="s">
        <v>71</v>
      </c>
    </row>
    <row r="193" spans="1:29" x14ac:dyDescent="0.2">
      <c r="A193" s="282">
        <v>3119</v>
      </c>
      <c r="B193" s="282">
        <v>9511</v>
      </c>
      <c r="C193" s="282" t="s">
        <v>3410</v>
      </c>
      <c r="D193" s="282" t="str">
        <f>IF(Table28[[#This Row],[% Leakage Reduction (Calculated)]]&gt;0.4, "Greater than 40% Air Reduction", "Less than 40% Air Reduction")</f>
        <v>Less than 40% Air Reduction</v>
      </c>
      <c r="E193" s="282" t="s">
        <v>4831</v>
      </c>
      <c r="F193" s="282" t="s">
        <v>4832</v>
      </c>
      <c r="G193" s="282" t="s">
        <v>4833</v>
      </c>
      <c r="H193" s="282" t="s">
        <v>4838</v>
      </c>
      <c r="I193" s="282">
        <v>8.73</v>
      </c>
      <c r="J193" s="282" t="s">
        <v>4834</v>
      </c>
      <c r="K193" s="282">
        <v>6.52</v>
      </c>
      <c r="L193" s="282" t="s">
        <v>4835</v>
      </c>
      <c r="M193" s="283">
        <f t="shared" si="4"/>
        <v>0.25315005727376871</v>
      </c>
      <c r="N193" s="282">
        <v>2908</v>
      </c>
      <c r="O193" s="282">
        <v>2</v>
      </c>
      <c r="P193" s="282">
        <v>1977</v>
      </c>
      <c r="Q193" s="282">
        <f>2023-Table28[[#This Row],[year_built]]</f>
        <v>46</v>
      </c>
      <c r="R193" s="282">
        <v>920</v>
      </c>
      <c r="S193" s="282" t="s">
        <v>4951</v>
      </c>
      <c r="T193" s="282" t="s">
        <v>4906</v>
      </c>
      <c r="U193" s="282">
        <v>2019</v>
      </c>
      <c r="V193" s="284">
        <f t="shared" si="5"/>
        <v>0.31636863823933975</v>
      </c>
      <c r="W193" s="292">
        <f>Table28[[#This Row],[$/sqft]]/INDEX(CPI!$A$3:$C$31,MATCH(Table28[[#This Row],[start_year]],CPI!$A$3:$A$31,0),3)</f>
        <v>0.37625226002574591</v>
      </c>
      <c r="X193" s="282"/>
      <c r="Y193" s="282" t="s">
        <v>217</v>
      </c>
      <c r="Z193" s="282" t="s">
        <v>4840</v>
      </c>
      <c r="AA193" s="282">
        <v>25.315005729999999</v>
      </c>
      <c r="AB193" s="55" t="s">
        <v>72</v>
      </c>
      <c r="AC193" t="s">
        <v>71</v>
      </c>
    </row>
    <row r="194" spans="1:29" x14ac:dyDescent="0.2">
      <c r="A194" s="282">
        <v>1320</v>
      </c>
      <c r="B194" s="282">
        <v>4002</v>
      </c>
      <c r="C194" s="282" t="s">
        <v>3410</v>
      </c>
      <c r="D194" s="282" t="str">
        <f>IF(Table28[[#This Row],[% Leakage Reduction (Calculated)]]&gt;0.4, "Greater than 40% Air Reduction", "Less than 40% Air Reduction")</f>
        <v>Greater than 40% Air Reduction</v>
      </c>
      <c r="E194" s="282" t="s">
        <v>4831</v>
      </c>
      <c r="F194" s="282" t="s">
        <v>4832</v>
      </c>
      <c r="G194" s="282" t="s">
        <v>4833</v>
      </c>
      <c r="H194" s="282" t="s">
        <v>4838</v>
      </c>
      <c r="I194" s="282">
        <v>3700</v>
      </c>
      <c r="J194" s="282" t="s">
        <v>4852</v>
      </c>
      <c r="K194" s="282">
        <v>2117</v>
      </c>
      <c r="L194" s="282" t="s">
        <v>4853</v>
      </c>
      <c r="M194" s="283">
        <f t="shared" si="4"/>
        <v>0.42783783783783785</v>
      </c>
      <c r="N194" s="282">
        <v>2500</v>
      </c>
      <c r="O194" s="282">
        <v>2</v>
      </c>
      <c r="P194" s="282">
        <v>1925</v>
      </c>
      <c r="Q194" s="282">
        <f>2023-Table28[[#This Row],[year_built]]</f>
        <v>98</v>
      </c>
      <c r="R194" s="282">
        <v>713</v>
      </c>
      <c r="S194" s="282" t="s">
        <v>4889</v>
      </c>
      <c r="T194" s="282" t="s">
        <v>4890</v>
      </c>
      <c r="U194" s="282">
        <v>2012</v>
      </c>
      <c r="V194" s="284">
        <f t="shared" si="5"/>
        <v>0.28520000000000001</v>
      </c>
      <c r="W194" s="292">
        <f>Table28[[#This Row],[$/sqft]]/INDEX(CPI!$A$3:$C$31,MATCH(Table28[[#This Row],[start_year]],CPI!$A$3:$A$31,0),3)</f>
        <v>0.37775081230345742</v>
      </c>
      <c r="X194" s="282" t="s">
        <v>4844</v>
      </c>
      <c r="Y194" s="282" t="s">
        <v>217</v>
      </c>
      <c r="Z194" s="282" t="s">
        <v>4840</v>
      </c>
      <c r="AA194" s="282">
        <v>42.78378378</v>
      </c>
      <c r="AB194" s="55" t="s">
        <v>72</v>
      </c>
      <c r="AC194" t="s">
        <v>71</v>
      </c>
    </row>
    <row r="195" spans="1:29" x14ac:dyDescent="0.2">
      <c r="A195" s="282">
        <v>5246</v>
      </c>
      <c r="B195" s="282">
        <v>13455</v>
      </c>
      <c r="C195" s="282" t="s">
        <v>3410</v>
      </c>
      <c r="D195" s="282" t="str">
        <f>IF(Table28[[#This Row],[% Leakage Reduction (Calculated)]]&gt;0.4, "Greater than 40% Air Reduction", "Less than 40% Air Reduction")</f>
        <v>Less than 40% Air Reduction</v>
      </c>
      <c r="E195" s="282" t="s">
        <v>4831</v>
      </c>
      <c r="F195" s="282" t="s">
        <v>4832</v>
      </c>
      <c r="G195" s="282" t="s">
        <v>4833</v>
      </c>
      <c r="H195" s="282" t="s">
        <v>4972</v>
      </c>
      <c r="I195" s="282">
        <v>3642</v>
      </c>
      <c r="J195" s="282" t="s">
        <v>4852</v>
      </c>
      <c r="K195" s="282">
        <v>2737</v>
      </c>
      <c r="L195" s="282" t="s">
        <v>4853</v>
      </c>
      <c r="M195" s="283">
        <f t="shared" si="4"/>
        <v>0.24848984074684238</v>
      </c>
      <c r="N195" s="282">
        <v>2280</v>
      </c>
      <c r="O195" s="282"/>
      <c r="P195" s="282">
        <v>2000</v>
      </c>
      <c r="Q195" s="282">
        <f>2023-Table28[[#This Row],[year_built]]</f>
        <v>23</v>
      </c>
      <c r="R195" s="282">
        <v>714.5</v>
      </c>
      <c r="S195" s="282" t="s">
        <v>4982</v>
      </c>
      <c r="T195" s="282" t="s">
        <v>4979</v>
      </c>
      <c r="U195" s="282">
        <v>2018</v>
      </c>
      <c r="V195" s="284">
        <f t="shared" si="5"/>
        <v>0.31337719298245614</v>
      </c>
      <c r="W195" s="292">
        <f>Table28[[#This Row],[$/sqft]]/INDEX(CPI!$A$3:$C$31,MATCH(Table28[[#This Row],[start_year]],CPI!$A$3:$A$31,0),3)</f>
        <v>0.37952212021491405</v>
      </c>
      <c r="X195" s="282" t="s">
        <v>4844</v>
      </c>
      <c r="Y195" s="282"/>
      <c r="Z195" s="282" t="s">
        <v>4840</v>
      </c>
      <c r="AA195" s="282">
        <v>24.84898407</v>
      </c>
      <c r="AB195" s="55" t="s">
        <v>72</v>
      </c>
      <c r="AC195" t="s">
        <v>71</v>
      </c>
    </row>
    <row r="196" spans="1:29" x14ac:dyDescent="0.2">
      <c r="A196" s="282">
        <v>5078</v>
      </c>
      <c r="B196" s="282">
        <v>12476</v>
      </c>
      <c r="C196" s="282" t="s">
        <v>3410</v>
      </c>
      <c r="D196" s="282" t="str">
        <f>IF(Table28[[#This Row],[% Leakage Reduction (Calculated)]]&gt;0.4, "Greater than 40% Air Reduction", "Less than 40% Air Reduction")</f>
        <v>Less than 40% Air Reduction</v>
      </c>
      <c r="E196" s="282" t="s">
        <v>4831</v>
      </c>
      <c r="F196" s="282" t="s">
        <v>4832</v>
      </c>
      <c r="G196" s="282" t="s">
        <v>4833</v>
      </c>
      <c r="H196" s="282" t="s">
        <v>4972</v>
      </c>
      <c r="I196" s="282">
        <v>2068</v>
      </c>
      <c r="J196" s="282" t="s">
        <v>4852</v>
      </c>
      <c r="K196" s="282">
        <v>1483</v>
      </c>
      <c r="L196" s="282" t="s">
        <v>4853</v>
      </c>
      <c r="M196" s="283">
        <f t="shared" ref="M196:M259" si="6">ABS((I196-K196)/I196)</f>
        <v>0.28288201160541587</v>
      </c>
      <c r="N196" s="282">
        <v>1960</v>
      </c>
      <c r="O196" s="282"/>
      <c r="P196" s="282">
        <v>1998</v>
      </c>
      <c r="Q196" s="282">
        <f>2023-Table28[[#This Row],[year_built]]</f>
        <v>25</v>
      </c>
      <c r="R196" s="282">
        <v>600.48</v>
      </c>
      <c r="S196" s="282" t="s">
        <v>4981</v>
      </c>
      <c r="T196" s="282" t="s">
        <v>4979</v>
      </c>
      <c r="U196" s="282">
        <v>2017</v>
      </c>
      <c r="V196" s="284">
        <f t="shared" ref="V196:V259" si="7">IFERROR(IF(R196/N196&lt;&gt;0, R196/N196, ""), "")</f>
        <v>0.30636734693877554</v>
      </c>
      <c r="W196" s="292">
        <f>Table28[[#This Row],[$/sqft]]/INDEX(CPI!$A$3:$C$31,MATCH(Table28[[#This Row],[start_year]],CPI!$A$3:$A$31,0),3)</f>
        <v>0.38011550470861549</v>
      </c>
      <c r="X196" s="282" t="s">
        <v>4844</v>
      </c>
      <c r="Y196" s="282"/>
      <c r="Z196" s="282" t="s">
        <v>4840</v>
      </c>
      <c r="AA196" s="282">
        <v>28.28820116</v>
      </c>
      <c r="AB196" s="55" t="s">
        <v>72</v>
      </c>
      <c r="AC196" t="s">
        <v>71</v>
      </c>
    </row>
    <row r="197" spans="1:29" x14ac:dyDescent="0.2">
      <c r="A197" s="282">
        <v>5082</v>
      </c>
      <c r="B197" s="282">
        <v>12499</v>
      </c>
      <c r="C197" s="282" t="s">
        <v>3410</v>
      </c>
      <c r="D197" s="282" t="str">
        <f>IF(Table28[[#This Row],[% Leakage Reduction (Calculated)]]&gt;0.4, "Greater than 40% Air Reduction", "Less than 40% Air Reduction")</f>
        <v>Less than 40% Air Reduction</v>
      </c>
      <c r="E197" s="282" t="s">
        <v>4831</v>
      </c>
      <c r="F197" s="282" t="s">
        <v>4832</v>
      </c>
      <c r="G197" s="282" t="s">
        <v>4833</v>
      </c>
      <c r="H197" s="282" t="s">
        <v>4838</v>
      </c>
      <c r="I197" s="282">
        <v>3425</v>
      </c>
      <c r="J197" s="282" t="s">
        <v>4852</v>
      </c>
      <c r="K197" s="282">
        <v>2779</v>
      </c>
      <c r="L197" s="282" t="s">
        <v>4853</v>
      </c>
      <c r="M197" s="283">
        <f t="shared" si="6"/>
        <v>0.18861313868613139</v>
      </c>
      <c r="N197" s="282">
        <v>1000</v>
      </c>
      <c r="O197" s="282"/>
      <c r="P197" s="282">
        <v>1970</v>
      </c>
      <c r="Q197" s="282">
        <f>2023-Table28[[#This Row],[year_built]]</f>
        <v>53</v>
      </c>
      <c r="R197" s="282">
        <v>319.88</v>
      </c>
      <c r="S197" s="282" t="s">
        <v>4980</v>
      </c>
      <c r="T197" s="282" t="s">
        <v>4979</v>
      </c>
      <c r="U197" s="282">
        <v>2019</v>
      </c>
      <c r="V197" s="284">
        <f t="shared" si="7"/>
        <v>0.31988</v>
      </c>
      <c r="W197" s="292">
        <f>Table28[[#This Row],[$/sqft]]/INDEX(CPI!$A$3:$C$31,MATCH(Table28[[#This Row],[start_year]],CPI!$A$3:$A$31,0),3)</f>
        <v>0.38042826750097775</v>
      </c>
      <c r="X197" s="282" t="s">
        <v>4844</v>
      </c>
      <c r="Y197" s="282"/>
      <c r="Z197" s="282" t="s">
        <v>4840</v>
      </c>
      <c r="AA197" s="282">
        <v>18.86131387</v>
      </c>
      <c r="AB197" s="55" t="s">
        <v>72</v>
      </c>
      <c r="AC197" t="s">
        <v>71</v>
      </c>
    </row>
    <row r="198" spans="1:29" x14ac:dyDescent="0.2">
      <c r="A198" s="282">
        <v>5065</v>
      </c>
      <c r="B198" s="282">
        <v>12400</v>
      </c>
      <c r="C198" s="282" t="s">
        <v>3410</v>
      </c>
      <c r="D198" s="282" t="str">
        <f>IF(Table28[[#This Row],[% Leakage Reduction (Calculated)]]&gt;0.4, "Greater than 40% Air Reduction", "Less than 40% Air Reduction")</f>
        <v>Less than 40% Air Reduction</v>
      </c>
      <c r="E198" s="282" t="s">
        <v>4831</v>
      </c>
      <c r="F198" s="282" t="s">
        <v>4832</v>
      </c>
      <c r="G198" s="282" t="s">
        <v>4833</v>
      </c>
      <c r="H198" s="282" t="s">
        <v>4972</v>
      </c>
      <c r="I198" s="282">
        <v>2104</v>
      </c>
      <c r="J198" s="282" t="s">
        <v>4852</v>
      </c>
      <c r="K198" s="282">
        <v>1574</v>
      </c>
      <c r="L198" s="282" t="s">
        <v>4853</v>
      </c>
      <c r="M198" s="283">
        <f t="shared" si="6"/>
        <v>0.25190114068441066</v>
      </c>
      <c r="N198" s="282">
        <v>1100</v>
      </c>
      <c r="O198" s="282"/>
      <c r="P198" s="282">
        <v>2000</v>
      </c>
      <c r="Q198" s="282">
        <f>2023-Table28[[#This Row],[year_built]]</f>
        <v>23</v>
      </c>
      <c r="R198" s="282">
        <v>353.56</v>
      </c>
      <c r="S198" s="282" t="s">
        <v>4980</v>
      </c>
      <c r="T198" s="282" t="s">
        <v>4979</v>
      </c>
      <c r="U198" s="282">
        <v>2019</v>
      </c>
      <c r="V198" s="284">
        <f t="shared" si="7"/>
        <v>0.32141818181818183</v>
      </c>
      <c r="W198" s="292">
        <f>Table28[[#This Row],[$/sqft]]/INDEX(CPI!$A$3:$C$31,MATCH(Table28[[#This Row],[start_year]],CPI!$A$3:$A$31,0),3)</f>
        <v>0.38225760301489675</v>
      </c>
      <c r="X198" s="282" t="s">
        <v>4844</v>
      </c>
      <c r="Y198" s="282"/>
      <c r="Z198" s="282" t="s">
        <v>4840</v>
      </c>
      <c r="AA198" s="282">
        <v>25.19011407</v>
      </c>
      <c r="AB198" s="55" t="s">
        <v>72</v>
      </c>
      <c r="AC198" t="s">
        <v>71</v>
      </c>
    </row>
    <row r="199" spans="1:29" x14ac:dyDescent="0.2">
      <c r="A199" s="282">
        <v>5057</v>
      </c>
      <c r="B199" s="282">
        <v>12351</v>
      </c>
      <c r="C199" s="282" t="s">
        <v>3410</v>
      </c>
      <c r="D199" s="282" t="str">
        <f>IF(Table28[[#This Row],[% Leakage Reduction (Calculated)]]&gt;0.4, "Greater than 40% Air Reduction", "Less than 40% Air Reduction")</f>
        <v>Less than 40% Air Reduction</v>
      </c>
      <c r="E199" s="282" t="s">
        <v>4831</v>
      </c>
      <c r="F199" s="282" t="s">
        <v>4832</v>
      </c>
      <c r="G199" s="282" t="s">
        <v>4833</v>
      </c>
      <c r="H199" s="282" t="s">
        <v>4972</v>
      </c>
      <c r="I199" s="282">
        <v>4444</v>
      </c>
      <c r="J199" s="282" t="s">
        <v>4852</v>
      </c>
      <c r="K199" s="282">
        <v>3211</v>
      </c>
      <c r="L199" s="282" t="s">
        <v>4853</v>
      </c>
      <c r="M199" s="283">
        <f t="shared" si="6"/>
        <v>0.27745274527452746</v>
      </c>
      <c r="N199" s="282">
        <v>1716</v>
      </c>
      <c r="O199" s="282"/>
      <c r="P199" s="282">
        <v>1995</v>
      </c>
      <c r="Q199" s="282">
        <f>2023-Table28[[#This Row],[year_built]]</f>
        <v>28</v>
      </c>
      <c r="R199" s="282">
        <v>552.36</v>
      </c>
      <c r="S199" s="282" t="s">
        <v>4984</v>
      </c>
      <c r="T199" s="282" t="s">
        <v>4979</v>
      </c>
      <c r="U199" s="282">
        <v>2019</v>
      </c>
      <c r="V199" s="284">
        <f t="shared" si="7"/>
        <v>0.32188811188811189</v>
      </c>
      <c r="W199" s="292">
        <f>Table28[[#This Row],[$/sqft]]/INDEX(CPI!$A$3:$C$31,MATCH(Table28[[#This Row],[start_year]],CPI!$A$3:$A$31,0),3)</f>
        <v>0.38281648347741426</v>
      </c>
      <c r="X199" s="282" t="s">
        <v>1241</v>
      </c>
      <c r="Y199" s="282"/>
      <c r="Z199" s="282" t="s">
        <v>4840</v>
      </c>
      <c r="AA199" s="282">
        <v>27.74527453</v>
      </c>
      <c r="AB199" s="55" t="s">
        <v>72</v>
      </c>
      <c r="AC199" t="s">
        <v>71</v>
      </c>
    </row>
    <row r="200" spans="1:29" x14ac:dyDescent="0.2">
      <c r="A200" s="282">
        <v>5252</v>
      </c>
      <c r="B200" s="282">
        <v>13489</v>
      </c>
      <c r="C200" s="282" t="s">
        <v>3410</v>
      </c>
      <c r="D200" s="282" t="str">
        <f>IF(Table28[[#This Row],[% Leakage Reduction (Calculated)]]&gt;0.4, "Greater than 40% Air Reduction", "Less than 40% Air Reduction")</f>
        <v>Less than 40% Air Reduction</v>
      </c>
      <c r="E200" s="282" t="s">
        <v>4831</v>
      </c>
      <c r="F200" s="282" t="s">
        <v>4832</v>
      </c>
      <c r="G200" s="282" t="s">
        <v>4833</v>
      </c>
      <c r="H200" s="282" t="s">
        <v>4838</v>
      </c>
      <c r="I200" s="282">
        <v>2930</v>
      </c>
      <c r="J200" s="282" t="s">
        <v>4852</v>
      </c>
      <c r="K200" s="282">
        <v>2154</v>
      </c>
      <c r="L200" s="282" t="s">
        <v>4853</v>
      </c>
      <c r="M200" s="283">
        <f t="shared" si="6"/>
        <v>0.26484641638225254</v>
      </c>
      <c r="N200" s="282">
        <v>2255</v>
      </c>
      <c r="O200" s="282"/>
      <c r="P200" s="282">
        <v>1990</v>
      </c>
      <c r="Q200" s="282">
        <f>2023-Table28[[#This Row],[year_built]]</f>
        <v>33</v>
      </c>
      <c r="R200" s="282">
        <v>698.05</v>
      </c>
      <c r="S200" s="282" t="s">
        <v>4986</v>
      </c>
      <c r="T200" s="282" t="s">
        <v>4979</v>
      </c>
      <c r="U200" s="282">
        <v>2017</v>
      </c>
      <c r="V200" s="284">
        <f t="shared" si="7"/>
        <v>0.30955654101995561</v>
      </c>
      <c r="W200" s="292">
        <f>Table28[[#This Row],[$/sqft]]/INDEX(CPI!$A$3:$C$31,MATCH(Table28[[#This Row],[start_year]],CPI!$A$3:$A$31,0),3)</f>
        <v>0.38407239544744393</v>
      </c>
      <c r="X200" s="282" t="s">
        <v>4844</v>
      </c>
      <c r="Y200" s="282"/>
      <c r="Z200" s="282" t="s">
        <v>4840</v>
      </c>
      <c r="AA200" s="282">
        <v>26.48464164</v>
      </c>
      <c r="AB200" s="55" t="s">
        <v>72</v>
      </c>
      <c r="AC200" t="s">
        <v>71</v>
      </c>
    </row>
    <row r="201" spans="1:29" x14ac:dyDescent="0.2">
      <c r="A201" s="282">
        <v>5112</v>
      </c>
      <c r="B201" s="282">
        <v>12679</v>
      </c>
      <c r="C201" s="282" t="s">
        <v>3410</v>
      </c>
      <c r="D201" s="282" t="str">
        <f>IF(Table28[[#This Row],[% Leakage Reduction (Calculated)]]&gt;0.4, "Greater than 40% Air Reduction", "Less than 40% Air Reduction")</f>
        <v>Less than 40% Air Reduction</v>
      </c>
      <c r="E201" s="282" t="s">
        <v>4831</v>
      </c>
      <c r="F201" s="282" t="s">
        <v>4832</v>
      </c>
      <c r="G201" s="282" t="s">
        <v>4833</v>
      </c>
      <c r="H201" s="282" t="s">
        <v>4838</v>
      </c>
      <c r="I201" s="282">
        <v>1833</v>
      </c>
      <c r="J201" s="282" t="s">
        <v>4852</v>
      </c>
      <c r="K201" s="282">
        <v>1608</v>
      </c>
      <c r="L201" s="282" t="s">
        <v>4853</v>
      </c>
      <c r="M201" s="283">
        <f t="shared" si="6"/>
        <v>0.12274959083469722</v>
      </c>
      <c r="N201" s="282">
        <v>1000</v>
      </c>
      <c r="O201" s="282"/>
      <c r="P201" s="282">
        <v>1940</v>
      </c>
      <c r="Q201" s="282">
        <f>2023-Table28[[#This Row],[year_built]]</f>
        <v>83</v>
      </c>
      <c r="R201" s="282">
        <v>324.37</v>
      </c>
      <c r="S201" s="282" t="s">
        <v>4995</v>
      </c>
      <c r="T201" s="282" t="s">
        <v>4979</v>
      </c>
      <c r="U201" s="282">
        <v>2019</v>
      </c>
      <c r="V201" s="284">
        <f t="shared" si="7"/>
        <v>0.32436999999999999</v>
      </c>
      <c r="W201" s="292">
        <f>Table28[[#This Row],[$/sqft]]/INDEX(CPI!$A$3:$C$31,MATCH(Table28[[#This Row],[start_year]],CPI!$A$3:$A$31,0),3)</f>
        <v>0.38576815408682052</v>
      </c>
      <c r="X201" s="282" t="s">
        <v>4844</v>
      </c>
      <c r="Y201" s="282"/>
      <c r="Z201" s="282" t="s">
        <v>4840</v>
      </c>
      <c r="AA201" s="282">
        <v>12.27495908</v>
      </c>
      <c r="AB201" s="55" t="s">
        <v>72</v>
      </c>
      <c r="AC201" t="s">
        <v>71</v>
      </c>
    </row>
    <row r="202" spans="1:29" x14ac:dyDescent="0.2">
      <c r="A202" s="282">
        <v>5154</v>
      </c>
      <c r="B202" s="282">
        <v>12939</v>
      </c>
      <c r="C202" s="282" t="s">
        <v>3410</v>
      </c>
      <c r="D202" s="282" t="str">
        <f>IF(Table28[[#This Row],[% Leakage Reduction (Calculated)]]&gt;0.4, "Greater than 40% Air Reduction", "Less than 40% Air Reduction")</f>
        <v>Less than 40% Air Reduction</v>
      </c>
      <c r="E202" s="282" t="s">
        <v>4831</v>
      </c>
      <c r="F202" s="282" t="s">
        <v>4832</v>
      </c>
      <c r="G202" s="282" t="s">
        <v>4833</v>
      </c>
      <c r="H202" s="282" t="s">
        <v>4838</v>
      </c>
      <c r="I202" s="282">
        <v>4400</v>
      </c>
      <c r="J202" s="282" t="s">
        <v>4852</v>
      </c>
      <c r="K202" s="282">
        <v>3537</v>
      </c>
      <c r="L202" s="282" t="s">
        <v>4853</v>
      </c>
      <c r="M202" s="283">
        <f t="shared" si="6"/>
        <v>0.19613636363636364</v>
      </c>
      <c r="N202" s="282">
        <v>2000</v>
      </c>
      <c r="O202" s="282"/>
      <c r="P202" s="282">
        <v>1972</v>
      </c>
      <c r="Q202" s="282">
        <f>2023-Table28[[#This Row],[year_built]]</f>
        <v>51</v>
      </c>
      <c r="R202" s="282">
        <v>650.4</v>
      </c>
      <c r="S202" s="282" t="s">
        <v>4999</v>
      </c>
      <c r="T202" s="282" t="s">
        <v>4979</v>
      </c>
      <c r="U202" s="282">
        <v>2019</v>
      </c>
      <c r="V202" s="284">
        <f t="shared" si="7"/>
        <v>0.32519999999999999</v>
      </c>
      <c r="W202" s="292">
        <f>Table28[[#This Row],[$/sqft]]/INDEX(CPI!$A$3:$C$31,MATCH(Table28[[#This Row],[start_year]],CPI!$A$3:$A$31,0),3)</f>
        <v>0.38675526007039501</v>
      </c>
      <c r="X202" s="282" t="s">
        <v>1241</v>
      </c>
      <c r="Y202" s="282"/>
      <c r="Z202" s="282" t="s">
        <v>4840</v>
      </c>
      <c r="AA202" s="282">
        <v>19.613636360000001</v>
      </c>
      <c r="AB202" s="55" t="s">
        <v>72</v>
      </c>
      <c r="AC202" t="s">
        <v>71</v>
      </c>
    </row>
    <row r="203" spans="1:29" x14ac:dyDescent="0.2">
      <c r="A203" s="282">
        <v>5121</v>
      </c>
      <c r="B203" s="282">
        <v>12735</v>
      </c>
      <c r="C203" s="282" t="s">
        <v>3410</v>
      </c>
      <c r="D203" s="282" t="str">
        <f>IF(Table28[[#This Row],[% Leakage Reduction (Calculated)]]&gt;0.4, "Greater than 40% Air Reduction", "Less than 40% Air Reduction")</f>
        <v>Less than 40% Air Reduction</v>
      </c>
      <c r="E203" s="282" t="s">
        <v>4831</v>
      </c>
      <c r="F203" s="282" t="s">
        <v>4832</v>
      </c>
      <c r="G203" s="282" t="s">
        <v>4833</v>
      </c>
      <c r="H203" s="282" t="s">
        <v>4972</v>
      </c>
      <c r="I203" s="282">
        <v>5218</v>
      </c>
      <c r="J203" s="282" t="s">
        <v>4852</v>
      </c>
      <c r="K203" s="282">
        <v>4279</v>
      </c>
      <c r="L203" s="282" t="s">
        <v>4853</v>
      </c>
      <c r="M203" s="283">
        <f t="shared" si="6"/>
        <v>0.17995400536604064</v>
      </c>
      <c r="N203" s="282">
        <v>1440</v>
      </c>
      <c r="O203" s="282"/>
      <c r="P203" s="282">
        <v>1996</v>
      </c>
      <c r="Q203" s="282">
        <f>2023-Table28[[#This Row],[year_built]]</f>
        <v>27</v>
      </c>
      <c r="R203" s="282">
        <v>469.1</v>
      </c>
      <c r="S203" s="282" t="s">
        <v>4996</v>
      </c>
      <c r="T203" s="282" t="s">
        <v>4979</v>
      </c>
      <c r="U203" s="282">
        <v>2019</v>
      </c>
      <c r="V203" s="284">
        <f t="shared" si="7"/>
        <v>0.32576388888888891</v>
      </c>
      <c r="W203" s="292">
        <f>Table28[[#This Row],[$/sqft]]/INDEX(CPI!$A$3:$C$31,MATCH(Table28[[#This Row],[start_year]],CPI!$A$3:$A$31,0),3)</f>
        <v>0.38742588428279673</v>
      </c>
      <c r="X203" s="282" t="s">
        <v>4844</v>
      </c>
      <c r="Y203" s="282"/>
      <c r="Z203" s="282" t="s">
        <v>4840</v>
      </c>
      <c r="AA203" s="282">
        <v>17.995400539999999</v>
      </c>
      <c r="AB203" s="55" t="s">
        <v>72</v>
      </c>
      <c r="AC203" t="s">
        <v>71</v>
      </c>
    </row>
    <row r="204" spans="1:29" x14ac:dyDescent="0.2">
      <c r="A204" s="282">
        <v>3233</v>
      </c>
      <c r="B204" s="282">
        <v>9885</v>
      </c>
      <c r="C204" s="282" t="s">
        <v>3410</v>
      </c>
      <c r="D204" s="282" t="str">
        <f>IF(Table28[[#This Row],[% Leakage Reduction (Calculated)]]&gt;0.4, "Greater than 40% Air Reduction", "Less than 40% Air Reduction")</f>
        <v>Less than 40% Air Reduction</v>
      </c>
      <c r="E204" s="282" t="s">
        <v>4831</v>
      </c>
      <c r="F204" s="282" t="s">
        <v>4832</v>
      </c>
      <c r="G204" s="282" t="s">
        <v>4833</v>
      </c>
      <c r="H204" s="282" t="s">
        <v>4838</v>
      </c>
      <c r="I204" s="282">
        <v>7.29</v>
      </c>
      <c r="J204" s="282" t="s">
        <v>4834</v>
      </c>
      <c r="K204" s="282">
        <v>5.93</v>
      </c>
      <c r="L204" s="282" t="s">
        <v>4835</v>
      </c>
      <c r="M204" s="283">
        <f t="shared" si="6"/>
        <v>0.18655692729766807</v>
      </c>
      <c r="N204" s="282">
        <v>4600</v>
      </c>
      <c r="O204" s="282">
        <v>2</v>
      </c>
      <c r="P204" s="282">
        <v>1980</v>
      </c>
      <c r="Q204" s="282">
        <f>2023-Table28[[#This Row],[year_built]]</f>
        <v>43</v>
      </c>
      <c r="R204" s="282">
        <v>1520</v>
      </c>
      <c r="S204" s="282" t="s">
        <v>4940</v>
      </c>
      <c r="T204" s="282" t="s">
        <v>4906</v>
      </c>
      <c r="U204" s="282">
        <v>2020</v>
      </c>
      <c r="V204" s="284">
        <f t="shared" si="7"/>
        <v>0.33043478260869563</v>
      </c>
      <c r="W204" s="292">
        <f>Table28[[#This Row],[$/sqft]]/INDEX(CPI!$A$3:$C$31,MATCH(Table28[[#This Row],[start_year]],CPI!$A$3:$A$31,0),3)</f>
        <v>0.38827363752435989</v>
      </c>
      <c r="X204" s="282"/>
      <c r="Y204" s="282" t="s">
        <v>217</v>
      </c>
      <c r="Z204" s="282" t="s">
        <v>4907</v>
      </c>
      <c r="AA204" s="282">
        <v>18.655692729999998</v>
      </c>
      <c r="AB204" s="55" t="s">
        <v>72</v>
      </c>
      <c r="AC204" t="s">
        <v>71</v>
      </c>
    </row>
    <row r="205" spans="1:29" x14ac:dyDescent="0.2">
      <c r="A205" s="282">
        <v>5086</v>
      </c>
      <c r="B205" s="282">
        <v>12521</v>
      </c>
      <c r="C205" s="282" t="s">
        <v>3410</v>
      </c>
      <c r="D205" s="282" t="str">
        <f>IF(Table28[[#This Row],[% Leakage Reduction (Calculated)]]&gt;0.4, "Greater than 40% Air Reduction", "Less than 40% Air Reduction")</f>
        <v>Less than 40% Air Reduction</v>
      </c>
      <c r="E205" s="282" t="s">
        <v>4831</v>
      </c>
      <c r="F205" s="282" t="s">
        <v>4832</v>
      </c>
      <c r="G205" s="282" t="s">
        <v>4833</v>
      </c>
      <c r="H205" s="282" t="s">
        <v>4972</v>
      </c>
      <c r="I205" s="282">
        <v>3509</v>
      </c>
      <c r="J205" s="282" t="s">
        <v>4852</v>
      </c>
      <c r="K205" s="282">
        <v>3220</v>
      </c>
      <c r="L205" s="282" t="s">
        <v>4853</v>
      </c>
      <c r="M205" s="283">
        <f t="shared" si="6"/>
        <v>8.2359646622969504E-2</v>
      </c>
      <c r="N205" s="282">
        <v>1782</v>
      </c>
      <c r="O205" s="282"/>
      <c r="P205" s="282">
        <v>1995</v>
      </c>
      <c r="Q205" s="282">
        <f>2023-Table28[[#This Row],[year_built]]</f>
        <v>28</v>
      </c>
      <c r="R205" s="282">
        <v>571.55999999999995</v>
      </c>
      <c r="S205" s="282" t="s">
        <v>4960</v>
      </c>
      <c r="T205" s="282" t="s">
        <v>4979</v>
      </c>
      <c r="U205" s="282">
        <v>2018</v>
      </c>
      <c r="V205" s="284">
        <f t="shared" si="7"/>
        <v>0.32074074074074072</v>
      </c>
      <c r="W205" s="292">
        <f>Table28[[#This Row],[$/sqft]]/INDEX(CPI!$A$3:$C$31,MATCH(Table28[[#This Row],[start_year]],CPI!$A$3:$A$31,0),3)</f>
        <v>0.38843990147056656</v>
      </c>
      <c r="X205" s="282" t="s">
        <v>1241</v>
      </c>
      <c r="Y205" s="282"/>
      <c r="Z205" s="282" t="s">
        <v>4840</v>
      </c>
      <c r="AA205" s="282">
        <v>8.2359646620000007</v>
      </c>
      <c r="AB205" s="55" t="s">
        <v>72</v>
      </c>
      <c r="AC205" t="s">
        <v>71</v>
      </c>
    </row>
    <row r="206" spans="1:29" x14ac:dyDescent="0.2">
      <c r="A206" s="282">
        <v>5272</v>
      </c>
      <c r="B206" s="282">
        <v>13594</v>
      </c>
      <c r="C206" s="282" t="s">
        <v>3410</v>
      </c>
      <c r="D206" s="282" t="str">
        <f>IF(Table28[[#This Row],[% Leakage Reduction (Calculated)]]&gt;0.4, "Greater than 40% Air Reduction", "Less than 40% Air Reduction")</f>
        <v>Less than 40% Air Reduction</v>
      </c>
      <c r="E206" s="282" t="s">
        <v>4831</v>
      </c>
      <c r="F206" s="282" t="s">
        <v>4832</v>
      </c>
      <c r="G206" s="282" t="s">
        <v>4833</v>
      </c>
      <c r="H206" s="282" t="s">
        <v>4972</v>
      </c>
      <c r="I206" s="282">
        <v>3004</v>
      </c>
      <c r="J206" s="282" t="s">
        <v>4852</v>
      </c>
      <c r="K206" s="282">
        <v>2460</v>
      </c>
      <c r="L206" s="282" t="s">
        <v>4853</v>
      </c>
      <c r="M206" s="283">
        <f t="shared" si="6"/>
        <v>0.18109187749667111</v>
      </c>
      <c r="N206" s="282">
        <v>2079</v>
      </c>
      <c r="O206" s="282"/>
      <c r="P206" s="282">
        <v>1994</v>
      </c>
      <c r="Q206" s="282">
        <f>2023-Table28[[#This Row],[year_built]]</f>
        <v>29</v>
      </c>
      <c r="R206" s="282">
        <v>680.56</v>
      </c>
      <c r="S206" s="282" t="s">
        <v>4997</v>
      </c>
      <c r="T206" s="282" t="s">
        <v>4979</v>
      </c>
      <c r="U206" s="282">
        <v>2019</v>
      </c>
      <c r="V206" s="284">
        <f t="shared" si="7"/>
        <v>0.32734968734968733</v>
      </c>
      <c r="W206" s="292">
        <f>Table28[[#This Row],[$/sqft]]/INDEX(CPI!$A$3:$C$31,MATCH(Table28[[#This Row],[start_year]],CPI!$A$3:$A$31,0),3)</f>
        <v>0.38931184952303449</v>
      </c>
      <c r="X206" s="282" t="s">
        <v>4844</v>
      </c>
      <c r="Y206" s="282"/>
      <c r="Z206" s="282" t="s">
        <v>4840</v>
      </c>
      <c r="AA206" s="282">
        <v>18.10918775</v>
      </c>
      <c r="AB206" s="55" t="s">
        <v>72</v>
      </c>
      <c r="AC206" t="s">
        <v>71</v>
      </c>
    </row>
    <row r="207" spans="1:29" x14ac:dyDescent="0.2">
      <c r="A207" s="282">
        <v>5122</v>
      </c>
      <c r="B207" s="282">
        <v>12740</v>
      </c>
      <c r="C207" s="282" t="s">
        <v>3410</v>
      </c>
      <c r="D207" s="282" t="str">
        <f>IF(Table28[[#This Row],[% Leakage Reduction (Calculated)]]&gt;0.4, "Greater than 40% Air Reduction", "Less than 40% Air Reduction")</f>
        <v>Less than 40% Air Reduction</v>
      </c>
      <c r="E207" s="282" t="s">
        <v>4831</v>
      </c>
      <c r="F207" s="282" t="s">
        <v>4832</v>
      </c>
      <c r="G207" s="282" t="s">
        <v>4833</v>
      </c>
      <c r="H207" s="282" t="s">
        <v>4972</v>
      </c>
      <c r="I207" s="282">
        <v>5337</v>
      </c>
      <c r="J207" s="282" t="s">
        <v>4852</v>
      </c>
      <c r="K207" s="282">
        <v>4748</v>
      </c>
      <c r="L207" s="282" t="s">
        <v>4853</v>
      </c>
      <c r="M207" s="283">
        <f t="shared" si="6"/>
        <v>0.11036162638186246</v>
      </c>
      <c r="N207" s="282">
        <v>1500</v>
      </c>
      <c r="O207" s="282"/>
      <c r="P207" s="282">
        <v>1998</v>
      </c>
      <c r="Q207" s="282">
        <f>2023-Table28[[#This Row],[year_built]]</f>
        <v>25</v>
      </c>
      <c r="R207" s="282">
        <v>496.81</v>
      </c>
      <c r="S207" s="282" t="s">
        <v>4994</v>
      </c>
      <c r="T207" s="282" t="s">
        <v>4979</v>
      </c>
      <c r="U207" s="282">
        <v>2019</v>
      </c>
      <c r="V207" s="284">
        <f t="shared" si="7"/>
        <v>0.33120666666666665</v>
      </c>
      <c r="W207" s="292">
        <f>Table28[[#This Row],[$/sqft]]/INDEX(CPI!$A$3:$C$31,MATCH(Table28[[#This Row],[start_year]],CPI!$A$3:$A$31,0),3)</f>
        <v>0.39389889453786991</v>
      </c>
      <c r="X207" s="282" t="s">
        <v>1241</v>
      </c>
      <c r="Y207" s="282"/>
      <c r="Z207" s="282" t="s">
        <v>4840</v>
      </c>
      <c r="AA207" s="282">
        <v>11.036162640000001</v>
      </c>
      <c r="AB207" s="55" t="s">
        <v>72</v>
      </c>
      <c r="AC207" t="s">
        <v>71</v>
      </c>
    </row>
    <row r="208" spans="1:29" x14ac:dyDescent="0.2">
      <c r="A208" s="282">
        <v>3246</v>
      </c>
      <c r="B208" s="282">
        <v>9922</v>
      </c>
      <c r="C208" s="282" t="s">
        <v>3410</v>
      </c>
      <c r="D208" s="282" t="str">
        <f>IF(Table28[[#This Row],[% Leakage Reduction (Calculated)]]&gt;0.4, "Greater than 40% Air Reduction", "Less than 40% Air Reduction")</f>
        <v>Greater than 40% Air Reduction</v>
      </c>
      <c r="E208" s="282" t="s">
        <v>4831</v>
      </c>
      <c r="F208" s="282" t="s">
        <v>4832</v>
      </c>
      <c r="G208" s="282" t="s">
        <v>4833</v>
      </c>
      <c r="H208" s="282" t="s">
        <v>4838</v>
      </c>
      <c r="I208" s="282">
        <v>24.93</v>
      </c>
      <c r="J208" s="282" t="s">
        <v>4834</v>
      </c>
      <c r="K208" s="282">
        <v>14.3</v>
      </c>
      <c r="L208" s="282" t="s">
        <v>4835</v>
      </c>
      <c r="M208" s="283">
        <f t="shared" si="6"/>
        <v>0.4263939029281989</v>
      </c>
      <c r="N208" s="282">
        <v>1191</v>
      </c>
      <c r="O208" s="282">
        <v>1.5</v>
      </c>
      <c r="P208" s="282">
        <v>1950</v>
      </c>
      <c r="Q208" s="282">
        <f>2023-Table28[[#This Row],[year_built]]</f>
        <v>73</v>
      </c>
      <c r="R208" s="282">
        <v>400</v>
      </c>
      <c r="S208" s="282" t="s">
        <v>4943</v>
      </c>
      <c r="T208" s="282" t="s">
        <v>4906</v>
      </c>
      <c r="U208" s="282">
        <v>2020</v>
      </c>
      <c r="V208" s="284">
        <f t="shared" si="7"/>
        <v>0.33585222502099077</v>
      </c>
      <c r="W208" s="292">
        <f>Table28[[#This Row],[$/sqft]]/INDEX(CPI!$A$3:$C$31,MATCH(Table28[[#This Row],[start_year]],CPI!$A$3:$A$31,0),3)</f>
        <v>0.39463934168811166</v>
      </c>
      <c r="X208" s="282"/>
      <c r="Y208" s="282" t="s">
        <v>4872</v>
      </c>
      <c r="Z208" s="282" t="s">
        <v>4907</v>
      </c>
      <c r="AA208" s="282">
        <v>42.639390290000001</v>
      </c>
      <c r="AB208" s="55" t="s">
        <v>72</v>
      </c>
      <c r="AC208" t="s">
        <v>71</v>
      </c>
    </row>
    <row r="209" spans="1:29" x14ac:dyDescent="0.2">
      <c r="A209" s="282">
        <v>3302</v>
      </c>
      <c r="B209" s="282">
        <v>10099</v>
      </c>
      <c r="C209" s="282" t="s">
        <v>3410</v>
      </c>
      <c r="D209" s="282" t="str">
        <f>IF(Table28[[#This Row],[% Leakage Reduction (Calculated)]]&gt;0.4, "Greater than 40% Air Reduction", "Less than 40% Air Reduction")</f>
        <v>Less than 40% Air Reduction</v>
      </c>
      <c r="E209" s="282" t="s">
        <v>4831</v>
      </c>
      <c r="F209" s="282" t="s">
        <v>4832</v>
      </c>
      <c r="G209" s="282" t="s">
        <v>4833</v>
      </c>
      <c r="H209" s="282" t="s">
        <v>4838</v>
      </c>
      <c r="I209" s="282">
        <v>18.97</v>
      </c>
      <c r="J209" s="282" t="s">
        <v>4834</v>
      </c>
      <c r="K209" s="282">
        <v>13.82</v>
      </c>
      <c r="L209" s="282" t="s">
        <v>4835</v>
      </c>
      <c r="M209" s="283">
        <f t="shared" si="6"/>
        <v>0.27148128624143381</v>
      </c>
      <c r="N209" s="282">
        <v>1647</v>
      </c>
      <c r="O209" s="282">
        <v>1.5</v>
      </c>
      <c r="P209" s="282">
        <v>1942</v>
      </c>
      <c r="Q209" s="282">
        <f>2023-Table28[[#This Row],[year_built]]</f>
        <v>81</v>
      </c>
      <c r="R209" s="282">
        <v>800</v>
      </c>
      <c r="S209" s="282" t="s">
        <v>4937</v>
      </c>
      <c r="T209" s="282" t="s">
        <v>4906</v>
      </c>
      <c r="U209" s="282"/>
      <c r="V209" s="284">
        <f t="shared" si="7"/>
        <v>0.48573163327261687</v>
      </c>
      <c r="W209" s="292" t="e">
        <f>Table28[[#This Row],[$/sqft]]/INDEX(CPI!$A$3:$C$31,MATCH(Table28[[#This Row],[start_year]],CPI!$A$3:$A$31,0),3)</f>
        <v>#N/A</v>
      </c>
      <c r="X209" s="282"/>
      <c r="Y209" s="282" t="s">
        <v>4917</v>
      </c>
      <c r="Z209" s="282" t="s">
        <v>4907</v>
      </c>
      <c r="AA209" s="282">
        <v>27.148128620000001</v>
      </c>
      <c r="AB209" s="55" t="s">
        <v>71</v>
      </c>
      <c r="AC209" t="s">
        <v>72</v>
      </c>
    </row>
    <row r="210" spans="1:29" x14ac:dyDescent="0.2">
      <c r="A210" s="282">
        <v>3004</v>
      </c>
      <c r="B210" s="282">
        <v>9028</v>
      </c>
      <c r="C210" s="282" t="s">
        <v>3410</v>
      </c>
      <c r="D210" s="282" t="str">
        <f>IF(Table28[[#This Row],[% Leakage Reduction (Calculated)]]&gt;0.4, "Greater than 40% Air Reduction", "Less than 40% Air Reduction")</f>
        <v>Less than 40% Air Reduction</v>
      </c>
      <c r="E210" s="282" t="s">
        <v>4831</v>
      </c>
      <c r="F210" s="282" t="s">
        <v>4832</v>
      </c>
      <c r="G210" s="282" t="s">
        <v>4833</v>
      </c>
      <c r="H210" s="282" t="s">
        <v>4838</v>
      </c>
      <c r="I210" s="282">
        <v>12.29</v>
      </c>
      <c r="J210" s="282" t="s">
        <v>4834</v>
      </c>
      <c r="K210" s="282">
        <v>9</v>
      </c>
      <c r="L210" s="282" t="s">
        <v>4835</v>
      </c>
      <c r="M210" s="283">
        <f t="shared" si="6"/>
        <v>0.26769731489015453</v>
      </c>
      <c r="N210" s="282">
        <v>1704</v>
      </c>
      <c r="O210" s="282">
        <v>2</v>
      </c>
      <c r="P210" s="282">
        <v>1942</v>
      </c>
      <c r="Q210" s="282">
        <f>2023-Table28[[#This Row],[year_built]]</f>
        <v>81</v>
      </c>
      <c r="R210" s="282">
        <v>555.48</v>
      </c>
      <c r="S210" s="282" t="s">
        <v>4909</v>
      </c>
      <c r="T210" s="282" t="s">
        <v>4906</v>
      </c>
      <c r="U210" s="282">
        <v>2018</v>
      </c>
      <c r="V210" s="284">
        <f t="shared" si="7"/>
        <v>0.32598591549295775</v>
      </c>
      <c r="W210" s="292">
        <f>Table28[[#This Row],[$/sqft]]/INDEX(CPI!$A$3:$C$31,MATCH(Table28[[#This Row],[start_year]],CPI!$A$3:$A$31,0),3)</f>
        <v>0.39479218200481264</v>
      </c>
      <c r="X210" s="282"/>
      <c r="Y210" s="282" t="s">
        <v>217</v>
      </c>
      <c r="Z210" s="282" t="s">
        <v>4907</v>
      </c>
      <c r="AA210" s="282">
        <v>26.769731490000002</v>
      </c>
      <c r="AB210" s="55" t="s">
        <v>72</v>
      </c>
      <c r="AC210" t="s">
        <v>71</v>
      </c>
    </row>
    <row r="211" spans="1:29" x14ac:dyDescent="0.2">
      <c r="A211" s="282">
        <v>3066</v>
      </c>
      <c r="B211" s="282">
        <v>9295</v>
      </c>
      <c r="C211" s="282" t="s">
        <v>3410</v>
      </c>
      <c r="D211" s="282" t="str">
        <f>IF(Table28[[#This Row],[% Leakage Reduction (Calculated)]]&gt;0.4, "Greater than 40% Air Reduction", "Less than 40% Air Reduction")</f>
        <v>Less than 40% Air Reduction</v>
      </c>
      <c r="E211" s="282" t="s">
        <v>4831</v>
      </c>
      <c r="F211" s="282" t="s">
        <v>4832</v>
      </c>
      <c r="G211" s="282" t="s">
        <v>4833</v>
      </c>
      <c r="H211" s="282" t="s">
        <v>4838</v>
      </c>
      <c r="I211" s="282">
        <v>9.02</v>
      </c>
      <c r="J211" s="282" t="s">
        <v>4834</v>
      </c>
      <c r="K211" s="282">
        <v>6.75</v>
      </c>
      <c r="L211" s="282" t="s">
        <v>4835</v>
      </c>
      <c r="M211" s="283">
        <f t="shared" si="6"/>
        <v>0.25166297117516628</v>
      </c>
      <c r="N211" s="282">
        <v>2240</v>
      </c>
      <c r="O211" s="282">
        <v>2</v>
      </c>
      <c r="P211" s="282">
        <v>1985</v>
      </c>
      <c r="Q211" s="282">
        <f>2023-Table28[[#This Row],[year_built]]</f>
        <v>38</v>
      </c>
      <c r="R211" s="282">
        <v>744</v>
      </c>
      <c r="S211" s="282" t="s">
        <v>4927</v>
      </c>
      <c r="T211" s="282" t="s">
        <v>4906</v>
      </c>
      <c r="U211" s="282">
        <v>2019</v>
      </c>
      <c r="V211" s="284">
        <f t="shared" si="7"/>
        <v>0.33214285714285713</v>
      </c>
      <c r="W211" s="292">
        <f>Table28[[#This Row],[$/sqft]]/INDEX(CPI!$A$3:$C$31,MATCH(Table28[[#This Row],[start_year]],CPI!$A$3:$A$31,0),3)</f>
        <v>0.39501229118945191</v>
      </c>
      <c r="X211" s="282"/>
      <c r="Y211" s="282" t="s">
        <v>217</v>
      </c>
      <c r="Z211" s="282" t="s">
        <v>4907</v>
      </c>
      <c r="AA211" s="282">
        <v>25.166297119999999</v>
      </c>
      <c r="AB211" s="55" t="s">
        <v>72</v>
      </c>
      <c r="AC211" t="s">
        <v>71</v>
      </c>
    </row>
    <row r="212" spans="1:29" x14ac:dyDescent="0.2">
      <c r="A212" s="282">
        <v>5208</v>
      </c>
      <c r="B212" s="282">
        <v>13246</v>
      </c>
      <c r="C212" s="282" t="s">
        <v>3410</v>
      </c>
      <c r="D212" s="282" t="str">
        <f>IF(Table28[[#This Row],[% Leakage Reduction (Calculated)]]&gt;0.4, "Greater than 40% Air Reduction", "Less than 40% Air Reduction")</f>
        <v>Less than 40% Air Reduction</v>
      </c>
      <c r="E212" s="282" t="s">
        <v>4831</v>
      </c>
      <c r="F212" s="282" t="s">
        <v>4832</v>
      </c>
      <c r="G212" s="282" t="s">
        <v>4833</v>
      </c>
      <c r="H212" s="282" t="s">
        <v>4838</v>
      </c>
      <c r="I212" s="282">
        <v>1548</v>
      </c>
      <c r="J212" s="282" t="s">
        <v>4852</v>
      </c>
      <c r="K212" s="282">
        <v>1193</v>
      </c>
      <c r="L212" s="282" t="s">
        <v>4853</v>
      </c>
      <c r="M212" s="283">
        <f t="shared" si="6"/>
        <v>0.22932816537467701</v>
      </c>
      <c r="N212" s="282">
        <v>1400</v>
      </c>
      <c r="O212" s="282"/>
      <c r="P212" s="282">
        <v>1983</v>
      </c>
      <c r="Q212" s="282">
        <f>2023-Table28[[#This Row],[year_built]]</f>
        <v>40</v>
      </c>
      <c r="R212" s="282">
        <v>460.9</v>
      </c>
      <c r="S212" s="282" t="s">
        <v>4981</v>
      </c>
      <c r="T212" s="282" t="s">
        <v>4979</v>
      </c>
      <c r="U212" s="282">
        <v>2018</v>
      </c>
      <c r="V212" s="284">
        <f t="shared" si="7"/>
        <v>0.32921428571428568</v>
      </c>
      <c r="W212" s="292">
        <f>Table28[[#This Row],[$/sqft]]/INDEX(CPI!$A$3:$C$31,MATCH(Table28[[#This Row],[start_year]],CPI!$A$3:$A$31,0),3)</f>
        <v>0.39870196848153838</v>
      </c>
      <c r="X212" s="282" t="s">
        <v>1241</v>
      </c>
      <c r="Y212" s="282"/>
      <c r="Z212" s="282" t="s">
        <v>4840</v>
      </c>
      <c r="AA212" s="282">
        <v>22.932816540000001</v>
      </c>
      <c r="AB212" s="55" t="s">
        <v>72</v>
      </c>
      <c r="AC212" t="s">
        <v>71</v>
      </c>
    </row>
    <row r="213" spans="1:29" x14ac:dyDescent="0.2">
      <c r="A213" s="282">
        <v>5264</v>
      </c>
      <c r="B213" s="282">
        <v>13552</v>
      </c>
      <c r="C213" s="282" t="s">
        <v>3410</v>
      </c>
      <c r="D213" s="282" t="str">
        <f>IF(Table28[[#This Row],[% Leakage Reduction (Calculated)]]&gt;0.4, "Greater than 40% Air Reduction", "Less than 40% Air Reduction")</f>
        <v>Less than 40% Air Reduction</v>
      </c>
      <c r="E213" s="282" t="s">
        <v>4831</v>
      </c>
      <c r="F213" s="282" t="s">
        <v>4832</v>
      </c>
      <c r="G213" s="282" t="s">
        <v>4833</v>
      </c>
      <c r="H213" s="282" t="s">
        <v>4972</v>
      </c>
      <c r="I213" s="282">
        <v>2123</v>
      </c>
      <c r="J213" s="282" t="s">
        <v>4852</v>
      </c>
      <c r="K213" s="282">
        <v>1460</v>
      </c>
      <c r="L213" s="282" t="s">
        <v>4853</v>
      </c>
      <c r="M213" s="283">
        <f t="shared" si="6"/>
        <v>0.31229392369288744</v>
      </c>
      <c r="N213" s="282">
        <v>2184</v>
      </c>
      <c r="O213" s="282"/>
      <c r="P213" s="282">
        <v>2001</v>
      </c>
      <c r="Q213" s="282">
        <f>2023-Table28[[#This Row],[year_built]]</f>
        <v>22</v>
      </c>
      <c r="R213" s="282">
        <v>703.05</v>
      </c>
      <c r="S213" s="282" t="s">
        <v>4997</v>
      </c>
      <c r="T213" s="282" t="s">
        <v>4979</v>
      </c>
      <c r="U213" s="282">
        <v>2017</v>
      </c>
      <c r="V213" s="284">
        <f t="shared" si="7"/>
        <v>0.32190934065934063</v>
      </c>
      <c r="W213" s="292">
        <f>Table28[[#This Row],[$/sqft]]/INDEX(CPI!$A$3:$C$31,MATCH(Table28[[#This Row],[start_year]],CPI!$A$3:$A$31,0),3)</f>
        <v>0.3993987372276846</v>
      </c>
      <c r="X213" s="282" t="s">
        <v>4844</v>
      </c>
      <c r="Y213" s="282"/>
      <c r="Z213" s="282" t="s">
        <v>4840</v>
      </c>
      <c r="AA213" s="282">
        <v>31.229392369999999</v>
      </c>
      <c r="AB213" s="55" t="s">
        <v>72</v>
      </c>
      <c r="AC213" t="s">
        <v>71</v>
      </c>
    </row>
    <row r="214" spans="1:29" x14ac:dyDescent="0.2">
      <c r="A214" s="282">
        <v>5180</v>
      </c>
      <c r="B214" s="282">
        <v>13093</v>
      </c>
      <c r="C214" s="282" t="s">
        <v>3410</v>
      </c>
      <c r="D214" s="282" t="str">
        <f>IF(Table28[[#This Row],[% Leakage Reduction (Calculated)]]&gt;0.4, "Greater than 40% Air Reduction", "Less than 40% Air Reduction")</f>
        <v>Less than 40% Air Reduction</v>
      </c>
      <c r="E214" s="282" t="s">
        <v>4831</v>
      </c>
      <c r="F214" s="282" t="s">
        <v>4832</v>
      </c>
      <c r="G214" s="282" t="s">
        <v>4833</v>
      </c>
      <c r="H214" s="282" t="s">
        <v>4838</v>
      </c>
      <c r="I214" s="282">
        <v>13426</v>
      </c>
      <c r="J214" s="282" t="s">
        <v>4852</v>
      </c>
      <c r="K214" s="282">
        <v>9457</v>
      </c>
      <c r="L214" s="282" t="s">
        <v>4853</v>
      </c>
      <c r="M214" s="283">
        <f t="shared" si="6"/>
        <v>0.29562043795620441</v>
      </c>
      <c r="N214" s="282">
        <v>4500</v>
      </c>
      <c r="O214" s="282"/>
      <c r="P214" s="282">
        <v>1982</v>
      </c>
      <c r="Q214" s="282">
        <f>2023-Table28[[#This Row],[year_built]]</f>
        <v>41</v>
      </c>
      <c r="R214" s="282">
        <v>1518.75</v>
      </c>
      <c r="S214" s="282" t="s">
        <v>4978</v>
      </c>
      <c r="T214" s="282" t="s">
        <v>4979</v>
      </c>
      <c r="U214" s="282">
        <v>2019</v>
      </c>
      <c r="V214" s="284">
        <f t="shared" si="7"/>
        <v>0.33750000000000002</v>
      </c>
      <c r="W214" s="292">
        <f>Table28[[#This Row],[$/sqft]]/INDEX(CPI!$A$3:$C$31,MATCH(Table28[[#This Row],[start_year]],CPI!$A$3:$A$31,0),3)</f>
        <v>0.40138345717637863</v>
      </c>
      <c r="X214" s="282" t="s">
        <v>1241</v>
      </c>
      <c r="Y214" s="282"/>
      <c r="Z214" s="282" t="s">
        <v>4840</v>
      </c>
      <c r="AA214" s="282">
        <v>29.562043800000001</v>
      </c>
      <c r="AB214" s="55" t="s">
        <v>72</v>
      </c>
      <c r="AC214" t="s">
        <v>71</v>
      </c>
    </row>
    <row r="215" spans="1:29" x14ac:dyDescent="0.2">
      <c r="A215" s="282">
        <v>5087</v>
      </c>
      <c r="B215" s="282">
        <v>12527</v>
      </c>
      <c r="C215" s="282" t="s">
        <v>3410</v>
      </c>
      <c r="D215" s="282" t="str">
        <f>IF(Table28[[#This Row],[% Leakage Reduction (Calculated)]]&gt;0.4, "Greater than 40% Air Reduction", "Less than 40% Air Reduction")</f>
        <v>Less than 40% Air Reduction</v>
      </c>
      <c r="E215" s="282" t="s">
        <v>4831</v>
      </c>
      <c r="F215" s="282" t="s">
        <v>4832</v>
      </c>
      <c r="G215" s="282" t="s">
        <v>4833</v>
      </c>
      <c r="H215" s="282" t="s">
        <v>4838</v>
      </c>
      <c r="I215" s="282">
        <v>3128</v>
      </c>
      <c r="J215" s="282" t="s">
        <v>4852</v>
      </c>
      <c r="K215" s="282">
        <v>2541</v>
      </c>
      <c r="L215" s="282" t="s">
        <v>4853</v>
      </c>
      <c r="M215" s="283">
        <f t="shared" si="6"/>
        <v>0.18765984654731457</v>
      </c>
      <c r="N215" s="282">
        <v>1500</v>
      </c>
      <c r="O215" s="282"/>
      <c r="P215" s="282">
        <v>1977</v>
      </c>
      <c r="Q215" s="282">
        <f>2023-Table28[[#This Row],[year_built]]</f>
        <v>46</v>
      </c>
      <c r="R215" s="282">
        <v>506.8</v>
      </c>
      <c r="S215" s="282" t="s">
        <v>4980</v>
      </c>
      <c r="T215" s="282" t="s">
        <v>4979</v>
      </c>
      <c r="U215" s="282">
        <v>2019</v>
      </c>
      <c r="V215" s="284">
        <f t="shared" si="7"/>
        <v>0.33786666666666665</v>
      </c>
      <c r="W215" s="292">
        <f>Table28[[#This Row],[$/sqft]]/INDEX(CPI!$A$3:$C$31,MATCH(Table28[[#This Row],[start_year]],CPI!$A$3:$A$31,0),3)</f>
        <v>0.40181952809281712</v>
      </c>
      <c r="X215" s="282" t="s">
        <v>4844</v>
      </c>
      <c r="Y215" s="282"/>
      <c r="Z215" s="282" t="s">
        <v>4840</v>
      </c>
      <c r="AA215" s="282">
        <v>18.76598465</v>
      </c>
      <c r="AB215" s="55" t="s">
        <v>72</v>
      </c>
      <c r="AC215" t="s">
        <v>71</v>
      </c>
    </row>
    <row r="216" spans="1:29" x14ac:dyDescent="0.2">
      <c r="A216" s="282">
        <v>3027</v>
      </c>
      <c r="B216" s="282">
        <v>9132</v>
      </c>
      <c r="C216" s="282" t="s">
        <v>3410</v>
      </c>
      <c r="D216" s="282" t="str">
        <f>IF(Table28[[#This Row],[% Leakage Reduction (Calculated)]]&gt;0.4, "Greater than 40% Air Reduction", "Less than 40% Air Reduction")</f>
        <v>Less than 40% Air Reduction</v>
      </c>
      <c r="E216" s="282" t="s">
        <v>4831</v>
      </c>
      <c r="F216" s="282" t="s">
        <v>4832</v>
      </c>
      <c r="G216" s="282" t="s">
        <v>4833</v>
      </c>
      <c r="H216" s="282" t="s">
        <v>4838</v>
      </c>
      <c r="I216" s="282">
        <v>8.34</v>
      </c>
      <c r="J216" s="282" t="s">
        <v>4834</v>
      </c>
      <c r="K216" s="282">
        <v>5.29</v>
      </c>
      <c r="L216" s="282" t="s">
        <v>4835</v>
      </c>
      <c r="M216" s="283">
        <f t="shared" si="6"/>
        <v>0.3657074340527578</v>
      </c>
      <c r="N216" s="282">
        <v>2784</v>
      </c>
      <c r="O216" s="282">
        <v>2</v>
      </c>
      <c r="P216" s="282">
        <v>1977</v>
      </c>
      <c r="Q216" s="282">
        <f>2023-Table28[[#This Row],[year_built]]</f>
        <v>46</v>
      </c>
      <c r="R216" s="282">
        <v>930</v>
      </c>
      <c r="S216" s="282" t="s">
        <v>4923</v>
      </c>
      <c r="T216" s="282" t="s">
        <v>4906</v>
      </c>
      <c r="U216" s="282">
        <v>2018</v>
      </c>
      <c r="V216" s="284">
        <f t="shared" si="7"/>
        <v>0.33405172413793105</v>
      </c>
      <c r="W216" s="292">
        <f>Table28[[#This Row],[$/sqft]]/INDEX(CPI!$A$3:$C$31,MATCH(Table28[[#This Row],[start_year]],CPI!$A$3:$A$31,0),3)</f>
        <v>0.4045604512558536</v>
      </c>
      <c r="X216" s="282"/>
      <c r="Y216" s="282" t="s">
        <v>217</v>
      </c>
      <c r="Z216" s="282" t="s">
        <v>4907</v>
      </c>
      <c r="AA216" s="282">
        <v>36.570743409999999</v>
      </c>
      <c r="AB216" s="55" t="s">
        <v>72</v>
      </c>
      <c r="AC216" t="s">
        <v>71</v>
      </c>
    </row>
    <row r="217" spans="1:29" x14ac:dyDescent="0.2">
      <c r="A217" s="282">
        <v>2544</v>
      </c>
      <c r="B217" s="282">
        <v>8356</v>
      </c>
      <c r="C217" s="282" t="s">
        <v>3410</v>
      </c>
      <c r="D217" s="282" t="str">
        <f>IF(Table28[[#This Row],[% Leakage Reduction (Calculated)]]&gt;0.4, "Greater than 40% Air Reduction", "Less than 40% Air Reduction")</f>
        <v>Greater than 40% Air Reduction</v>
      </c>
      <c r="E217" s="282" t="s">
        <v>4831</v>
      </c>
      <c r="F217" s="282" t="s">
        <v>4832</v>
      </c>
      <c r="G217" s="282" t="s">
        <v>4833</v>
      </c>
      <c r="H217" s="282"/>
      <c r="I217" s="282">
        <v>981.5</v>
      </c>
      <c r="J217" s="282" t="s">
        <v>4853</v>
      </c>
      <c r="K217" s="282">
        <v>1475</v>
      </c>
      <c r="L217" s="282" t="s">
        <v>4852</v>
      </c>
      <c r="M217" s="283">
        <f t="shared" si="6"/>
        <v>0.50280183392766176</v>
      </c>
      <c r="N217" s="282">
        <v>1203</v>
      </c>
      <c r="O217" s="282"/>
      <c r="P217" s="282">
        <v>1985</v>
      </c>
      <c r="Q217" s="282">
        <f>2023-Table28[[#This Row],[year_built]]</f>
        <v>38</v>
      </c>
      <c r="R217" s="282">
        <v>415</v>
      </c>
      <c r="S217" s="282" t="s">
        <v>4900</v>
      </c>
      <c r="T217" s="282" t="s">
        <v>4857</v>
      </c>
      <c r="U217" s="282">
        <v>2020</v>
      </c>
      <c r="V217" s="284">
        <f t="shared" si="7"/>
        <v>0.34497090606816294</v>
      </c>
      <c r="W217" s="292">
        <f>Table28[[#This Row],[$/sqft]]/INDEX(CPI!$A$3:$C$31,MATCH(Table28[[#This Row],[start_year]],CPI!$A$3:$A$31,0),3)</f>
        <v>0.40535414426324712</v>
      </c>
      <c r="X217" s="282"/>
      <c r="Y217" s="282"/>
      <c r="Z217" s="282" t="s">
        <v>4840</v>
      </c>
      <c r="AA217" s="282">
        <v>33.457627119999998</v>
      </c>
      <c r="AB217" s="55" t="s">
        <v>72</v>
      </c>
      <c r="AC217" t="s">
        <v>71</v>
      </c>
    </row>
    <row r="218" spans="1:29" x14ac:dyDescent="0.2">
      <c r="A218" s="282">
        <v>5228</v>
      </c>
      <c r="B218" s="282">
        <v>13354</v>
      </c>
      <c r="C218" s="282" t="s">
        <v>3410</v>
      </c>
      <c r="D218" s="282" t="str">
        <f>IF(Table28[[#This Row],[% Leakage Reduction (Calculated)]]&gt;0.4, "Greater than 40% Air Reduction", "Less than 40% Air Reduction")</f>
        <v>Greater than 40% Air Reduction</v>
      </c>
      <c r="E218" s="282" t="s">
        <v>4831</v>
      </c>
      <c r="F218" s="282" t="s">
        <v>4832</v>
      </c>
      <c r="G218" s="282" t="s">
        <v>4833</v>
      </c>
      <c r="H218" s="282" t="s">
        <v>4972</v>
      </c>
      <c r="I218" s="282">
        <v>4024</v>
      </c>
      <c r="J218" s="282" t="s">
        <v>4852</v>
      </c>
      <c r="K218" s="282">
        <v>2393</v>
      </c>
      <c r="L218" s="282" t="s">
        <v>4853</v>
      </c>
      <c r="M218" s="283">
        <f t="shared" si="6"/>
        <v>0.40531809145129227</v>
      </c>
      <c r="N218" s="282">
        <v>1985</v>
      </c>
      <c r="O218" s="282"/>
      <c r="P218" s="282">
        <v>2001</v>
      </c>
      <c r="Q218" s="282">
        <f>2023-Table28[[#This Row],[year_built]]</f>
        <v>22</v>
      </c>
      <c r="R218" s="282">
        <v>649.25</v>
      </c>
      <c r="S218" s="282" t="s">
        <v>4982</v>
      </c>
      <c r="T218" s="282" t="s">
        <v>4979</v>
      </c>
      <c r="U218" s="282">
        <v>2017</v>
      </c>
      <c r="V218" s="284">
        <f t="shared" si="7"/>
        <v>0.32707808564231738</v>
      </c>
      <c r="W218" s="292">
        <f>Table28[[#This Row],[$/sqft]]/INDEX(CPI!$A$3:$C$31,MATCH(Table28[[#This Row],[start_year]],CPI!$A$3:$A$31,0),3)</f>
        <v>0.40581169254928079</v>
      </c>
      <c r="X218" s="282" t="s">
        <v>1241</v>
      </c>
      <c r="Y218" s="282"/>
      <c r="Z218" s="282" t="s">
        <v>4840</v>
      </c>
      <c r="AA218" s="282">
        <v>40.531809150000001</v>
      </c>
      <c r="AB218" s="55" t="s">
        <v>72</v>
      </c>
      <c r="AC218" t="s">
        <v>71</v>
      </c>
    </row>
    <row r="219" spans="1:29" x14ac:dyDescent="0.2">
      <c r="A219" s="282">
        <v>5013</v>
      </c>
      <c r="B219" s="282">
        <v>12078</v>
      </c>
      <c r="C219" s="282" t="s">
        <v>3410</v>
      </c>
      <c r="D219" s="282" t="str">
        <f>IF(Table28[[#This Row],[% Leakage Reduction (Calculated)]]&gt;0.4, "Greater than 40% Air Reduction", "Less than 40% Air Reduction")</f>
        <v>Less than 40% Air Reduction</v>
      </c>
      <c r="E219" s="282" t="s">
        <v>4831</v>
      </c>
      <c r="F219" s="282" t="s">
        <v>4832</v>
      </c>
      <c r="G219" s="282" t="s">
        <v>4833</v>
      </c>
      <c r="H219" s="282" t="s">
        <v>4838</v>
      </c>
      <c r="I219" s="282">
        <v>2733</v>
      </c>
      <c r="J219" s="282" t="s">
        <v>4852</v>
      </c>
      <c r="K219" s="282">
        <v>2109</v>
      </c>
      <c r="L219" s="282" t="s">
        <v>4853</v>
      </c>
      <c r="M219" s="283">
        <f t="shared" si="6"/>
        <v>0.22832052689352361</v>
      </c>
      <c r="N219" s="282">
        <v>1400</v>
      </c>
      <c r="O219" s="282"/>
      <c r="P219" s="282">
        <v>1968</v>
      </c>
      <c r="Q219" s="282">
        <f>2023-Table28[[#This Row],[year_built]]</f>
        <v>55</v>
      </c>
      <c r="R219" s="282">
        <v>479.68</v>
      </c>
      <c r="S219" s="282" t="s">
        <v>4982</v>
      </c>
      <c r="T219" s="282" t="s">
        <v>4979</v>
      </c>
      <c r="U219" s="282">
        <v>2019</v>
      </c>
      <c r="V219" s="284">
        <f t="shared" si="7"/>
        <v>0.34262857142857145</v>
      </c>
      <c r="W219" s="292">
        <f>Table28[[#This Row],[$/sqft]]/INDEX(CPI!$A$3:$C$31,MATCH(Table28[[#This Row],[start_year]],CPI!$A$3:$A$31,0),3)</f>
        <v>0.40748278674786303</v>
      </c>
      <c r="X219" s="282" t="s">
        <v>4844</v>
      </c>
      <c r="Y219" s="282"/>
      <c r="Z219" s="282" t="s">
        <v>4840</v>
      </c>
      <c r="AA219" s="282">
        <v>22.832052690000001</v>
      </c>
      <c r="AB219" s="55" t="s">
        <v>72</v>
      </c>
      <c r="AC219" t="s">
        <v>71</v>
      </c>
    </row>
    <row r="220" spans="1:29" x14ac:dyDescent="0.2">
      <c r="A220" s="282">
        <v>1261</v>
      </c>
      <c r="B220" s="282">
        <v>3361</v>
      </c>
      <c r="C220" s="282" t="s">
        <v>3410</v>
      </c>
      <c r="D220" s="282" t="str">
        <f>IF(Table28[[#This Row],[% Leakage Reduction (Calculated)]]&gt;0.4, "Greater than 40% Air Reduction", "Less than 40% Air Reduction")</f>
        <v>Less than 40% Air Reduction</v>
      </c>
      <c r="E220" s="282" t="s">
        <v>4831</v>
      </c>
      <c r="F220" s="282" t="s">
        <v>4832</v>
      </c>
      <c r="G220" s="282" t="s">
        <v>4833</v>
      </c>
      <c r="H220" s="282" t="s">
        <v>4838</v>
      </c>
      <c r="I220" s="282">
        <v>23.79</v>
      </c>
      <c r="J220" s="282" t="s">
        <v>4834</v>
      </c>
      <c r="K220" s="282">
        <v>18.27</v>
      </c>
      <c r="L220" s="282" t="s">
        <v>4835</v>
      </c>
      <c r="M220" s="283">
        <f t="shared" si="6"/>
        <v>0.23203026481715006</v>
      </c>
      <c r="N220" s="282">
        <v>1621</v>
      </c>
      <c r="O220" s="282">
        <v>1</v>
      </c>
      <c r="P220" s="282">
        <v>1989</v>
      </c>
      <c r="Q220" s="282">
        <f>2023-Table28[[#This Row],[year_built]]</f>
        <v>34</v>
      </c>
      <c r="R220" s="282">
        <v>500</v>
      </c>
      <c r="S220" s="282" t="s">
        <v>4849</v>
      </c>
      <c r="T220" s="282" t="s">
        <v>4837</v>
      </c>
      <c r="U220" s="282">
        <v>2012</v>
      </c>
      <c r="V220" s="284">
        <f t="shared" si="7"/>
        <v>0.30845157310302285</v>
      </c>
      <c r="W220" s="292">
        <f>Table28[[#This Row],[$/sqft]]/INDEX(CPI!$A$3:$C$31,MATCH(Table28[[#This Row],[start_year]],CPI!$A$3:$A$31,0),3)</f>
        <v>0.40854779907414501</v>
      </c>
      <c r="X220" s="282" t="s">
        <v>56</v>
      </c>
      <c r="Y220" s="282" t="s">
        <v>4839</v>
      </c>
      <c r="Z220" s="282" t="s">
        <v>4840</v>
      </c>
      <c r="AA220" s="282">
        <v>23.203026479999998</v>
      </c>
      <c r="AB220" s="55" t="s">
        <v>72</v>
      </c>
      <c r="AC220" t="s">
        <v>71</v>
      </c>
    </row>
    <row r="221" spans="1:29" x14ac:dyDescent="0.2">
      <c r="A221" s="282">
        <v>3229</v>
      </c>
      <c r="B221" s="282">
        <v>9874</v>
      </c>
      <c r="C221" s="282" t="s">
        <v>3410</v>
      </c>
      <c r="D221" s="282" t="str">
        <f>IF(Table28[[#This Row],[% Leakage Reduction (Calculated)]]&gt;0.4, "Greater than 40% Air Reduction", "Less than 40% Air Reduction")</f>
        <v>Less than 40% Air Reduction</v>
      </c>
      <c r="E221" s="282" t="s">
        <v>4831</v>
      </c>
      <c r="F221" s="282" t="s">
        <v>4832</v>
      </c>
      <c r="G221" s="282" t="s">
        <v>4833</v>
      </c>
      <c r="H221" s="282" t="s">
        <v>4838</v>
      </c>
      <c r="I221" s="282">
        <v>9.58</v>
      </c>
      <c r="J221" s="282" t="s">
        <v>4834</v>
      </c>
      <c r="K221" s="282">
        <v>8.9600000000000009</v>
      </c>
      <c r="L221" s="282" t="s">
        <v>4835</v>
      </c>
      <c r="M221" s="283">
        <f t="shared" si="6"/>
        <v>6.4718162839248347E-2</v>
      </c>
      <c r="N221" s="282">
        <v>2908</v>
      </c>
      <c r="O221" s="282">
        <v>1.7</v>
      </c>
      <c r="P221" s="282">
        <v>1955</v>
      </c>
      <c r="Q221" s="282">
        <f>2023-Table28[[#This Row],[year_built]]</f>
        <v>68</v>
      </c>
      <c r="R221" s="282">
        <v>1000</v>
      </c>
      <c r="S221" s="282" t="s">
        <v>4934</v>
      </c>
      <c r="T221" s="282" t="s">
        <v>4906</v>
      </c>
      <c r="U221" s="282">
        <v>2019</v>
      </c>
      <c r="V221" s="284">
        <f t="shared" si="7"/>
        <v>0.34387895460797802</v>
      </c>
      <c r="W221" s="292">
        <f>Table28[[#This Row],[$/sqft]]/INDEX(CPI!$A$3:$C$31,MATCH(Table28[[#This Row],[start_year]],CPI!$A$3:$A$31,0),3)</f>
        <v>0.40896984785407164</v>
      </c>
      <c r="X221" s="282"/>
      <c r="Y221" s="282" t="s">
        <v>4917</v>
      </c>
      <c r="Z221" s="282" t="s">
        <v>4907</v>
      </c>
      <c r="AA221" s="282">
        <v>6.471816284</v>
      </c>
      <c r="AB221" s="55" t="s">
        <v>72</v>
      </c>
      <c r="AC221" t="s">
        <v>71</v>
      </c>
    </row>
    <row r="222" spans="1:29" x14ac:dyDescent="0.2">
      <c r="A222" s="282">
        <v>5251</v>
      </c>
      <c r="B222" s="282">
        <v>13483</v>
      </c>
      <c r="C222" s="282" t="s">
        <v>3410</v>
      </c>
      <c r="D222" s="282" t="str">
        <f>IF(Table28[[#This Row],[% Leakage Reduction (Calculated)]]&gt;0.4, "Greater than 40% Air Reduction", "Less than 40% Air Reduction")</f>
        <v>Less than 40% Air Reduction</v>
      </c>
      <c r="E222" s="282" t="s">
        <v>4831</v>
      </c>
      <c r="F222" s="282" t="s">
        <v>4832</v>
      </c>
      <c r="G222" s="282" t="s">
        <v>4833</v>
      </c>
      <c r="H222" s="282" t="s">
        <v>4972</v>
      </c>
      <c r="I222" s="282">
        <v>2206</v>
      </c>
      <c r="J222" s="282" t="s">
        <v>4852</v>
      </c>
      <c r="K222" s="282">
        <v>1747</v>
      </c>
      <c r="L222" s="282" t="s">
        <v>4853</v>
      </c>
      <c r="M222" s="283">
        <f t="shared" si="6"/>
        <v>0.20806890299184044</v>
      </c>
      <c r="N222" s="282">
        <v>1242</v>
      </c>
      <c r="O222" s="282"/>
      <c r="P222" s="282">
        <v>1997</v>
      </c>
      <c r="Q222" s="282">
        <f>2023-Table28[[#This Row],[year_built]]</f>
        <v>26</v>
      </c>
      <c r="R222" s="282">
        <v>419.85</v>
      </c>
      <c r="S222" s="282" t="s">
        <v>4982</v>
      </c>
      <c r="T222" s="282" t="s">
        <v>4979</v>
      </c>
      <c r="U222" s="282">
        <v>2018</v>
      </c>
      <c r="V222" s="284">
        <f t="shared" si="7"/>
        <v>0.33804347826086956</v>
      </c>
      <c r="W222" s="292">
        <f>Table28[[#This Row],[$/sqft]]/INDEX(CPI!$A$3:$C$31,MATCH(Table28[[#This Row],[start_year]],CPI!$A$3:$A$31,0),3)</f>
        <v>0.40939475005627418</v>
      </c>
      <c r="X222" s="282" t="s">
        <v>4844</v>
      </c>
      <c r="Y222" s="282"/>
      <c r="Z222" s="282" t="s">
        <v>4840</v>
      </c>
      <c r="AA222" s="282">
        <v>20.806890299999999</v>
      </c>
      <c r="AB222" s="55" t="s">
        <v>72</v>
      </c>
      <c r="AC222" t="s">
        <v>71</v>
      </c>
    </row>
    <row r="223" spans="1:29" x14ac:dyDescent="0.2">
      <c r="A223" s="282">
        <v>5248</v>
      </c>
      <c r="B223" s="282">
        <v>13467</v>
      </c>
      <c r="C223" s="282" t="s">
        <v>3410</v>
      </c>
      <c r="D223" s="282" t="str">
        <f>IF(Table28[[#This Row],[% Leakage Reduction (Calculated)]]&gt;0.4, "Greater than 40% Air Reduction", "Less than 40% Air Reduction")</f>
        <v>Less than 40% Air Reduction</v>
      </c>
      <c r="E223" s="282" t="s">
        <v>4831</v>
      </c>
      <c r="F223" s="282" t="s">
        <v>4832</v>
      </c>
      <c r="G223" s="282" t="s">
        <v>4833</v>
      </c>
      <c r="H223" s="282" t="s">
        <v>4972</v>
      </c>
      <c r="I223" s="282">
        <v>3905</v>
      </c>
      <c r="J223" s="282" t="s">
        <v>4852</v>
      </c>
      <c r="K223" s="282">
        <v>3350</v>
      </c>
      <c r="L223" s="282" t="s">
        <v>4853</v>
      </c>
      <c r="M223" s="283">
        <f t="shared" si="6"/>
        <v>0.14212548015364918</v>
      </c>
      <c r="N223" s="282">
        <v>2224</v>
      </c>
      <c r="O223" s="282"/>
      <c r="P223" s="282">
        <v>1999</v>
      </c>
      <c r="Q223" s="282">
        <f>2023-Table28[[#This Row],[year_built]]</f>
        <v>24</v>
      </c>
      <c r="R223" s="282">
        <v>753.42</v>
      </c>
      <c r="S223" s="282" t="s">
        <v>4997</v>
      </c>
      <c r="T223" s="282" t="s">
        <v>4979</v>
      </c>
      <c r="U223" s="282">
        <v>2018</v>
      </c>
      <c r="V223" s="284">
        <f t="shared" si="7"/>
        <v>0.33876798561151078</v>
      </c>
      <c r="W223" s="292">
        <f>Table28[[#This Row],[$/sqft]]/INDEX(CPI!$A$3:$C$31,MATCH(Table28[[#This Row],[start_year]],CPI!$A$3:$A$31,0),3)</f>
        <v>0.41027218010537808</v>
      </c>
      <c r="X223" s="282" t="s">
        <v>4844</v>
      </c>
      <c r="Y223" s="282"/>
      <c r="Z223" s="282" t="s">
        <v>4840</v>
      </c>
      <c r="AA223" s="282">
        <v>14.21254802</v>
      </c>
      <c r="AB223" s="55" t="s">
        <v>72</v>
      </c>
      <c r="AC223" t="s">
        <v>71</v>
      </c>
    </row>
    <row r="224" spans="1:29" x14ac:dyDescent="0.2">
      <c r="A224" s="282">
        <v>5101</v>
      </c>
      <c r="B224" s="282">
        <v>12607</v>
      </c>
      <c r="C224" s="282" t="s">
        <v>3410</v>
      </c>
      <c r="D224" s="282" t="str">
        <f>IF(Table28[[#This Row],[% Leakage Reduction (Calculated)]]&gt;0.4, "Greater than 40% Air Reduction", "Less than 40% Air Reduction")</f>
        <v>Less than 40% Air Reduction</v>
      </c>
      <c r="E224" s="282" t="s">
        <v>4831</v>
      </c>
      <c r="F224" s="282" t="s">
        <v>4832</v>
      </c>
      <c r="G224" s="282" t="s">
        <v>4833</v>
      </c>
      <c r="H224" s="282" t="s">
        <v>4972</v>
      </c>
      <c r="I224" s="282">
        <v>2577</v>
      </c>
      <c r="J224" s="282" t="s">
        <v>4852</v>
      </c>
      <c r="K224" s="282">
        <v>2181</v>
      </c>
      <c r="L224" s="282" t="s">
        <v>4853</v>
      </c>
      <c r="M224" s="283">
        <f t="shared" si="6"/>
        <v>0.15366705471478465</v>
      </c>
      <c r="N224" s="282">
        <v>1500</v>
      </c>
      <c r="O224" s="282"/>
      <c r="P224" s="282">
        <v>2007</v>
      </c>
      <c r="Q224" s="282">
        <f>2023-Table28[[#This Row],[year_built]]</f>
        <v>16</v>
      </c>
      <c r="R224" s="282">
        <v>509.81</v>
      </c>
      <c r="S224" s="282" t="s">
        <v>4981</v>
      </c>
      <c r="T224" s="282" t="s">
        <v>4979</v>
      </c>
      <c r="U224" s="282">
        <v>2018</v>
      </c>
      <c r="V224" s="284">
        <f t="shared" si="7"/>
        <v>0.33987333333333336</v>
      </c>
      <c r="W224" s="292">
        <f>Table28[[#This Row],[$/sqft]]/INDEX(CPI!$A$3:$C$31,MATCH(Table28[[#This Row],[start_year]],CPI!$A$3:$A$31,0),3)</f>
        <v>0.41161083499269885</v>
      </c>
      <c r="X224" s="282" t="s">
        <v>1241</v>
      </c>
      <c r="Y224" s="282"/>
      <c r="Z224" s="282" t="s">
        <v>4840</v>
      </c>
      <c r="AA224" s="282">
        <v>15.366705469999999</v>
      </c>
      <c r="AB224" s="55" t="s">
        <v>72</v>
      </c>
      <c r="AC224" t="s">
        <v>71</v>
      </c>
    </row>
    <row r="225" spans="1:29" x14ac:dyDescent="0.2">
      <c r="A225" s="282">
        <v>5187</v>
      </c>
      <c r="B225" s="282">
        <v>13132</v>
      </c>
      <c r="C225" s="282" t="s">
        <v>3410</v>
      </c>
      <c r="D225" s="282" t="str">
        <f>IF(Table28[[#This Row],[% Leakage Reduction (Calculated)]]&gt;0.4, "Greater than 40% Air Reduction", "Less than 40% Air Reduction")</f>
        <v>Less than 40% Air Reduction</v>
      </c>
      <c r="E225" s="282" t="s">
        <v>4831</v>
      </c>
      <c r="F225" s="282" t="s">
        <v>4832</v>
      </c>
      <c r="G225" s="282" t="s">
        <v>4833</v>
      </c>
      <c r="H225" s="282" t="s">
        <v>4972</v>
      </c>
      <c r="I225" s="282">
        <v>6061</v>
      </c>
      <c r="J225" s="282" t="s">
        <v>4852</v>
      </c>
      <c r="K225" s="282">
        <v>4292</v>
      </c>
      <c r="L225" s="282" t="s">
        <v>4853</v>
      </c>
      <c r="M225" s="283">
        <f t="shared" si="6"/>
        <v>0.291866028708134</v>
      </c>
      <c r="N225" s="282">
        <v>1620</v>
      </c>
      <c r="O225" s="282"/>
      <c r="P225" s="282">
        <v>2003</v>
      </c>
      <c r="Q225" s="282">
        <f>2023-Table28[[#This Row],[year_built]]</f>
        <v>20</v>
      </c>
      <c r="R225" s="282">
        <v>550.74</v>
      </c>
      <c r="S225" s="282" t="s">
        <v>4900</v>
      </c>
      <c r="T225" s="282" t="s">
        <v>4979</v>
      </c>
      <c r="U225" s="282">
        <v>2018</v>
      </c>
      <c r="V225" s="284">
        <f t="shared" si="7"/>
        <v>0.33996296296296297</v>
      </c>
      <c r="W225" s="292">
        <f>Table28[[#This Row],[$/sqft]]/INDEX(CPI!$A$3:$C$31,MATCH(Table28[[#This Row],[start_year]],CPI!$A$3:$A$31,0),3)</f>
        <v>0.41171938286354859</v>
      </c>
      <c r="X225" s="282" t="s">
        <v>1241</v>
      </c>
      <c r="Y225" s="282"/>
      <c r="Z225" s="282" t="s">
        <v>4840</v>
      </c>
      <c r="AA225" s="282">
        <v>29.186602870000002</v>
      </c>
      <c r="AB225" s="55" t="s">
        <v>72</v>
      </c>
      <c r="AC225" t="s">
        <v>71</v>
      </c>
    </row>
    <row r="226" spans="1:29" x14ac:dyDescent="0.2">
      <c r="A226" s="282">
        <v>1302</v>
      </c>
      <c r="B226" s="282">
        <v>3844</v>
      </c>
      <c r="C226" s="282" t="s">
        <v>3410</v>
      </c>
      <c r="D226" s="282" t="str">
        <f>IF(Table28[[#This Row],[% Leakage Reduction (Calculated)]]&gt;0.4, "Greater than 40% Air Reduction", "Less than 40% Air Reduction")</f>
        <v>Greater than 40% Air Reduction</v>
      </c>
      <c r="E226" s="282" t="s">
        <v>4831</v>
      </c>
      <c r="F226" s="282" t="s">
        <v>4832</v>
      </c>
      <c r="G226" s="282" t="s">
        <v>4833</v>
      </c>
      <c r="H226" s="282" t="s">
        <v>4838</v>
      </c>
      <c r="I226" s="282">
        <v>1854</v>
      </c>
      <c r="J226" s="282" t="s">
        <v>4852</v>
      </c>
      <c r="K226" s="282">
        <v>954</v>
      </c>
      <c r="L226" s="282" t="s">
        <v>4853</v>
      </c>
      <c r="M226" s="283">
        <f t="shared" si="6"/>
        <v>0.4854368932038835</v>
      </c>
      <c r="N226" s="282">
        <v>1832</v>
      </c>
      <c r="O226" s="282">
        <v>2</v>
      </c>
      <c r="P226" s="282">
        <v>1970</v>
      </c>
      <c r="Q226" s="282">
        <f>2023-Table28[[#This Row],[year_built]]</f>
        <v>53</v>
      </c>
      <c r="R226" s="282">
        <v>600</v>
      </c>
      <c r="S226" s="282" t="s">
        <v>4878</v>
      </c>
      <c r="T226" s="282" t="s">
        <v>4859</v>
      </c>
      <c r="U226" s="282">
        <v>2016</v>
      </c>
      <c r="V226" s="284">
        <f t="shared" si="7"/>
        <v>0.32751091703056767</v>
      </c>
      <c r="W226" s="292">
        <f>Table28[[#This Row],[$/sqft]]/INDEX(CPI!$A$3:$C$31,MATCH(Table28[[#This Row],[start_year]],CPI!$A$3:$A$31,0),3)</f>
        <v>0.41497152111811586</v>
      </c>
      <c r="X226" s="282" t="s">
        <v>4844</v>
      </c>
      <c r="Y226" s="282" t="s">
        <v>217</v>
      </c>
      <c r="Z226" s="282" t="s">
        <v>4861</v>
      </c>
      <c r="AA226" s="282">
        <v>48.543689319999999</v>
      </c>
      <c r="AB226" s="55" t="s">
        <v>72</v>
      </c>
      <c r="AC226" t="s">
        <v>72</v>
      </c>
    </row>
    <row r="227" spans="1:29" x14ac:dyDescent="0.2">
      <c r="A227" s="282">
        <v>3054</v>
      </c>
      <c r="B227" s="282">
        <v>9248</v>
      </c>
      <c r="C227" s="282" t="s">
        <v>3410</v>
      </c>
      <c r="D227" s="282" t="str">
        <f>IF(Table28[[#This Row],[% Leakage Reduction (Calculated)]]&gt;0.4, "Greater than 40% Air Reduction", "Less than 40% Air Reduction")</f>
        <v>Less than 40% Air Reduction</v>
      </c>
      <c r="E227" s="282" t="s">
        <v>4831</v>
      </c>
      <c r="F227" s="282" t="s">
        <v>4832</v>
      </c>
      <c r="G227" s="282" t="s">
        <v>4833</v>
      </c>
      <c r="H227" s="282" t="s">
        <v>4838</v>
      </c>
      <c r="I227" s="282">
        <v>8.64</v>
      </c>
      <c r="J227" s="282" t="s">
        <v>4834</v>
      </c>
      <c r="K227" s="282">
        <v>7.85</v>
      </c>
      <c r="L227" s="282" t="s">
        <v>4835</v>
      </c>
      <c r="M227" s="283">
        <f t="shared" si="6"/>
        <v>9.1435185185185286E-2</v>
      </c>
      <c r="N227" s="282">
        <v>2658</v>
      </c>
      <c r="O227" s="282">
        <v>1.91</v>
      </c>
      <c r="P227" s="282">
        <v>1983</v>
      </c>
      <c r="Q227" s="282">
        <f>2023-Table28[[#This Row],[year_built]]</f>
        <v>40</v>
      </c>
      <c r="R227" s="282">
        <v>930</v>
      </c>
      <c r="S227" s="282" t="s">
        <v>4933</v>
      </c>
      <c r="T227" s="282" t="s">
        <v>4906</v>
      </c>
      <c r="U227" s="282">
        <v>2019</v>
      </c>
      <c r="V227" s="284">
        <f t="shared" si="7"/>
        <v>0.34988713318284426</v>
      </c>
      <c r="W227" s="292">
        <f>Table28[[#This Row],[$/sqft]]/INDEX(CPI!$A$3:$C$31,MATCH(Table28[[#This Row],[start_year]],CPI!$A$3:$A$31,0),3)</f>
        <v>0.41611528041025792</v>
      </c>
      <c r="X227" s="282"/>
      <c r="Y227" s="282" t="s">
        <v>217</v>
      </c>
      <c r="Z227" s="282" t="s">
        <v>4840</v>
      </c>
      <c r="AA227" s="282">
        <v>9.1435185190000006</v>
      </c>
      <c r="AB227" s="55" t="s">
        <v>72</v>
      </c>
      <c r="AC227" t="s">
        <v>71</v>
      </c>
    </row>
    <row r="228" spans="1:29" x14ac:dyDescent="0.2">
      <c r="A228" s="282">
        <v>5217</v>
      </c>
      <c r="B228" s="282">
        <v>13294</v>
      </c>
      <c r="C228" s="282" t="s">
        <v>3410</v>
      </c>
      <c r="D228" s="282" t="str">
        <f>IF(Table28[[#This Row],[% Leakage Reduction (Calculated)]]&gt;0.4, "Greater than 40% Air Reduction", "Less than 40% Air Reduction")</f>
        <v>Less than 40% Air Reduction</v>
      </c>
      <c r="E228" s="282" t="s">
        <v>4831</v>
      </c>
      <c r="F228" s="282" t="s">
        <v>4832</v>
      </c>
      <c r="G228" s="282" t="s">
        <v>4833</v>
      </c>
      <c r="H228" s="282" t="s">
        <v>4972</v>
      </c>
      <c r="I228" s="282">
        <v>3915</v>
      </c>
      <c r="J228" s="282" t="s">
        <v>4852</v>
      </c>
      <c r="K228" s="282">
        <v>2761</v>
      </c>
      <c r="L228" s="282" t="s">
        <v>4853</v>
      </c>
      <c r="M228" s="283">
        <f t="shared" si="6"/>
        <v>0.29476372924648786</v>
      </c>
      <c r="N228" s="282">
        <v>1580</v>
      </c>
      <c r="O228" s="282"/>
      <c r="P228" s="282">
        <v>1992</v>
      </c>
      <c r="Q228" s="282">
        <f>2023-Table28[[#This Row],[year_built]]</f>
        <v>31</v>
      </c>
      <c r="R228" s="282">
        <v>545.35</v>
      </c>
      <c r="S228" s="282" t="s">
        <v>4978</v>
      </c>
      <c r="T228" s="282" t="s">
        <v>4979</v>
      </c>
      <c r="U228" s="282">
        <v>2018</v>
      </c>
      <c r="V228" s="284">
        <f t="shared" si="7"/>
        <v>0.3451582278481013</v>
      </c>
      <c r="W228" s="292">
        <f>Table28[[#This Row],[$/sqft]]/INDEX(CPI!$A$3:$C$31,MATCH(Table28[[#This Row],[start_year]],CPI!$A$3:$A$31,0),3)</f>
        <v>0.41801121899087063</v>
      </c>
      <c r="X228" s="282" t="s">
        <v>1241</v>
      </c>
      <c r="Y228" s="282"/>
      <c r="Z228" s="282" t="s">
        <v>4840</v>
      </c>
      <c r="AA228" s="282">
        <v>29.476372919999999</v>
      </c>
      <c r="AB228" s="55" t="s">
        <v>72</v>
      </c>
      <c r="AC228" t="s">
        <v>71</v>
      </c>
    </row>
    <row r="229" spans="1:29" x14ac:dyDescent="0.2">
      <c r="A229" s="282">
        <v>5088</v>
      </c>
      <c r="B229" s="282">
        <v>12535</v>
      </c>
      <c r="C229" s="282" t="s">
        <v>3410</v>
      </c>
      <c r="D229" s="282" t="str">
        <f>IF(Table28[[#This Row],[% Leakage Reduction (Calculated)]]&gt;0.4, "Greater than 40% Air Reduction", "Less than 40% Air Reduction")</f>
        <v>Less than 40% Air Reduction</v>
      </c>
      <c r="E229" s="282" t="s">
        <v>4831</v>
      </c>
      <c r="F229" s="282" t="s">
        <v>4832</v>
      </c>
      <c r="G229" s="282" t="s">
        <v>4833</v>
      </c>
      <c r="H229" s="282" t="s">
        <v>4838</v>
      </c>
      <c r="I229" s="282">
        <v>3201</v>
      </c>
      <c r="J229" s="282" t="s">
        <v>4852</v>
      </c>
      <c r="K229" s="282">
        <v>2474</v>
      </c>
      <c r="L229" s="282" t="s">
        <v>4853</v>
      </c>
      <c r="M229" s="283">
        <f t="shared" si="6"/>
        <v>0.22711652608559826</v>
      </c>
      <c r="N229" s="282">
        <v>1950</v>
      </c>
      <c r="O229" s="282"/>
      <c r="P229" s="282">
        <v>1978</v>
      </c>
      <c r="Q229" s="282">
        <f>2023-Table28[[#This Row],[year_built]]</f>
        <v>45</v>
      </c>
      <c r="R229" s="282">
        <v>685.53</v>
      </c>
      <c r="S229" s="282" t="s">
        <v>4980</v>
      </c>
      <c r="T229" s="282" t="s">
        <v>4979</v>
      </c>
      <c r="U229" s="282">
        <v>2019</v>
      </c>
      <c r="V229" s="284">
        <f t="shared" si="7"/>
        <v>0.35155384615384616</v>
      </c>
      <c r="W229" s="292">
        <f>Table28[[#This Row],[$/sqft]]/INDEX(CPI!$A$3:$C$31,MATCH(Table28[[#This Row],[start_year]],CPI!$A$3:$A$31,0),3)</f>
        <v>0.41809747600854369</v>
      </c>
      <c r="X229" s="282" t="s">
        <v>1241</v>
      </c>
      <c r="Y229" s="282"/>
      <c r="Z229" s="282" t="s">
        <v>4840</v>
      </c>
      <c r="AA229" s="282">
        <v>22.711652610000002</v>
      </c>
      <c r="AB229" s="55" t="s">
        <v>72</v>
      </c>
      <c r="AC229" t="s">
        <v>71</v>
      </c>
    </row>
    <row r="230" spans="1:29" x14ac:dyDescent="0.2">
      <c r="A230" s="282">
        <v>3047</v>
      </c>
      <c r="B230" s="282">
        <v>9219</v>
      </c>
      <c r="C230" s="282" t="s">
        <v>3410</v>
      </c>
      <c r="D230" s="282" t="str">
        <f>IF(Table28[[#This Row],[% Leakage Reduction (Calculated)]]&gt;0.4, "Greater than 40% Air Reduction", "Less than 40% Air Reduction")</f>
        <v>Less than 40% Air Reduction</v>
      </c>
      <c r="E230" s="282" t="s">
        <v>4831</v>
      </c>
      <c r="F230" s="282" t="s">
        <v>4832</v>
      </c>
      <c r="G230" s="282" t="s">
        <v>4833</v>
      </c>
      <c r="H230" s="282" t="s">
        <v>4838</v>
      </c>
      <c r="I230" s="282">
        <v>17.25</v>
      </c>
      <c r="J230" s="282" t="s">
        <v>4834</v>
      </c>
      <c r="K230" s="282">
        <v>12.13</v>
      </c>
      <c r="L230" s="282" t="s">
        <v>4835</v>
      </c>
      <c r="M230" s="283">
        <f t="shared" si="6"/>
        <v>0.29681159420289849</v>
      </c>
      <c r="N230" s="282">
        <v>2890</v>
      </c>
      <c r="O230" s="282">
        <v>1.3</v>
      </c>
      <c r="P230" s="282">
        <v>1937</v>
      </c>
      <c r="Q230" s="282">
        <f>2023-Table28[[#This Row],[year_built]]</f>
        <v>86</v>
      </c>
      <c r="R230" s="282">
        <v>1000</v>
      </c>
      <c r="S230" s="282" t="s">
        <v>4929</v>
      </c>
      <c r="T230" s="282" t="s">
        <v>4906</v>
      </c>
      <c r="U230" s="282">
        <v>2018</v>
      </c>
      <c r="V230" s="284">
        <f t="shared" si="7"/>
        <v>0.34602076124567471</v>
      </c>
      <c r="W230" s="292">
        <f>Table28[[#This Row],[$/sqft]]/INDEX(CPI!$A$3:$C$31,MATCH(Table28[[#This Row],[start_year]],CPI!$A$3:$A$31,0),3)</f>
        <v>0.41905580842218115</v>
      </c>
      <c r="X230" s="282"/>
      <c r="Y230" s="282" t="s">
        <v>4872</v>
      </c>
      <c r="Z230" s="282" t="s">
        <v>4840</v>
      </c>
      <c r="AA230" s="282">
        <v>29.68115942</v>
      </c>
      <c r="AB230" s="55" t="s">
        <v>72</v>
      </c>
      <c r="AC230" t="s">
        <v>71</v>
      </c>
    </row>
    <row r="231" spans="1:29" x14ac:dyDescent="0.2">
      <c r="A231" s="282">
        <v>5151</v>
      </c>
      <c r="B231" s="282">
        <v>12920</v>
      </c>
      <c r="C231" s="282" t="s">
        <v>3410</v>
      </c>
      <c r="D231" s="282" t="str">
        <f>IF(Table28[[#This Row],[% Leakage Reduction (Calculated)]]&gt;0.4, "Greater than 40% Air Reduction", "Less than 40% Air Reduction")</f>
        <v>Less than 40% Air Reduction</v>
      </c>
      <c r="E231" s="282" t="s">
        <v>4831</v>
      </c>
      <c r="F231" s="282" t="s">
        <v>4832</v>
      </c>
      <c r="G231" s="282" t="s">
        <v>4833</v>
      </c>
      <c r="H231" s="282" t="s">
        <v>4838</v>
      </c>
      <c r="I231" s="282">
        <v>5230</v>
      </c>
      <c r="J231" s="282" t="s">
        <v>4852</v>
      </c>
      <c r="K231" s="282">
        <v>3755</v>
      </c>
      <c r="L231" s="282" t="s">
        <v>4853</v>
      </c>
      <c r="M231" s="283">
        <f t="shared" si="6"/>
        <v>0.28202676864244741</v>
      </c>
      <c r="N231" s="282">
        <v>1300</v>
      </c>
      <c r="O231" s="282"/>
      <c r="P231" s="282">
        <v>1978</v>
      </c>
      <c r="Q231" s="282">
        <f>2023-Table28[[#This Row],[year_built]]</f>
        <v>45</v>
      </c>
      <c r="R231" s="282">
        <v>460.56</v>
      </c>
      <c r="S231" s="282" t="s">
        <v>4997</v>
      </c>
      <c r="T231" s="282" t="s">
        <v>4979</v>
      </c>
      <c r="U231" s="282">
        <v>2019</v>
      </c>
      <c r="V231" s="284">
        <f t="shared" si="7"/>
        <v>0.3542769230769231</v>
      </c>
      <c r="W231" s="292">
        <f>Table28[[#This Row],[$/sqft]]/INDEX(CPI!$A$3:$C$31,MATCH(Table28[[#This Row],[start_year]],CPI!$A$3:$A$31,0),3)</f>
        <v>0.42133598868866767</v>
      </c>
      <c r="X231" s="282" t="s">
        <v>4844</v>
      </c>
      <c r="Y231" s="282"/>
      <c r="Z231" s="282" t="s">
        <v>4840</v>
      </c>
      <c r="AA231" s="282">
        <v>28.20267686</v>
      </c>
      <c r="AB231" s="55" t="s">
        <v>72</v>
      </c>
      <c r="AC231" t="s">
        <v>71</v>
      </c>
    </row>
    <row r="232" spans="1:29" x14ac:dyDescent="0.2">
      <c r="A232" s="282">
        <v>5177</v>
      </c>
      <c r="B232" s="282">
        <v>13078</v>
      </c>
      <c r="C232" s="282" t="s">
        <v>3410</v>
      </c>
      <c r="D232" s="282" t="str">
        <f>IF(Table28[[#This Row],[% Leakage Reduction (Calculated)]]&gt;0.4, "Greater than 40% Air Reduction", "Less than 40% Air Reduction")</f>
        <v>Less than 40% Air Reduction</v>
      </c>
      <c r="E232" s="282" t="s">
        <v>4831</v>
      </c>
      <c r="F232" s="282" t="s">
        <v>4832</v>
      </c>
      <c r="G232" s="282" t="s">
        <v>4833</v>
      </c>
      <c r="H232" s="282" t="s">
        <v>4972</v>
      </c>
      <c r="I232" s="282">
        <v>2478</v>
      </c>
      <c r="J232" s="282" t="s">
        <v>4852</v>
      </c>
      <c r="K232" s="282">
        <v>1965</v>
      </c>
      <c r="L232" s="282" t="s">
        <v>4853</v>
      </c>
      <c r="M232" s="283">
        <f t="shared" si="6"/>
        <v>0.20702179176755447</v>
      </c>
      <c r="N232" s="282">
        <v>1568</v>
      </c>
      <c r="O232" s="282"/>
      <c r="P232" s="282">
        <v>1993</v>
      </c>
      <c r="Q232" s="282">
        <f>2023-Table28[[#This Row],[year_built]]</f>
        <v>30</v>
      </c>
      <c r="R232" s="282">
        <v>532.5</v>
      </c>
      <c r="S232" s="282" t="s">
        <v>4978</v>
      </c>
      <c r="T232" s="282" t="s">
        <v>4979</v>
      </c>
      <c r="U232" s="282">
        <v>2017</v>
      </c>
      <c r="V232" s="284">
        <f t="shared" si="7"/>
        <v>0.33960459183673469</v>
      </c>
      <c r="W232" s="292">
        <f>Table28[[#This Row],[$/sqft]]/INDEX(CPI!$A$3:$C$31,MATCH(Table28[[#This Row],[start_year]],CPI!$A$3:$A$31,0),3)</f>
        <v>0.42135355519196666</v>
      </c>
      <c r="X232" s="282" t="s">
        <v>4844</v>
      </c>
      <c r="Y232" s="282"/>
      <c r="Z232" s="282" t="s">
        <v>4840</v>
      </c>
      <c r="AA232" s="282">
        <v>20.702179180000002</v>
      </c>
      <c r="AB232" s="55" t="s">
        <v>72</v>
      </c>
      <c r="AC232" t="s">
        <v>71</v>
      </c>
    </row>
    <row r="233" spans="1:29" x14ac:dyDescent="0.2">
      <c r="A233" s="282">
        <v>5240</v>
      </c>
      <c r="B233" s="282">
        <v>13420</v>
      </c>
      <c r="C233" s="282" t="s">
        <v>3410</v>
      </c>
      <c r="D233" s="282" t="str">
        <f>IF(Table28[[#This Row],[% Leakage Reduction (Calculated)]]&gt;0.4, "Greater than 40% Air Reduction", "Less than 40% Air Reduction")</f>
        <v>Less than 40% Air Reduction</v>
      </c>
      <c r="E233" s="282" t="s">
        <v>4831</v>
      </c>
      <c r="F233" s="282" t="s">
        <v>4832</v>
      </c>
      <c r="G233" s="282" t="s">
        <v>4833</v>
      </c>
      <c r="H233" s="282" t="s">
        <v>4972</v>
      </c>
      <c r="I233" s="282">
        <v>2438</v>
      </c>
      <c r="J233" s="282" t="s">
        <v>4852</v>
      </c>
      <c r="K233" s="282">
        <v>1570</v>
      </c>
      <c r="L233" s="282" t="s">
        <v>4853</v>
      </c>
      <c r="M233" s="283">
        <f t="shared" si="6"/>
        <v>0.35602953240360952</v>
      </c>
      <c r="N233" s="282">
        <v>990</v>
      </c>
      <c r="O233" s="282"/>
      <c r="P233" s="282">
        <v>1998</v>
      </c>
      <c r="Q233" s="282">
        <f>2023-Table28[[#This Row],[year_built]]</f>
        <v>25</v>
      </c>
      <c r="R233" s="282">
        <v>345.35</v>
      </c>
      <c r="S233" s="282" t="s">
        <v>4978</v>
      </c>
      <c r="T233" s="282" t="s">
        <v>4979</v>
      </c>
      <c r="U233" s="282">
        <v>2018</v>
      </c>
      <c r="V233" s="284">
        <f t="shared" si="7"/>
        <v>0.34883838383838384</v>
      </c>
      <c r="W233" s="292">
        <f>Table28[[#This Row],[$/sqft]]/INDEX(CPI!$A$3:$C$31,MATCH(Table28[[#This Row],[start_year]],CPI!$A$3:$A$31,0),3)</f>
        <v>0.42246815023995432</v>
      </c>
      <c r="X233" s="282" t="s">
        <v>1241</v>
      </c>
      <c r="Y233" s="282"/>
      <c r="Z233" s="282" t="s">
        <v>4840</v>
      </c>
      <c r="AA233" s="282">
        <v>35.602953239999998</v>
      </c>
      <c r="AB233" s="55" t="s">
        <v>72</v>
      </c>
      <c r="AC233" t="s">
        <v>71</v>
      </c>
    </row>
    <row r="234" spans="1:29" x14ac:dyDescent="0.2">
      <c r="A234" s="282">
        <v>3121</v>
      </c>
      <c r="B234" s="282">
        <v>9519</v>
      </c>
      <c r="C234" s="282" t="s">
        <v>3410</v>
      </c>
      <c r="D234" s="282" t="str">
        <f>IF(Table28[[#This Row],[% Leakage Reduction (Calculated)]]&gt;0.4, "Greater than 40% Air Reduction", "Less than 40% Air Reduction")</f>
        <v>Less than 40% Air Reduction</v>
      </c>
      <c r="E234" s="282" t="s">
        <v>4831</v>
      </c>
      <c r="F234" s="282" t="s">
        <v>4832</v>
      </c>
      <c r="G234" s="282" t="s">
        <v>4833</v>
      </c>
      <c r="H234" s="282" t="s">
        <v>4838</v>
      </c>
      <c r="I234" s="282">
        <v>20.02</v>
      </c>
      <c r="J234" s="282" t="s">
        <v>4834</v>
      </c>
      <c r="K234" s="282">
        <v>17.920000000000002</v>
      </c>
      <c r="L234" s="282" t="s">
        <v>4835</v>
      </c>
      <c r="M234" s="283">
        <f t="shared" si="6"/>
        <v>0.10489510489510478</v>
      </c>
      <c r="N234" s="282">
        <v>1674</v>
      </c>
      <c r="O234" s="282">
        <v>1.2</v>
      </c>
      <c r="P234" s="282">
        <v>1919</v>
      </c>
      <c r="Q234" s="282">
        <f>2023-Table28[[#This Row],[year_built]]</f>
        <v>104</v>
      </c>
      <c r="R234" s="282">
        <v>600</v>
      </c>
      <c r="S234" s="282" t="s">
        <v>4933</v>
      </c>
      <c r="T234" s="282" t="s">
        <v>4906</v>
      </c>
      <c r="U234" s="282">
        <v>2019</v>
      </c>
      <c r="V234" s="284">
        <f t="shared" si="7"/>
        <v>0.35842293906810035</v>
      </c>
      <c r="W234" s="292">
        <f>Table28[[#This Row],[$/sqft]]/INDEX(CPI!$A$3:$C$31,MATCH(Table28[[#This Row],[start_year]],CPI!$A$3:$A$31,0),3)</f>
        <v>0.42626678048732625</v>
      </c>
      <c r="X234" s="282"/>
      <c r="Y234" s="282" t="s">
        <v>217</v>
      </c>
      <c r="Z234" s="282" t="s">
        <v>4907</v>
      </c>
      <c r="AA234" s="282">
        <v>10.489510490000001</v>
      </c>
      <c r="AB234" s="55" t="s">
        <v>72</v>
      </c>
      <c r="AC234" t="s">
        <v>71</v>
      </c>
    </row>
    <row r="235" spans="1:29" x14ac:dyDescent="0.2">
      <c r="A235" s="282">
        <v>5183</v>
      </c>
      <c r="B235" s="282">
        <v>13108</v>
      </c>
      <c r="C235" s="282" t="s">
        <v>3410</v>
      </c>
      <c r="D235" s="282" t="str">
        <f>IF(Table28[[#This Row],[% Leakage Reduction (Calculated)]]&gt;0.4, "Greater than 40% Air Reduction", "Less than 40% Air Reduction")</f>
        <v>Greater than 40% Air Reduction</v>
      </c>
      <c r="E235" s="282" t="s">
        <v>4831</v>
      </c>
      <c r="F235" s="282" t="s">
        <v>4832</v>
      </c>
      <c r="G235" s="282" t="s">
        <v>4833</v>
      </c>
      <c r="H235" s="282" t="s">
        <v>4838</v>
      </c>
      <c r="I235" s="282">
        <v>2971</v>
      </c>
      <c r="J235" s="282" t="s">
        <v>4852</v>
      </c>
      <c r="K235" s="282">
        <v>1424</v>
      </c>
      <c r="L235" s="282" t="s">
        <v>4853</v>
      </c>
      <c r="M235" s="283">
        <f t="shared" si="6"/>
        <v>0.52070010097610231</v>
      </c>
      <c r="N235" s="282">
        <v>1875</v>
      </c>
      <c r="O235" s="282"/>
      <c r="P235" s="282">
        <v>1979</v>
      </c>
      <c r="Q235" s="282">
        <f>2023-Table28[[#This Row],[year_built]]</f>
        <v>44</v>
      </c>
      <c r="R235" s="282">
        <v>644.5</v>
      </c>
      <c r="S235" s="282" t="s">
        <v>4900</v>
      </c>
      <c r="T235" s="282" t="s">
        <v>4979</v>
      </c>
      <c r="U235" s="282">
        <v>2017</v>
      </c>
      <c r="V235" s="284">
        <f t="shared" si="7"/>
        <v>0.34373333333333334</v>
      </c>
      <c r="W235" s="292">
        <f>Table28[[#This Row],[$/sqft]]/INDEX(CPI!$A$3:$C$31,MATCH(Table28[[#This Row],[start_year]],CPI!$A$3:$A$31,0),3)</f>
        <v>0.42647615939072492</v>
      </c>
      <c r="X235" s="282" t="s">
        <v>4844</v>
      </c>
      <c r="Y235" s="282"/>
      <c r="Z235" s="282" t="s">
        <v>4840</v>
      </c>
      <c r="AA235" s="282">
        <v>52.070010099999998</v>
      </c>
      <c r="AB235" s="55" t="s">
        <v>72</v>
      </c>
      <c r="AC235" t="s">
        <v>71</v>
      </c>
    </row>
    <row r="236" spans="1:29" x14ac:dyDescent="0.2">
      <c r="A236" s="282">
        <v>5213</v>
      </c>
      <c r="B236" s="282">
        <v>13273</v>
      </c>
      <c r="C236" s="282" t="s">
        <v>3410</v>
      </c>
      <c r="D236" s="282" t="str">
        <f>IF(Table28[[#This Row],[% Leakage Reduction (Calculated)]]&gt;0.4, "Greater than 40% Air Reduction", "Less than 40% Air Reduction")</f>
        <v>Less than 40% Air Reduction</v>
      </c>
      <c r="E236" s="282" t="s">
        <v>4831</v>
      </c>
      <c r="F236" s="282" t="s">
        <v>4832</v>
      </c>
      <c r="G236" s="282" t="s">
        <v>4833</v>
      </c>
      <c r="H236" s="282" t="s">
        <v>4972</v>
      </c>
      <c r="I236" s="282">
        <v>3206</v>
      </c>
      <c r="J236" s="282" t="s">
        <v>4852</v>
      </c>
      <c r="K236" s="282">
        <v>2467</v>
      </c>
      <c r="L236" s="282" t="s">
        <v>4853</v>
      </c>
      <c r="M236" s="283">
        <f t="shared" si="6"/>
        <v>0.23050530255770429</v>
      </c>
      <c r="N236" s="282">
        <v>1300</v>
      </c>
      <c r="O236" s="282"/>
      <c r="P236" s="282">
        <v>1994</v>
      </c>
      <c r="Q236" s="282">
        <f>2023-Table28[[#This Row],[year_built]]</f>
        <v>29</v>
      </c>
      <c r="R236" s="282">
        <v>459.35</v>
      </c>
      <c r="S236" s="282" t="s">
        <v>4980</v>
      </c>
      <c r="T236" s="282" t="s">
        <v>4979</v>
      </c>
      <c r="U236" s="282">
        <v>2018</v>
      </c>
      <c r="V236" s="284">
        <f t="shared" si="7"/>
        <v>0.35334615384615387</v>
      </c>
      <c r="W236" s="292">
        <f>Table28[[#This Row],[$/sqft]]/INDEX(CPI!$A$3:$C$31,MATCH(Table28[[#This Row],[start_year]],CPI!$A$3:$A$31,0),3)</f>
        <v>0.42792738106178974</v>
      </c>
      <c r="X236" s="282" t="s">
        <v>1241</v>
      </c>
      <c r="Y236" s="282"/>
      <c r="Z236" s="282" t="s">
        <v>4840</v>
      </c>
      <c r="AA236" s="282">
        <v>23.050530259999999</v>
      </c>
      <c r="AB236" s="55" t="s">
        <v>72</v>
      </c>
      <c r="AC236" t="s">
        <v>71</v>
      </c>
    </row>
    <row r="237" spans="1:29" x14ac:dyDescent="0.2">
      <c r="A237" s="282">
        <v>5113</v>
      </c>
      <c r="B237" s="282">
        <v>12685</v>
      </c>
      <c r="C237" s="282" t="s">
        <v>3410</v>
      </c>
      <c r="D237" s="282" t="str">
        <f>IF(Table28[[#This Row],[% Leakage Reduction (Calculated)]]&gt;0.4, "Greater than 40% Air Reduction", "Less than 40% Air Reduction")</f>
        <v>Less than 40% Air Reduction</v>
      </c>
      <c r="E237" s="282" t="s">
        <v>4831</v>
      </c>
      <c r="F237" s="282" t="s">
        <v>4832</v>
      </c>
      <c r="G237" s="282" t="s">
        <v>4833</v>
      </c>
      <c r="H237" s="282" t="s">
        <v>4838</v>
      </c>
      <c r="I237" s="282">
        <v>2820</v>
      </c>
      <c r="J237" s="282" t="s">
        <v>4852</v>
      </c>
      <c r="K237" s="282">
        <v>2479</v>
      </c>
      <c r="L237" s="282" t="s">
        <v>4853</v>
      </c>
      <c r="M237" s="283">
        <f t="shared" si="6"/>
        <v>0.12092198581560283</v>
      </c>
      <c r="N237" s="282">
        <v>1650</v>
      </c>
      <c r="O237" s="282"/>
      <c r="P237" s="282">
        <v>1965</v>
      </c>
      <c r="Q237" s="282">
        <f>2023-Table28[[#This Row],[year_built]]</f>
        <v>58</v>
      </c>
      <c r="R237" s="282">
        <v>593.98</v>
      </c>
      <c r="S237" s="282" t="s">
        <v>4994</v>
      </c>
      <c r="T237" s="282" t="s">
        <v>4979</v>
      </c>
      <c r="U237" s="282">
        <v>2019</v>
      </c>
      <c r="V237" s="284">
        <f t="shared" si="7"/>
        <v>0.3599878787878788</v>
      </c>
      <c r="W237" s="292">
        <f>Table28[[#This Row],[$/sqft]]/INDEX(CPI!$A$3:$C$31,MATCH(Table28[[#This Row],[start_year]],CPI!$A$3:$A$31,0),3)</f>
        <v>0.42812793875398492</v>
      </c>
      <c r="X237" s="282" t="s">
        <v>4844</v>
      </c>
      <c r="Y237" s="282"/>
      <c r="Z237" s="282" t="s">
        <v>4840</v>
      </c>
      <c r="AA237" s="282">
        <v>12.09219858</v>
      </c>
      <c r="AB237" s="55" t="s">
        <v>72</v>
      </c>
      <c r="AC237" t="s">
        <v>71</v>
      </c>
    </row>
    <row r="238" spans="1:29" x14ac:dyDescent="0.2">
      <c r="A238" s="282">
        <v>4020</v>
      </c>
      <c r="B238" s="282">
        <v>11082</v>
      </c>
      <c r="C238" s="282" t="s">
        <v>3410</v>
      </c>
      <c r="D238" s="282" t="str">
        <f>IF(Table28[[#This Row],[% Leakage Reduction (Calculated)]]&gt;0.4, "Greater than 40% Air Reduction", "Less than 40% Air Reduction")</f>
        <v>Less than 40% Air Reduction</v>
      </c>
      <c r="E238" s="282" t="s">
        <v>4831</v>
      </c>
      <c r="F238" s="282" t="s">
        <v>4832</v>
      </c>
      <c r="G238" s="282" t="s">
        <v>4833</v>
      </c>
      <c r="H238" s="282" t="s">
        <v>4838</v>
      </c>
      <c r="I238" s="282">
        <v>2936</v>
      </c>
      <c r="J238" s="282" t="s">
        <v>4852</v>
      </c>
      <c r="K238" s="282">
        <v>2480</v>
      </c>
      <c r="L238" s="282" t="s">
        <v>4853</v>
      </c>
      <c r="M238" s="283">
        <f t="shared" si="6"/>
        <v>0.15531335149863759</v>
      </c>
      <c r="N238" s="282">
        <v>1724</v>
      </c>
      <c r="O238" s="282"/>
      <c r="P238" s="282">
        <v>1965</v>
      </c>
      <c r="Q238" s="282">
        <f>2023-Table28[[#This Row],[year_built]]</f>
        <v>58</v>
      </c>
      <c r="R238" s="282">
        <v>621.09</v>
      </c>
      <c r="S238" s="282" t="s">
        <v>4974</v>
      </c>
      <c r="T238" s="282" t="s">
        <v>4969</v>
      </c>
      <c r="U238" s="282">
        <v>2019</v>
      </c>
      <c r="V238" s="284">
        <f t="shared" si="7"/>
        <v>0.36026102088167056</v>
      </c>
      <c r="W238" s="292">
        <f>Table28[[#This Row],[$/sqft]]/INDEX(CPI!$A$3:$C$31,MATCH(Table28[[#This Row],[start_year]],CPI!$A$3:$A$31,0),3)</f>
        <v>0.42845278236259687</v>
      </c>
      <c r="X238" s="282" t="s">
        <v>1241</v>
      </c>
      <c r="Y238" s="282"/>
      <c r="Z238" s="282" t="s">
        <v>4840</v>
      </c>
      <c r="AA238" s="282">
        <v>15.53133515</v>
      </c>
      <c r="AB238" s="55" t="s">
        <v>72</v>
      </c>
      <c r="AC238" t="s">
        <v>71</v>
      </c>
    </row>
    <row r="239" spans="1:29" x14ac:dyDescent="0.2">
      <c r="A239" s="282">
        <v>5053</v>
      </c>
      <c r="B239" s="282">
        <v>12325</v>
      </c>
      <c r="C239" s="282" t="s">
        <v>3410</v>
      </c>
      <c r="D239" s="282" t="str">
        <f>IF(Table28[[#This Row],[% Leakage Reduction (Calculated)]]&gt;0.4, "Greater than 40% Air Reduction", "Less than 40% Air Reduction")</f>
        <v>Less than 40% Air Reduction</v>
      </c>
      <c r="E239" s="282" t="s">
        <v>4831</v>
      </c>
      <c r="F239" s="282" t="s">
        <v>4832</v>
      </c>
      <c r="G239" s="282" t="s">
        <v>4833</v>
      </c>
      <c r="H239" s="282" t="s">
        <v>4838</v>
      </c>
      <c r="I239" s="282">
        <v>3387</v>
      </c>
      <c r="J239" s="282" t="s">
        <v>4852</v>
      </c>
      <c r="K239" s="282">
        <v>2081</v>
      </c>
      <c r="L239" s="282" t="s">
        <v>4853</v>
      </c>
      <c r="M239" s="283">
        <f t="shared" si="6"/>
        <v>0.38559196929436079</v>
      </c>
      <c r="N239" s="282">
        <v>1200</v>
      </c>
      <c r="O239" s="282"/>
      <c r="P239" s="282">
        <v>1988</v>
      </c>
      <c r="Q239" s="282">
        <f>2023-Table28[[#This Row],[year_built]]</f>
        <v>35</v>
      </c>
      <c r="R239" s="282">
        <v>433.44</v>
      </c>
      <c r="S239" s="282" t="s">
        <v>4981</v>
      </c>
      <c r="T239" s="282" t="s">
        <v>4979</v>
      </c>
      <c r="U239" s="282">
        <v>2019</v>
      </c>
      <c r="V239" s="284">
        <f t="shared" si="7"/>
        <v>0.36120000000000002</v>
      </c>
      <c r="W239" s="292">
        <f>Table28[[#This Row],[$/sqft]]/INDEX(CPI!$A$3:$C$31,MATCH(Table28[[#This Row],[start_year]],CPI!$A$3:$A$31,0),3)</f>
        <v>0.42956949550254209</v>
      </c>
      <c r="X239" s="282" t="s">
        <v>1241</v>
      </c>
      <c r="Y239" s="282"/>
      <c r="Z239" s="282" t="s">
        <v>4840</v>
      </c>
      <c r="AA239" s="282">
        <v>38.559196929999999</v>
      </c>
      <c r="AB239" s="55" t="s">
        <v>72</v>
      </c>
      <c r="AC239" t="s">
        <v>71</v>
      </c>
    </row>
    <row r="240" spans="1:29" x14ac:dyDescent="0.2">
      <c r="A240" s="282">
        <v>5115</v>
      </c>
      <c r="B240" s="282">
        <v>12696</v>
      </c>
      <c r="C240" s="282" t="s">
        <v>3410</v>
      </c>
      <c r="D240" s="282" t="str">
        <f>IF(Table28[[#This Row],[% Leakage Reduction (Calculated)]]&gt;0.4, "Greater than 40% Air Reduction", "Less than 40% Air Reduction")</f>
        <v>Less than 40% Air Reduction</v>
      </c>
      <c r="E240" s="282" t="s">
        <v>4831</v>
      </c>
      <c r="F240" s="282" t="s">
        <v>4832</v>
      </c>
      <c r="G240" s="282" t="s">
        <v>4833</v>
      </c>
      <c r="H240" s="282" t="s">
        <v>4838</v>
      </c>
      <c r="I240" s="282">
        <v>2269</v>
      </c>
      <c r="J240" s="282" t="s">
        <v>4852</v>
      </c>
      <c r="K240" s="282">
        <v>2091</v>
      </c>
      <c r="L240" s="282" t="s">
        <v>4853</v>
      </c>
      <c r="M240" s="283">
        <f t="shared" si="6"/>
        <v>7.8448655795504627E-2</v>
      </c>
      <c r="N240" s="282">
        <v>1200</v>
      </c>
      <c r="O240" s="282"/>
      <c r="P240" s="282">
        <v>1972</v>
      </c>
      <c r="Q240" s="282">
        <f>2023-Table28[[#This Row],[year_built]]</f>
        <v>51</v>
      </c>
      <c r="R240" s="282">
        <v>426.25</v>
      </c>
      <c r="S240" s="282" t="s">
        <v>4900</v>
      </c>
      <c r="T240" s="282" t="s">
        <v>4979</v>
      </c>
      <c r="U240" s="282">
        <v>2018</v>
      </c>
      <c r="V240" s="284">
        <f t="shared" si="7"/>
        <v>0.35520833333333335</v>
      </c>
      <c r="W240" s="292">
        <f>Table28[[#This Row],[$/sqft]]/INDEX(CPI!$A$3:$C$31,MATCH(Table28[[#This Row],[start_year]],CPI!$A$3:$A$31,0),3)</f>
        <v>0.43018261316872436</v>
      </c>
      <c r="X240" s="282" t="s">
        <v>1241</v>
      </c>
      <c r="Y240" s="282"/>
      <c r="Z240" s="282" t="s">
        <v>4840</v>
      </c>
      <c r="AA240" s="282">
        <v>7.8448655799999996</v>
      </c>
      <c r="AB240" s="55" t="s">
        <v>72</v>
      </c>
      <c r="AC240" t="s">
        <v>71</v>
      </c>
    </row>
    <row r="241" spans="1:29" x14ac:dyDescent="0.2">
      <c r="A241" s="282">
        <v>4013</v>
      </c>
      <c r="B241" s="282">
        <v>11054</v>
      </c>
      <c r="C241" s="282" t="s">
        <v>3410</v>
      </c>
      <c r="D241" s="282" t="str">
        <f>IF(Table28[[#This Row],[% Leakage Reduction (Calculated)]]&gt;0.4, "Greater than 40% Air Reduction", "Less than 40% Air Reduction")</f>
        <v>Less than 40% Air Reduction</v>
      </c>
      <c r="E241" s="282" t="s">
        <v>4831</v>
      </c>
      <c r="F241" s="282" t="s">
        <v>4832</v>
      </c>
      <c r="G241" s="282" t="s">
        <v>4833</v>
      </c>
      <c r="H241" s="282" t="s">
        <v>4838</v>
      </c>
      <c r="I241" s="282">
        <v>2912</v>
      </c>
      <c r="J241" s="282" t="s">
        <v>4852</v>
      </c>
      <c r="K241" s="282">
        <v>1798</v>
      </c>
      <c r="L241" s="282" t="s">
        <v>4853</v>
      </c>
      <c r="M241" s="283">
        <f t="shared" si="6"/>
        <v>0.38255494505494503</v>
      </c>
      <c r="N241" s="282">
        <v>1239</v>
      </c>
      <c r="O241" s="282"/>
      <c r="P241" s="282">
        <v>1965</v>
      </c>
      <c r="Q241" s="282">
        <f>2023-Table28[[#This Row],[year_built]]</f>
        <v>58</v>
      </c>
      <c r="R241" s="282">
        <v>450</v>
      </c>
      <c r="S241" s="282" t="s">
        <v>4968</v>
      </c>
      <c r="T241" s="282" t="s">
        <v>4969</v>
      </c>
      <c r="U241" s="282">
        <v>2019</v>
      </c>
      <c r="V241" s="284">
        <f t="shared" si="7"/>
        <v>0.36319612590799033</v>
      </c>
      <c r="W241" s="292">
        <f>Table28[[#This Row],[$/sqft]]/INDEX(CPI!$A$3:$C$31,MATCH(Table28[[#This Row],[start_year]],CPI!$A$3:$A$31,0),3)</f>
        <v>0.43194345674078949</v>
      </c>
      <c r="X241" s="282" t="s">
        <v>1241</v>
      </c>
      <c r="Y241" s="282"/>
      <c r="Z241" s="282" t="s">
        <v>4840</v>
      </c>
      <c r="AA241" s="282">
        <v>38.255494509999998</v>
      </c>
      <c r="AB241" s="55" t="s">
        <v>72</v>
      </c>
      <c r="AC241" t="s">
        <v>71</v>
      </c>
    </row>
    <row r="242" spans="1:29" x14ac:dyDescent="0.2">
      <c r="A242" s="282">
        <v>5104</v>
      </c>
      <c r="B242" s="282">
        <v>12627</v>
      </c>
      <c r="C242" s="282" t="s">
        <v>3410</v>
      </c>
      <c r="D242" s="282" t="str">
        <f>IF(Table28[[#This Row],[% Leakage Reduction (Calculated)]]&gt;0.4, "Greater than 40% Air Reduction", "Less than 40% Air Reduction")</f>
        <v>Less than 40% Air Reduction</v>
      </c>
      <c r="E242" s="282" t="s">
        <v>4831</v>
      </c>
      <c r="F242" s="282" t="s">
        <v>4832</v>
      </c>
      <c r="G242" s="282" t="s">
        <v>4833</v>
      </c>
      <c r="H242" s="282" t="s">
        <v>4838</v>
      </c>
      <c r="I242" s="282">
        <v>3436</v>
      </c>
      <c r="J242" s="282" t="s">
        <v>4852</v>
      </c>
      <c r="K242" s="282">
        <v>2680</v>
      </c>
      <c r="L242" s="282" t="s">
        <v>4853</v>
      </c>
      <c r="M242" s="283">
        <f t="shared" si="6"/>
        <v>0.22002328288707801</v>
      </c>
      <c r="N242" s="282">
        <v>1500</v>
      </c>
      <c r="O242" s="282"/>
      <c r="P242" s="282">
        <v>1985</v>
      </c>
      <c r="Q242" s="282">
        <f>2023-Table28[[#This Row],[year_built]]</f>
        <v>38</v>
      </c>
      <c r="R242" s="282">
        <v>535.51</v>
      </c>
      <c r="S242" s="282" t="s">
        <v>4987</v>
      </c>
      <c r="T242" s="282" t="s">
        <v>4979</v>
      </c>
      <c r="U242" s="282">
        <v>2018</v>
      </c>
      <c r="V242" s="284">
        <f t="shared" si="7"/>
        <v>0.35700666666666664</v>
      </c>
      <c r="W242" s="292">
        <f>Table28[[#This Row],[$/sqft]]/INDEX(CPI!$A$3:$C$31,MATCH(Table28[[#This Row],[start_year]],CPI!$A$3:$A$31,0),3)</f>
        <v>0.43236052303199257</v>
      </c>
      <c r="X242" s="282" t="s">
        <v>4844</v>
      </c>
      <c r="Y242" s="282"/>
      <c r="Z242" s="282" t="s">
        <v>4840</v>
      </c>
      <c r="AA242" s="282">
        <v>22.002328290000001</v>
      </c>
      <c r="AB242" s="55" t="s">
        <v>72</v>
      </c>
      <c r="AC242" t="s">
        <v>71</v>
      </c>
    </row>
    <row r="243" spans="1:29" x14ac:dyDescent="0.2">
      <c r="A243" s="282">
        <v>3176</v>
      </c>
      <c r="B243" s="282">
        <v>9703</v>
      </c>
      <c r="C243" s="282" t="s">
        <v>3410</v>
      </c>
      <c r="D243" s="282" t="str">
        <f>IF(Table28[[#This Row],[% Leakage Reduction (Calculated)]]&gt;0.4, "Greater than 40% Air Reduction", "Less than 40% Air Reduction")</f>
        <v>Less than 40% Air Reduction</v>
      </c>
      <c r="E243" s="282" t="s">
        <v>4831</v>
      </c>
      <c r="F243" s="282" t="s">
        <v>4832</v>
      </c>
      <c r="G243" s="282" t="s">
        <v>4833</v>
      </c>
      <c r="H243" s="282" t="s">
        <v>4838</v>
      </c>
      <c r="I243" s="282">
        <v>6.77</v>
      </c>
      <c r="J243" s="282" t="s">
        <v>4834</v>
      </c>
      <c r="K243" s="282">
        <v>4.46</v>
      </c>
      <c r="L243" s="282" t="s">
        <v>4835</v>
      </c>
      <c r="M243" s="283">
        <f t="shared" si="6"/>
        <v>0.34121122599704573</v>
      </c>
      <c r="N243" s="282">
        <v>2750</v>
      </c>
      <c r="O243" s="282">
        <v>2</v>
      </c>
      <c r="P243" s="282">
        <v>1997</v>
      </c>
      <c r="Q243" s="282">
        <f>2023-Table28[[#This Row],[year_built]]</f>
        <v>26</v>
      </c>
      <c r="R243" s="282">
        <v>1000</v>
      </c>
      <c r="S243" s="282" t="s">
        <v>4956</v>
      </c>
      <c r="T243" s="282" t="s">
        <v>4906</v>
      </c>
      <c r="U243" s="282">
        <v>2019</v>
      </c>
      <c r="V243" s="284">
        <f t="shared" si="7"/>
        <v>0.36363636363636365</v>
      </c>
      <c r="W243" s="292">
        <f>Table28[[#This Row],[$/sqft]]/INDEX(CPI!$A$3:$C$31,MATCH(Table28[[#This Row],[start_year]],CPI!$A$3:$A$31,0),3)</f>
        <v>0.43246702456714192</v>
      </c>
      <c r="X243" s="282"/>
      <c r="Y243" s="282" t="s">
        <v>217</v>
      </c>
      <c r="Z243" s="282" t="s">
        <v>4840</v>
      </c>
      <c r="AA243" s="282">
        <v>34.1211226</v>
      </c>
      <c r="AB243" s="55" t="s">
        <v>72</v>
      </c>
      <c r="AC243" t="s">
        <v>71</v>
      </c>
    </row>
    <row r="244" spans="1:29" x14ac:dyDescent="0.2">
      <c r="A244" s="282">
        <v>3254</v>
      </c>
      <c r="B244" s="282">
        <v>9947</v>
      </c>
      <c r="C244" s="282" t="s">
        <v>3410</v>
      </c>
      <c r="D244" s="282" t="str">
        <f>IF(Table28[[#This Row],[% Leakage Reduction (Calculated)]]&gt;0.4, "Greater than 40% Air Reduction", "Less than 40% Air Reduction")</f>
        <v>Greater than 40% Air Reduction</v>
      </c>
      <c r="E244" s="282" t="s">
        <v>4831</v>
      </c>
      <c r="F244" s="282" t="s">
        <v>4832</v>
      </c>
      <c r="G244" s="282" t="s">
        <v>4833</v>
      </c>
      <c r="H244" s="282" t="s">
        <v>4838</v>
      </c>
      <c r="I244" s="282">
        <v>21.69</v>
      </c>
      <c r="J244" s="282" t="s">
        <v>4834</v>
      </c>
      <c r="K244" s="282">
        <v>10.23</v>
      </c>
      <c r="L244" s="282" t="s">
        <v>4835</v>
      </c>
      <c r="M244" s="283">
        <f t="shared" si="6"/>
        <v>0.52835408022130015</v>
      </c>
      <c r="N244" s="282">
        <v>1764</v>
      </c>
      <c r="O244" s="282">
        <v>2</v>
      </c>
      <c r="P244" s="282">
        <v>1961</v>
      </c>
      <c r="Q244" s="282">
        <f>2023-Table28[[#This Row],[year_built]]</f>
        <v>62</v>
      </c>
      <c r="R244" s="282">
        <v>650</v>
      </c>
      <c r="S244" s="282" t="s">
        <v>4959</v>
      </c>
      <c r="T244" s="282" t="s">
        <v>4906</v>
      </c>
      <c r="U244" s="282">
        <v>2020</v>
      </c>
      <c r="V244" s="284">
        <f t="shared" si="7"/>
        <v>0.36848072562358275</v>
      </c>
      <c r="W244" s="292">
        <f>Table28[[#This Row],[$/sqft]]/INDEX(CPI!$A$3:$C$31,MATCH(Table28[[#This Row],[start_year]],CPI!$A$3:$A$31,0),3)</f>
        <v>0.4329790906573861</v>
      </c>
      <c r="X244" s="282"/>
      <c r="Y244" s="282" t="s">
        <v>217</v>
      </c>
      <c r="Z244" s="282" t="s">
        <v>4907</v>
      </c>
      <c r="AA244" s="282">
        <v>52.835408020000003</v>
      </c>
      <c r="AB244" s="55" t="s">
        <v>72</v>
      </c>
      <c r="AC244" t="s">
        <v>71</v>
      </c>
    </row>
    <row r="245" spans="1:29" x14ac:dyDescent="0.2">
      <c r="A245" s="282">
        <v>5027</v>
      </c>
      <c r="B245" s="282">
        <v>12166</v>
      </c>
      <c r="C245" s="282" t="s">
        <v>3410</v>
      </c>
      <c r="D245" s="282" t="str">
        <f>IF(Table28[[#This Row],[% Leakage Reduction (Calculated)]]&gt;0.4, "Greater than 40% Air Reduction", "Less than 40% Air Reduction")</f>
        <v>Less than 40% Air Reduction</v>
      </c>
      <c r="E245" s="282" t="s">
        <v>4831</v>
      </c>
      <c r="F245" s="282" t="s">
        <v>4832</v>
      </c>
      <c r="G245" s="282" t="s">
        <v>4833</v>
      </c>
      <c r="H245" s="282" t="s">
        <v>4972</v>
      </c>
      <c r="I245" s="282">
        <v>2992</v>
      </c>
      <c r="J245" s="282" t="s">
        <v>4852</v>
      </c>
      <c r="K245" s="282">
        <v>2143</v>
      </c>
      <c r="L245" s="282" t="s">
        <v>4853</v>
      </c>
      <c r="M245" s="283">
        <f t="shared" si="6"/>
        <v>0.28375668449197861</v>
      </c>
      <c r="N245" s="282">
        <v>1680</v>
      </c>
      <c r="O245" s="282"/>
      <c r="P245" s="282">
        <v>1998</v>
      </c>
      <c r="Q245" s="282">
        <f>2023-Table28[[#This Row],[year_built]]</f>
        <v>25</v>
      </c>
      <c r="R245" s="282">
        <v>590.5</v>
      </c>
      <c r="S245" s="282" t="s">
        <v>4986</v>
      </c>
      <c r="T245" s="282" t="s">
        <v>4979</v>
      </c>
      <c r="U245" s="282">
        <v>2017</v>
      </c>
      <c r="V245" s="284">
        <f t="shared" si="7"/>
        <v>0.35148809523809521</v>
      </c>
      <c r="W245" s="292">
        <f>Table28[[#This Row],[$/sqft]]/INDEX(CPI!$A$3:$C$31,MATCH(Table28[[#This Row],[start_year]],CPI!$A$3:$A$31,0),3)</f>
        <v>0.43609763264751028</v>
      </c>
      <c r="X245" s="282" t="s">
        <v>4844</v>
      </c>
      <c r="Y245" s="282"/>
      <c r="Z245" s="282" t="s">
        <v>4840</v>
      </c>
      <c r="AA245" s="282">
        <v>28.375668449999999</v>
      </c>
      <c r="AB245" s="55" t="s">
        <v>72</v>
      </c>
      <c r="AC245" t="s">
        <v>71</v>
      </c>
    </row>
    <row r="246" spans="1:29" x14ac:dyDescent="0.2">
      <c r="A246" s="282">
        <v>5083</v>
      </c>
      <c r="B246" s="282">
        <v>12503</v>
      </c>
      <c r="C246" s="282" t="s">
        <v>3410</v>
      </c>
      <c r="D246" s="282" t="str">
        <f>IF(Table28[[#This Row],[% Leakage Reduction (Calculated)]]&gt;0.4, "Greater than 40% Air Reduction", "Less than 40% Air Reduction")</f>
        <v>Less than 40% Air Reduction</v>
      </c>
      <c r="E246" s="282" t="s">
        <v>4831</v>
      </c>
      <c r="F246" s="282" t="s">
        <v>4832</v>
      </c>
      <c r="G246" s="282" t="s">
        <v>4833</v>
      </c>
      <c r="H246" s="282" t="s">
        <v>4838</v>
      </c>
      <c r="I246" s="282">
        <v>3212</v>
      </c>
      <c r="J246" s="282" t="s">
        <v>4852</v>
      </c>
      <c r="K246" s="282">
        <v>2695</v>
      </c>
      <c r="L246" s="282" t="s">
        <v>4853</v>
      </c>
      <c r="M246" s="283">
        <f t="shared" si="6"/>
        <v>0.16095890410958905</v>
      </c>
      <c r="N246" s="282">
        <v>2600</v>
      </c>
      <c r="O246" s="282"/>
      <c r="P246" s="282">
        <v>2002</v>
      </c>
      <c r="Q246" s="282">
        <f>2023-Table28[[#This Row],[year_built]]</f>
        <v>21</v>
      </c>
      <c r="R246" s="282">
        <v>953.75</v>
      </c>
      <c r="S246" s="282" t="s">
        <v>4987</v>
      </c>
      <c r="T246" s="282" t="s">
        <v>4979</v>
      </c>
      <c r="U246" s="282">
        <v>2019</v>
      </c>
      <c r="V246" s="284">
        <f t="shared" si="7"/>
        <v>0.36682692307692305</v>
      </c>
      <c r="W246" s="292">
        <f>Table28[[#This Row],[$/sqft]]/INDEX(CPI!$A$3:$C$31,MATCH(Table28[[#This Row],[start_year]],CPI!$A$3:$A$31,0),3)</f>
        <v>0.43626150687404108</v>
      </c>
      <c r="X246" s="282" t="s">
        <v>1241</v>
      </c>
      <c r="Y246" s="282"/>
      <c r="Z246" s="282" t="s">
        <v>4840</v>
      </c>
      <c r="AA246" s="282">
        <v>16.095890409999999</v>
      </c>
      <c r="AB246" s="55" t="s">
        <v>72</v>
      </c>
      <c r="AC246" t="s">
        <v>71</v>
      </c>
    </row>
    <row r="247" spans="1:29" x14ac:dyDescent="0.2">
      <c r="A247" s="282">
        <v>5220</v>
      </c>
      <c r="B247" s="282">
        <v>13310</v>
      </c>
      <c r="C247" s="282" t="s">
        <v>3410</v>
      </c>
      <c r="D247" s="282" t="str">
        <f>IF(Table28[[#This Row],[% Leakage Reduction (Calculated)]]&gt;0.4, "Greater than 40% Air Reduction", "Less than 40% Air Reduction")</f>
        <v>Less than 40% Air Reduction</v>
      </c>
      <c r="E247" s="282" t="s">
        <v>4831</v>
      </c>
      <c r="F247" s="282" t="s">
        <v>4832</v>
      </c>
      <c r="G247" s="282" t="s">
        <v>4833</v>
      </c>
      <c r="H247" s="282" t="s">
        <v>4838</v>
      </c>
      <c r="I247" s="282">
        <v>4702</v>
      </c>
      <c r="J247" s="282" t="s">
        <v>4852</v>
      </c>
      <c r="K247" s="282">
        <v>3344</v>
      </c>
      <c r="L247" s="282" t="s">
        <v>4853</v>
      </c>
      <c r="M247" s="283">
        <f t="shared" si="6"/>
        <v>0.28881327094853254</v>
      </c>
      <c r="N247" s="282">
        <v>2300</v>
      </c>
      <c r="O247" s="282"/>
      <c r="P247" s="282">
        <v>1953</v>
      </c>
      <c r="Q247" s="282">
        <f>2023-Table28[[#This Row],[year_built]]</f>
        <v>70</v>
      </c>
      <c r="R247" s="282">
        <v>842.95</v>
      </c>
      <c r="S247" s="282" t="s">
        <v>4900</v>
      </c>
      <c r="T247" s="282" t="s">
        <v>4979</v>
      </c>
      <c r="U247" s="282">
        <v>2018</v>
      </c>
      <c r="V247" s="284">
        <f t="shared" si="7"/>
        <v>0.36649999999999999</v>
      </c>
      <c r="W247" s="292">
        <f>Table28[[#This Row],[$/sqft]]/INDEX(CPI!$A$3:$C$31,MATCH(Table28[[#This Row],[start_year]],CPI!$A$3:$A$31,0),3)</f>
        <v>0.44385762644364796</v>
      </c>
      <c r="X247" s="282" t="s">
        <v>4844</v>
      </c>
      <c r="Y247" s="282"/>
      <c r="Z247" s="282" t="s">
        <v>4840</v>
      </c>
      <c r="AA247" s="282">
        <v>28.881327089999999</v>
      </c>
      <c r="AB247" s="55" t="s">
        <v>72</v>
      </c>
      <c r="AC247" t="s">
        <v>71</v>
      </c>
    </row>
    <row r="248" spans="1:29" x14ac:dyDescent="0.2">
      <c r="A248" s="282">
        <v>3092</v>
      </c>
      <c r="B248" s="282">
        <v>9412</v>
      </c>
      <c r="C248" s="282" t="s">
        <v>3410</v>
      </c>
      <c r="D248" s="282" t="str">
        <f>IF(Table28[[#This Row],[% Leakage Reduction (Calculated)]]&gt;0.4, "Greater than 40% Air Reduction", "Less than 40% Air Reduction")</f>
        <v>Less than 40% Air Reduction</v>
      </c>
      <c r="E248" s="282" t="s">
        <v>4831</v>
      </c>
      <c r="F248" s="282" t="s">
        <v>4832</v>
      </c>
      <c r="G248" s="282" t="s">
        <v>4833</v>
      </c>
      <c r="H248" s="282" t="s">
        <v>4838</v>
      </c>
      <c r="I248" s="282">
        <v>14.52</v>
      </c>
      <c r="J248" s="282" t="s">
        <v>4834</v>
      </c>
      <c r="K248" s="282">
        <v>11.19</v>
      </c>
      <c r="L248" s="282" t="s">
        <v>4835</v>
      </c>
      <c r="M248" s="283">
        <f t="shared" si="6"/>
        <v>0.22933884297520662</v>
      </c>
      <c r="N248" s="282">
        <v>2128</v>
      </c>
      <c r="O248" s="282">
        <v>2</v>
      </c>
      <c r="P248" s="282">
        <v>1970</v>
      </c>
      <c r="Q248" s="282">
        <f>2023-Table28[[#This Row],[year_built]]</f>
        <v>53</v>
      </c>
      <c r="R248" s="282">
        <v>802</v>
      </c>
      <c r="S248" s="282" t="s">
        <v>4947</v>
      </c>
      <c r="T248" s="282" t="s">
        <v>4906</v>
      </c>
      <c r="U248" s="282">
        <v>2019</v>
      </c>
      <c r="V248" s="284">
        <f t="shared" si="7"/>
        <v>0.37687969924812031</v>
      </c>
      <c r="W248" s="292">
        <f>Table28[[#This Row],[$/sqft]]/INDEX(CPI!$A$3:$C$31,MATCH(Table28[[#This Row],[start_year]],CPI!$A$3:$A$31,0),3)</f>
        <v>0.44821711592238322</v>
      </c>
      <c r="X248" s="282"/>
      <c r="Y248" s="282" t="s">
        <v>217</v>
      </c>
      <c r="Z248" s="282" t="s">
        <v>4840</v>
      </c>
      <c r="AA248" s="282">
        <v>22.933884299999999</v>
      </c>
      <c r="AB248" s="55" t="s">
        <v>72</v>
      </c>
      <c r="AC248" t="s">
        <v>71</v>
      </c>
    </row>
    <row r="249" spans="1:29" x14ac:dyDescent="0.2">
      <c r="A249" s="282">
        <v>5235</v>
      </c>
      <c r="B249" s="282">
        <v>13393</v>
      </c>
      <c r="C249" s="282" t="s">
        <v>3410</v>
      </c>
      <c r="D249" s="282" t="str">
        <f>IF(Table28[[#This Row],[% Leakage Reduction (Calculated)]]&gt;0.4, "Greater than 40% Air Reduction", "Less than 40% Air Reduction")</f>
        <v>Less than 40% Air Reduction</v>
      </c>
      <c r="E249" s="282" t="s">
        <v>4831</v>
      </c>
      <c r="F249" s="282" t="s">
        <v>4832</v>
      </c>
      <c r="G249" s="282" t="s">
        <v>4833</v>
      </c>
      <c r="H249" s="282" t="s">
        <v>4972</v>
      </c>
      <c r="I249" s="282">
        <v>4118</v>
      </c>
      <c r="J249" s="282" t="s">
        <v>4852</v>
      </c>
      <c r="K249" s="282">
        <v>3369</v>
      </c>
      <c r="L249" s="282" t="s">
        <v>4853</v>
      </c>
      <c r="M249" s="283">
        <f t="shared" si="6"/>
        <v>0.1818844099077222</v>
      </c>
      <c r="N249" s="282">
        <v>1809</v>
      </c>
      <c r="O249" s="282"/>
      <c r="P249" s="282">
        <v>1998</v>
      </c>
      <c r="Q249" s="282">
        <f>2023-Table28[[#This Row],[year_built]]</f>
        <v>25</v>
      </c>
      <c r="R249" s="282">
        <v>672.53</v>
      </c>
      <c r="S249" s="282" t="s">
        <v>4900</v>
      </c>
      <c r="T249" s="282" t="s">
        <v>4979</v>
      </c>
      <c r="U249" s="282">
        <v>2018</v>
      </c>
      <c r="V249" s="284">
        <f t="shared" si="7"/>
        <v>0.3717689331122167</v>
      </c>
      <c r="W249" s="292">
        <f>Table28[[#This Row],[$/sqft]]/INDEX(CPI!$A$3:$C$31,MATCH(Table28[[#This Row],[start_year]],CPI!$A$3:$A$31,0),3)</f>
        <v>0.45023868004550022</v>
      </c>
      <c r="X249" s="282" t="s">
        <v>4844</v>
      </c>
      <c r="Y249" s="282"/>
      <c r="Z249" s="282" t="s">
        <v>4840</v>
      </c>
      <c r="AA249" s="282">
        <v>18.18844099</v>
      </c>
      <c r="AB249" s="55" t="s">
        <v>72</v>
      </c>
      <c r="AC249" t="s">
        <v>71</v>
      </c>
    </row>
    <row r="250" spans="1:29" x14ac:dyDescent="0.2">
      <c r="A250" s="282">
        <v>5001</v>
      </c>
      <c r="B250" s="282">
        <v>12006</v>
      </c>
      <c r="C250" s="282" t="s">
        <v>3410</v>
      </c>
      <c r="D250" s="282" t="str">
        <f>IF(Table28[[#This Row],[% Leakage Reduction (Calculated)]]&gt;0.4, "Greater than 40% Air Reduction", "Less than 40% Air Reduction")</f>
        <v>Greater than 40% Air Reduction</v>
      </c>
      <c r="E250" s="282" t="s">
        <v>4831</v>
      </c>
      <c r="F250" s="282" t="s">
        <v>4832</v>
      </c>
      <c r="G250" s="282" t="s">
        <v>4833</v>
      </c>
      <c r="H250" s="282" t="s">
        <v>4838</v>
      </c>
      <c r="I250" s="282">
        <v>3381</v>
      </c>
      <c r="J250" s="282" t="s">
        <v>4852</v>
      </c>
      <c r="K250" s="282">
        <v>1831</v>
      </c>
      <c r="L250" s="282" t="s">
        <v>4853</v>
      </c>
      <c r="M250" s="283">
        <f t="shared" si="6"/>
        <v>0.45844424726412303</v>
      </c>
      <c r="N250" s="282">
        <v>1375</v>
      </c>
      <c r="O250" s="282"/>
      <c r="P250" s="282">
        <v>1978</v>
      </c>
      <c r="Q250" s="282">
        <f>2023-Table28[[#This Row],[year_built]]</f>
        <v>45</v>
      </c>
      <c r="R250" s="282">
        <v>502.6</v>
      </c>
      <c r="S250" s="282" t="s">
        <v>4980</v>
      </c>
      <c r="T250" s="282" t="s">
        <v>4979</v>
      </c>
      <c r="U250" s="282">
        <v>2017</v>
      </c>
      <c r="V250" s="284">
        <f t="shared" si="7"/>
        <v>0.36552727272727276</v>
      </c>
      <c r="W250" s="292">
        <f>Table28[[#This Row],[$/sqft]]/INDEX(CPI!$A$3:$C$31,MATCH(Table28[[#This Row],[start_year]],CPI!$A$3:$A$31,0),3)</f>
        <v>0.45351629390601245</v>
      </c>
      <c r="X250" s="282" t="s">
        <v>1241</v>
      </c>
      <c r="Y250" s="282"/>
      <c r="Z250" s="282" t="s">
        <v>4840</v>
      </c>
      <c r="AA250" s="282">
        <v>45.84442473</v>
      </c>
      <c r="AB250" s="55" t="s">
        <v>72</v>
      </c>
      <c r="AC250" t="s">
        <v>71</v>
      </c>
    </row>
    <row r="251" spans="1:29" x14ac:dyDescent="0.2">
      <c r="A251" s="282">
        <v>5052</v>
      </c>
      <c r="B251" s="282">
        <v>12320</v>
      </c>
      <c r="C251" s="282" t="s">
        <v>3410</v>
      </c>
      <c r="D251" s="282" t="str">
        <f>IF(Table28[[#This Row],[% Leakage Reduction (Calculated)]]&gt;0.4, "Greater than 40% Air Reduction", "Less than 40% Air Reduction")</f>
        <v>Less than 40% Air Reduction</v>
      </c>
      <c r="E251" s="282" t="s">
        <v>4831</v>
      </c>
      <c r="F251" s="282" t="s">
        <v>4832</v>
      </c>
      <c r="G251" s="282" t="s">
        <v>4833</v>
      </c>
      <c r="H251" s="282" t="s">
        <v>4838</v>
      </c>
      <c r="I251" s="282">
        <v>2321</v>
      </c>
      <c r="J251" s="282" t="s">
        <v>4852</v>
      </c>
      <c r="K251" s="282">
        <v>1799</v>
      </c>
      <c r="L251" s="282" t="s">
        <v>4853</v>
      </c>
      <c r="M251" s="283">
        <f t="shared" si="6"/>
        <v>0.22490305902628177</v>
      </c>
      <c r="N251" s="282">
        <v>1000</v>
      </c>
      <c r="O251" s="282"/>
      <c r="P251" s="282">
        <v>1967</v>
      </c>
      <c r="Q251" s="282">
        <f>2023-Table28[[#This Row],[year_built]]</f>
        <v>56</v>
      </c>
      <c r="R251" s="282">
        <v>383.7</v>
      </c>
      <c r="S251" s="282" t="s">
        <v>4981</v>
      </c>
      <c r="T251" s="282" t="s">
        <v>4979</v>
      </c>
      <c r="U251" s="282">
        <v>2019</v>
      </c>
      <c r="V251" s="284">
        <f t="shared" si="7"/>
        <v>0.38369999999999999</v>
      </c>
      <c r="W251" s="292">
        <f>Table28[[#This Row],[$/sqft]]/INDEX(CPI!$A$3:$C$31,MATCH(Table28[[#This Row],[start_year]],CPI!$A$3:$A$31,0),3)</f>
        <v>0.45632839264763397</v>
      </c>
      <c r="X251" s="282" t="s">
        <v>4844</v>
      </c>
      <c r="Y251" s="282"/>
      <c r="Z251" s="282" t="s">
        <v>4840</v>
      </c>
      <c r="AA251" s="282">
        <v>22.490305899999999</v>
      </c>
      <c r="AB251" s="55" t="s">
        <v>72</v>
      </c>
      <c r="AC251" t="s">
        <v>71</v>
      </c>
    </row>
    <row r="252" spans="1:29" x14ac:dyDescent="0.2">
      <c r="A252" s="282">
        <v>4029</v>
      </c>
      <c r="B252" s="282">
        <v>11123</v>
      </c>
      <c r="C252" s="282" t="s">
        <v>3410</v>
      </c>
      <c r="D252" s="282" t="str">
        <f>IF(Table28[[#This Row],[% Leakage Reduction (Calculated)]]&gt;0.4, "Greater than 40% Air Reduction", "Less than 40% Air Reduction")</f>
        <v>Less than 40% Air Reduction</v>
      </c>
      <c r="E252" s="282" t="s">
        <v>4831</v>
      </c>
      <c r="F252" s="282" t="s">
        <v>4832</v>
      </c>
      <c r="G252" s="282" t="s">
        <v>4833</v>
      </c>
      <c r="H252" s="282" t="s">
        <v>4838</v>
      </c>
      <c r="I252" s="282">
        <v>2774</v>
      </c>
      <c r="J252" s="282" t="s">
        <v>4852</v>
      </c>
      <c r="K252" s="282">
        <v>1957</v>
      </c>
      <c r="L252" s="282" t="s">
        <v>4853</v>
      </c>
      <c r="M252" s="283">
        <f t="shared" si="6"/>
        <v>0.29452054794520549</v>
      </c>
      <c r="N252" s="282">
        <v>1927</v>
      </c>
      <c r="O252" s="282"/>
      <c r="P252" s="282">
        <v>1974</v>
      </c>
      <c r="Q252" s="282">
        <f>2023-Table28[[#This Row],[year_built]]</f>
        <v>49</v>
      </c>
      <c r="R252" s="282">
        <v>748.64</v>
      </c>
      <c r="S252" s="282" t="s">
        <v>4975</v>
      </c>
      <c r="T252" s="282" t="s">
        <v>4969</v>
      </c>
      <c r="U252" s="282">
        <v>2020</v>
      </c>
      <c r="V252" s="284">
        <f t="shared" si="7"/>
        <v>0.38850025947067979</v>
      </c>
      <c r="W252" s="292">
        <f>Table28[[#This Row],[$/sqft]]/INDEX(CPI!$A$3:$C$31,MATCH(Table28[[#This Row],[start_year]],CPI!$A$3:$A$31,0),3)</f>
        <v>0.4565028164800376</v>
      </c>
      <c r="X252" s="282" t="s">
        <v>1241</v>
      </c>
      <c r="Y252" s="282"/>
      <c r="Z252" s="282" t="s">
        <v>4840</v>
      </c>
      <c r="AA252" s="282">
        <v>29.452054789999998</v>
      </c>
      <c r="AB252" s="55" t="s">
        <v>72</v>
      </c>
      <c r="AC252" t="s">
        <v>71</v>
      </c>
    </row>
    <row r="253" spans="1:29" x14ac:dyDescent="0.2">
      <c r="A253" s="282">
        <v>1229</v>
      </c>
      <c r="B253" s="282">
        <v>3025</v>
      </c>
      <c r="C253" s="282" t="s">
        <v>3410</v>
      </c>
      <c r="D253" s="282" t="str">
        <f>IF(Table28[[#This Row],[% Leakage Reduction (Calculated)]]&gt;0.4, "Greater than 40% Air Reduction", "Less than 40% Air Reduction")</f>
        <v>Less than 40% Air Reduction</v>
      </c>
      <c r="E253" s="282" t="s">
        <v>4831</v>
      </c>
      <c r="F253" s="282" t="s">
        <v>4832</v>
      </c>
      <c r="G253" s="282" t="s">
        <v>4833</v>
      </c>
      <c r="H253" s="282" t="s">
        <v>4838</v>
      </c>
      <c r="I253" s="282">
        <v>10.17</v>
      </c>
      <c r="J253" s="282" t="s">
        <v>4834</v>
      </c>
      <c r="K253" s="282">
        <v>7.07</v>
      </c>
      <c r="L253" s="282" t="s">
        <v>4835</v>
      </c>
      <c r="M253" s="283">
        <f t="shared" si="6"/>
        <v>0.30481809242871188</v>
      </c>
      <c r="N253" s="282">
        <v>1034</v>
      </c>
      <c r="O253" s="282">
        <v>1</v>
      </c>
      <c r="P253" s="282">
        <v>1976</v>
      </c>
      <c r="Q253" s="282">
        <f>2023-Table28[[#This Row],[year_built]]</f>
        <v>47</v>
      </c>
      <c r="R253" s="282">
        <v>350</v>
      </c>
      <c r="S253" s="282" t="s">
        <v>4836</v>
      </c>
      <c r="T253" s="282" t="s">
        <v>4837</v>
      </c>
      <c r="U253" s="282">
        <v>2011</v>
      </c>
      <c r="V253" s="284">
        <f t="shared" si="7"/>
        <v>0.33849129593810445</v>
      </c>
      <c r="W253" s="284">
        <f>Table28[[#This Row],[$/sqft]]/INDEX(CPI!$A$3:$C$31,MATCH(Table28[[#This Row],[start_year]],CPI!$A$3:$A$31,0),3)</f>
        <v>0.45761385573323243</v>
      </c>
      <c r="X253" s="282" t="s">
        <v>56</v>
      </c>
      <c r="Y253" s="282" t="s">
        <v>4839</v>
      </c>
      <c r="Z253" s="282" t="s">
        <v>4840</v>
      </c>
      <c r="AA253" s="282">
        <v>30.48180924</v>
      </c>
      <c r="AB253" s="55" t="s">
        <v>72</v>
      </c>
      <c r="AC253" t="s">
        <v>71</v>
      </c>
    </row>
    <row r="254" spans="1:29" x14ac:dyDescent="0.2">
      <c r="A254" s="282">
        <v>4058</v>
      </c>
      <c r="B254" s="282">
        <v>11246</v>
      </c>
      <c r="C254" s="282" t="s">
        <v>3410</v>
      </c>
      <c r="D254" s="282" t="str">
        <f>IF(Table28[[#This Row],[% Leakage Reduction (Calculated)]]&gt;0.4, "Greater than 40% Air Reduction", "Less than 40% Air Reduction")</f>
        <v>Less than 40% Air Reduction</v>
      </c>
      <c r="E254" s="282" t="s">
        <v>4831</v>
      </c>
      <c r="F254" s="282" t="s">
        <v>4832</v>
      </c>
      <c r="G254" s="282" t="s">
        <v>4833</v>
      </c>
      <c r="H254" s="282" t="s">
        <v>4838</v>
      </c>
      <c r="I254" s="282">
        <v>2962</v>
      </c>
      <c r="J254" s="282" t="s">
        <v>4852</v>
      </c>
      <c r="K254" s="282">
        <v>1993</v>
      </c>
      <c r="L254" s="282" t="s">
        <v>4853</v>
      </c>
      <c r="M254" s="283">
        <f t="shared" si="6"/>
        <v>0.32714382174206619</v>
      </c>
      <c r="N254" s="282">
        <v>1632</v>
      </c>
      <c r="O254" s="282"/>
      <c r="P254" s="282">
        <v>1978</v>
      </c>
      <c r="Q254" s="282">
        <f>2023-Table28[[#This Row],[year_built]]</f>
        <v>45</v>
      </c>
      <c r="R254" s="282">
        <v>629.39</v>
      </c>
      <c r="S254" s="282" t="s">
        <v>4970</v>
      </c>
      <c r="T254" s="282" t="s">
        <v>4969</v>
      </c>
      <c r="U254" s="282">
        <v>2019</v>
      </c>
      <c r="V254" s="284">
        <f t="shared" si="7"/>
        <v>0.38565563725490193</v>
      </c>
      <c r="W254" s="292">
        <f>Table28[[#This Row],[$/sqft]]/INDEX(CPI!$A$3:$C$31,MATCH(Table28[[#This Row],[start_year]],CPI!$A$3:$A$31,0),3)</f>
        <v>0.45865420136572421</v>
      </c>
      <c r="X254" s="282" t="s">
        <v>4844</v>
      </c>
      <c r="Y254" s="282"/>
      <c r="Z254" s="282" t="s">
        <v>4840</v>
      </c>
      <c r="AA254" s="282">
        <v>32.71438217</v>
      </c>
      <c r="AB254" s="55" t="s">
        <v>72</v>
      </c>
      <c r="AC254" t="s">
        <v>71</v>
      </c>
    </row>
    <row r="255" spans="1:29" x14ac:dyDescent="0.2">
      <c r="A255" s="282">
        <v>3081</v>
      </c>
      <c r="B255" s="282">
        <v>9359</v>
      </c>
      <c r="C255" s="282" t="s">
        <v>3410</v>
      </c>
      <c r="D255" s="282" t="str">
        <f>IF(Table28[[#This Row],[% Leakage Reduction (Calculated)]]&gt;0.4, "Greater than 40% Air Reduction", "Less than 40% Air Reduction")</f>
        <v>Less than 40% Air Reduction</v>
      </c>
      <c r="E255" s="282" t="s">
        <v>4831</v>
      </c>
      <c r="F255" s="282" t="s">
        <v>4832</v>
      </c>
      <c r="G255" s="282" t="s">
        <v>4833</v>
      </c>
      <c r="H255" s="282" t="s">
        <v>4838</v>
      </c>
      <c r="I255" s="282">
        <v>19.600000000000001</v>
      </c>
      <c r="J255" s="282" t="s">
        <v>4834</v>
      </c>
      <c r="K255" s="282">
        <v>18.329999999999998</v>
      </c>
      <c r="L255" s="282" t="s">
        <v>4835</v>
      </c>
      <c r="M255" s="283">
        <f t="shared" si="6"/>
        <v>6.4795918367347091E-2</v>
      </c>
      <c r="N255" s="282">
        <v>1440</v>
      </c>
      <c r="O255" s="282">
        <v>1.36</v>
      </c>
      <c r="P255" s="282">
        <v>1968</v>
      </c>
      <c r="Q255" s="282">
        <f>2023-Table28[[#This Row],[year_built]]</f>
        <v>55</v>
      </c>
      <c r="R255" s="282">
        <v>558</v>
      </c>
      <c r="S255" s="282" t="s">
        <v>4941</v>
      </c>
      <c r="T255" s="282" t="s">
        <v>4906</v>
      </c>
      <c r="U255" s="282">
        <v>2019</v>
      </c>
      <c r="V255" s="284">
        <f t="shared" si="7"/>
        <v>0.38750000000000001</v>
      </c>
      <c r="W255" s="292">
        <f>Table28[[#This Row],[$/sqft]]/INDEX(CPI!$A$3:$C$31,MATCH(Table28[[#This Row],[start_year]],CPI!$A$3:$A$31,0),3)</f>
        <v>0.46084767305436064</v>
      </c>
      <c r="X255" s="282"/>
      <c r="Y255" s="282" t="s">
        <v>4917</v>
      </c>
      <c r="Z255" s="282" t="s">
        <v>4907</v>
      </c>
      <c r="AA255" s="282">
        <v>6.4795918370000001</v>
      </c>
      <c r="AB255" s="55" t="s">
        <v>72</v>
      </c>
      <c r="AC255" t="s">
        <v>71</v>
      </c>
    </row>
    <row r="256" spans="1:29" x14ac:dyDescent="0.2">
      <c r="A256" s="282">
        <v>5110</v>
      </c>
      <c r="B256" s="282">
        <v>12666</v>
      </c>
      <c r="C256" s="282" t="s">
        <v>3410</v>
      </c>
      <c r="D256" s="282" t="str">
        <f>IF(Table28[[#This Row],[% Leakage Reduction (Calculated)]]&gt;0.4, "Greater than 40% Air Reduction", "Less than 40% Air Reduction")</f>
        <v>Less than 40% Air Reduction</v>
      </c>
      <c r="E256" s="282" t="s">
        <v>4831</v>
      </c>
      <c r="F256" s="282" t="s">
        <v>4832</v>
      </c>
      <c r="G256" s="282" t="s">
        <v>4833</v>
      </c>
      <c r="H256" s="282" t="s">
        <v>4972</v>
      </c>
      <c r="I256" s="282">
        <v>2494</v>
      </c>
      <c r="J256" s="282" t="s">
        <v>4852</v>
      </c>
      <c r="K256" s="282">
        <v>2159</v>
      </c>
      <c r="L256" s="282" t="s">
        <v>4853</v>
      </c>
      <c r="M256" s="283">
        <f t="shared" si="6"/>
        <v>0.1343223736968725</v>
      </c>
      <c r="N256" s="282">
        <v>1500</v>
      </c>
      <c r="O256" s="282"/>
      <c r="P256" s="282">
        <v>2007</v>
      </c>
      <c r="Q256" s="282">
        <f>2023-Table28[[#This Row],[year_built]]</f>
        <v>16</v>
      </c>
      <c r="R256" s="282">
        <v>570.91</v>
      </c>
      <c r="S256" s="282" t="s">
        <v>4985</v>
      </c>
      <c r="T256" s="282" t="s">
        <v>4979</v>
      </c>
      <c r="U256" s="282">
        <v>2018</v>
      </c>
      <c r="V256" s="284">
        <f t="shared" si="7"/>
        <v>0.38060666666666665</v>
      </c>
      <c r="W256" s="292">
        <f>Table28[[#This Row],[$/sqft]]/INDEX(CPI!$A$3:$C$31,MATCH(Table28[[#This Row],[start_year]],CPI!$A$3:$A$31,0),3)</f>
        <v>0.46094180538961904</v>
      </c>
      <c r="X256" s="282" t="s">
        <v>1241</v>
      </c>
      <c r="Y256" s="282"/>
      <c r="Z256" s="282" t="s">
        <v>4840</v>
      </c>
      <c r="AA256" s="282">
        <v>13.432237369999999</v>
      </c>
      <c r="AB256" s="55" t="s">
        <v>72</v>
      </c>
      <c r="AC256" t="s">
        <v>71</v>
      </c>
    </row>
    <row r="257" spans="1:29" x14ac:dyDescent="0.2">
      <c r="A257" s="282">
        <v>5244</v>
      </c>
      <c r="B257" s="282">
        <v>13443</v>
      </c>
      <c r="C257" s="282" t="s">
        <v>3410</v>
      </c>
      <c r="D257" s="282" t="str">
        <f>IF(Table28[[#This Row],[% Leakage Reduction (Calculated)]]&gt;0.4, "Greater than 40% Air Reduction", "Less than 40% Air Reduction")</f>
        <v>Less than 40% Air Reduction</v>
      </c>
      <c r="E257" s="282" t="s">
        <v>4831</v>
      </c>
      <c r="F257" s="282" t="s">
        <v>4832</v>
      </c>
      <c r="G257" s="282" t="s">
        <v>4833</v>
      </c>
      <c r="H257" s="282" t="s">
        <v>4838</v>
      </c>
      <c r="I257" s="282">
        <v>1564</v>
      </c>
      <c r="J257" s="282" t="s">
        <v>4852</v>
      </c>
      <c r="K257" s="282">
        <v>1351</v>
      </c>
      <c r="L257" s="282" t="s">
        <v>4853</v>
      </c>
      <c r="M257" s="283">
        <f t="shared" si="6"/>
        <v>0.13618925831202047</v>
      </c>
      <c r="N257" s="282">
        <v>1012</v>
      </c>
      <c r="O257" s="282"/>
      <c r="P257" s="282">
        <v>1992</v>
      </c>
      <c r="Q257" s="282">
        <f>2023-Table28[[#This Row],[year_built]]</f>
        <v>31</v>
      </c>
      <c r="R257" s="282">
        <v>389.03</v>
      </c>
      <c r="S257" s="282" t="s">
        <v>4900</v>
      </c>
      <c r="T257" s="282" t="s">
        <v>4979</v>
      </c>
      <c r="U257" s="282">
        <v>2018</v>
      </c>
      <c r="V257" s="284">
        <f t="shared" si="7"/>
        <v>0.38441699604743079</v>
      </c>
      <c r="W257" s="292">
        <f>Table28[[#This Row],[$/sqft]]/INDEX(CPI!$A$3:$C$31,MATCH(Table28[[#This Row],[start_year]],CPI!$A$3:$A$31,0),3)</f>
        <v>0.46555638589416054</v>
      </c>
      <c r="X257" s="282" t="s">
        <v>4844</v>
      </c>
      <c r="Y257" s="282"/>
      <c r="Z257" s="282" t="s">
        <v>4840</v>
      </c>
      <c r="AA257" s="282">
        <v>13.61892583</v>
      </c>
      <c r="AB257" s="55" t="s">
        <v>72</v>
      </c>
      <c r="AC257" t="s">
        <v>71</v>
      </c>
    </row>
    <row r="258" spans="1:29" x14ac:dyDescent="0.2">
      <c r="A258" s="282">
        <v>5050</v>
      </c>
      <c r="B258" s="282">
        <v>12309</v>
      </c>
      <c r="C258" s="282" t="s">
        <v>3410</v>
      </c>
      <c r="D258" s="282" t="str">
        <f>IF(Table28[[#This Row],[% Leakage Reduction (Calculated)]]&gt;0.4, "Greater than 40% Air Reduction", "Less than 40% Air Reduction")</f>
        <v>Less than 40% Air Reduction</v>
      </c>
      <c r="E258" s="282" t="s">
        <v>4831</v>
      </c>
      <c r="F258" s="282" t="s">
        <v>4832</v>
      </c>
      <c r="G258" s="282" t="s">
        <v>4833</v>
      </c>
      <c r="H258" s="282" t="s">
        <v>4972</v>
      </c>
      <c r="I258" s="282">
        <v>2697</v>
      </c>
      <c r="J258" s="282" t="s">
        <v>4852</v>
      </c>
      <c r="K258" s="282">
        <v>2006</v>
      </c>
      <c r="L258" s="282" t="s">
        <v>4853</v>
      </c>
      <c r="M258" s="283">
        <f t="shared" si="6"/>
        <v>0.25621060437523174</v>
      </c>
      <c r="N258" s="282">
        <v>2300</v>
      </c>
      <c r="O258" s="282"/>
      <c r="P258" s="282">
        <v>2004</v>
      </c>
      <c r="Q258" s="282">
        <f>2023-Table28[[#This Row],[year_built]]</f>
        <v>19</v>
      </c>
      <c r="R258" s="282">
        <v>884.81</v>
      </c>
      <c r="S258" s="282" t="s">
        <v>4988</v>
      </c>
      <c r="T258" s="282" t="s">
        <v>4979</v>
      </c>
      <c r="U258" s="282">
        <v>2018</v>
      </c>
      <c r="V258" s="284">
        <f t="shared" si="7"/>
        <v>0.38469999999999999</v>
      </c>
      <c r="W258" s="292">
        <f>Table28[[#This Row],[$/sqft]]/INDEX(CPI!$A$3:$C$31,MATCH(Table28[[#This Row],[start_year]],CPI!$A$3:$A$31,0),3)</f>
        <v>0.46589912385503784</v>
      </c>
      <c r="X258" s="282" t="s">
        <v>4844</v>
      </c>
      <c r="Y258" s="282"/>
      <c r="Z258" s="282" t="s">
        <v>4840</v>
      </c>
      <c r="AA258" s="282">
        <v>25.621060440000001</v>
      </c>
      <c r="AB258" s="55" t="s">
        <v>72</v>
      </c>
      <c r="AC258" t="s">
        <v>71</v>
      </c>
    </row>
    <row r="259" spans="1:29" x14ac:dyDescent="0.2">
      <c r="A259" s="282">
        <v>5261</v>
      </c>
      <c r="B259" s="282">
        <v>13538</v>
      </c>
      <c r="C259" s="282" t="s">
        <v>3410</v>
      </c>
      <c r="D259" s="282" t="str">
        <f>IF(Table28[[#This Row],[% Leakage Reduction (Calculated)]]&gt;0.4, "Greater than 40% Air Reduction", "Less than 40% Air Reduction")</f>
        <v>Less than 40% Air Reduction</v>
      </c>
      <c r="E259" s="282" t="s">
        <v>4831</v>
      </c>
      <c r="F259" s="282" t="s">
        <v>4832</v>
      </c>
      <c r="G259" s="282" t="s">
        <v>4833</v>
      </c>
      <c r="H259" s="282" t="s">
        <v>4972</v>
      </c>
      <c r="I259" s="282">
        <v>3610</v>
      </c>
      <c r="J259" s="282" t="s">
        <v>4852</v>
      </c>
      <c r="K259" s="282">
        <v>2579</v>
      </c>
      <c r="L259" s="282" t="s">
        <v>4853</v>
      </c>
      <c r="M259" s="283">
        <f t="shared" si="6"/>
        <v>0.28559556786703599</v>
      </c>
      <c r="N259" s="282">
        <v>1430</v>
      </c>
      <c r="O259" s="282"/>
      <c r="P259" s="282">
        <v>1996</v>
      </c>
      <c r="Q259" s="282">
        <f>2023-Table28[[#This Row],[year_built]]</f>
        <v>27</v>
      </c>
      <c r="R259" s="282">
        <v>556.54999999999995</v>
      </c>
      <c r="S259" s="282" t="s">
        <v>4978</v>
      </c>
      <c r="T259" s="282" t="s">
        <v>4979</v>
      </c>
      <c r="U259" s="282">
        <v>2018</v>
      </c>
      <c r="V259" s="284">
        <f t="shared" si="7"/>
        <v>0.38919580419580418</v>
      </c>
      <c r="W259" s="292">
        <f>Table28[[#This Row],[$/sqft]]/INDEX(CPI!$A$3:$C$31,MATCH(Table28[[#This Row],[start_year]],CPI!$A$3:$A$31,0),3)</f>
        <v>0.47134386322558369</v>
      </c>
      <c r="X259" s="282" t="s">
        <v>4844</v>
      </c>
      <c r="Y259" s="282"/>
      <c r="Z259" s="282" t="s">
        <v>4840</v>
      </c>
      <c r="AA259" s="282">
        <v>28.559556789999998</v>
      </c>
      <c r="AB259" s="55" t="s">
        <v>72</v>
      </c>
      <c r="AC259" t="s">
        <v>71</v>
      </c>
    </row>
    <row r="260" spans="1:29" x14ac:dyDescent="0.2">
      <c r="A260" s="282">
        <v>3090</v>
      </c>
      <c r="B260" s="282">
        <v>9399</v>
      </c>
      <c r="C260" s="282" t="s">
        <v>3410</v>
      </c>
      <c r="D260" s="282" t="str">
        <f>IF(Table28[[#This Row],[% Leakage Reduction (Calculated)]]&gt;0.4, "Greater than 40% Air Reduction", "Less than 40% Air Reduction")</f>
        <v>Less than 40% Air Reduction</v>
      </c>
      <c r="E260" s="282" t="s">
        <v>4831</v>
      </c>
      <c r="F260" s="282" t="s">
        <v>4832</v>
      </c>
      <c r="G260" s="282" t="s">
        <v>4833</v>
      </c>
      <c r="H260" s="282" t="s">
        <v>4838</v>
      </c>
      <c r="I260" s="282">
        <v>8.0500000000000007</v>
      </c>
      <c r="J260" s="282" t="s">
        <v>4834</v>
      </c>
      <c r="K260" s="282">
        <v>5.38</v>
      </c>
      <c r="L260" s="282" t="s">
        <v>4835</v>
      </c>
      <c r="M260" s="283">
        <f t="shared" ref="M260:M323" si="8">ABS((I260-K260)/I260)</f>
        <v>0.33167701863354043</v>
      </c>
      <c r="N260" s="282">
        <v>2516</v>
      </c>
      <c r="O260" s="282">
        <v>1.28</v>
      </c>
      <c r="P260" s="282">
        <v>1938</v>
      </c>
      <c r="Q260" s="282">
        <f>2023-Table28[[#This Row],[year_built]]</f>
        <v>85</v>
      </c>
      <c r="R260" s="282">
        <v>1000</v>
      </c>
      <c r="S260" s="282" t="s">
        <v>4945</v>
      </c>
      <c r="T260" s="282" t="s">
        <v>4906</v>
      </c>
      <c r="U260" s="282">
        <v>2019</v>
      </c>
      <c r="V260" s="284">
        <f t="shared" ref="V260:V323" si="9">IFERROR(IF(R260/N260&lt;&gt;0, R260/N260, ""), "")</f>
        <v>0.39745627980922099</v>
      </c>
      <c r="W260" s="292">
        <f>Table28[[#This Row],[$/sqft]]/INDEX(CPI!$A$3:$C$31,MATCH(Table28[[#This Row],[start_year]],CPI!$A$3:$A$31,0),3)</f>
        <v>0.47268852049270282</v>
      </c>
      <c r="X260" s="282"/>
      <c r="Y260" s="282" t="s">
        <v>4917</v>
      </c>
      <c r="Z260" s="282" t="s">
        <v>4840</v>
      </c>
      <c r="AA260" s="282">
        <v>33.167701860000001</v>
      </c>
      <c r="AB260" s="55" t="s">
        <v>72</v>
      </c>
      <c r="AC260" t="s">
        <v>71</v>
      </c>
    </row>
    <row r="261" spans="1:29" x14ac:dyDescent="0.2">
      <c r="A261" s="282">
        <v>3138</v>
      </c>
      <c r="B261" s="282">
        <v>9581</v>
      </c>
      <c r="C261" s="282" t="s">
        <v>3410</v>
      </c>
      <c r="D261" s="282" t="str">
        <f>IF(Table28[[#This Row],[% Leakage Reduction (Calculated)]]&gt;0.4, "Greater than 40% Air Reduction", "Less than 40% Air Reduction")</f>
        <v>Less than 40% Air Reduction</v>
      </c>
      <c r="E261" s="282" t="s">
        <v>4831</v>
      </c>
      <c r="F261" s="282" t="s">
        <v>4832</v>
      </c>
      <c r="G261" s="282" t="s">
        <v>4833</v>
      </c>
      <c r="H261" s="282" t="s">
        <v>4838</v>
      </c>
      <c r="I261" s="282">
        <v>12.41</v>
      </c>
      <c r="J261" s="282" t="s">
        <v>4834</v>
      </c>
      <c r="K261" s="282">
        <v>11.35</v>
      </c>
      <c r="L261" s="282" t="s">
        <v>4835</v>
      </c>
      <c r="M261" s="283">
        <f t="shared" si="8"/>
        <v>8.5414987912973445E-2</v>
      </c>
      <c r="N261" s="282">
        <v>1504</v>
      </c>
      <c r="O261" s="282">
        <v>1.6</v>
      </c>
      <c r="P261" s="282">
        <v>1940</v>
      </c>
      <c r="Q261" s="282">
        <f>2023-Table28[[#This Row],[year_built]]</f>
        <v>83</v>
      </c>
      <c r="R261" s="282">
        <v>600</v>
      </c>
      <c r="S261" s="282" t="s">
        <v>4942</v>
      </c>
      <c r="T261" s="282" t="s">
        <v>4906</v>
      </c>
      <c r="U261" s="282">
        <v>2019</v>
      </c>
      <c r="V261" s="284">
        <f t="shared" si="9"/>
        <v>0.39893617021276595</v>
      </c>
      <c r="W261" s="292">
        <f>Table28[[#This Row],[$/sqft]]/INDEX(CPI!$A$3:$C$31,MATCH(Table28[[#This Row],[start_year]],CPI!$A$3:$A$31,0),3)</f>
        <v>0.47444853094134587</v>
      </c>
      <c r="X261" s="282"/>
      <c r="Y261" s="282" t="s">
        <v>217</v>
      </c>
      <c r="Z261" s="282" t="s">
        <v>4907</v>
      </c>
      <c r="AA261" s="282">
        <v>8.5414987910000004</v>
      </c>
      <c r="AB261" s="55" t="s">
        <v>72</v>
      </c>
      <c r="AC261" t="s">
        <v>71</v>
      </c>
    </row>
    <row r="262" spans="1:29" x14ac:dyDescent="0.2">
      <c r="A262" s="282">
        <v>3018</v>
      </c>
      <c r="B262" s="282">
        <v>9090</v>
      </c>
      <c r="C262" s="282" t="s">
        <v>3410</v>
      </c>
      <c r="D262" s="282" t="str">
        <f>IF(Table28[[#This Row],[% Leakage Reduction (Calculated)]]&gt;0.4, "Greater than 40% Air Reduction", "Less than 40% Air Reduction")</f>
        <v>Less than 40% Air Reduction</v>
      </c>
      <c r="E262" s="282" t="s">
        <v>4831</v>
      </c>
      <c r="F262" s="282" t="s">
        <v>4832</v>
      </c>
      <c r="G262" s="282" t="s">
        <v>4833</v>
      </c>
      <c r="H262" s="282" t="s">
        <v>4838</v>
      </c>
      <c r="I262" s="282">
        <v>16.899999999999999</v>
      </c>
      <c r="J262" s="282" t="s">
        <v>4834</v>
      </c>
      <c r="K262" s="282">
        <v>13.9</v>
      </c>
      <c r="L262" s="282" t="s">
        <v>4835</v>
      </c>
      <c r="M262" s="283">
        <f t="shared" si="8"/>
        <v>0.17751479289940819</v>
      </c>
      <c r="N262" s="282">
        <v>2200</v>
      </c>
      <c r="O262" s="282">
        <v>1.5</v>
      </c>
      <c r="P262" s="282">
        <v>1800</v>
      </c>
      <c r="Q262" s="282">
        <f>2023-Table28[[#This Row],[year_built]]</f>
        <v>223</v>
      </c>
      <c r="R262" s="282">
        <v>864.22</v>
      </c>
      <c r="S262" s="282" t="s">
        <v>4918</v>
      </c>
      <c r="T262" s="282" t="s">
        <v>4906</v>
      </c>
      <c r="U262" s="282">
        <v>2018</v>
      </c>
      <c r="V262" s="284">
        <f t="shared" si="9"/>
        <v>0.39282727272727275</v>
      </c>
      <c r="W262" s="292">
        <f>Table28[[#This Row],[$/sqft]]/INDEX(CPI!$A$3:$C$31,MATCH(Table28[[#This Row],[start_year]],CPI!$A$3:$A$31,0),3)</f>
        <v>0.47574183049129293</v>
      </c>
      <c r="X262" s="282"/>
      <c r="Y262" s="282" t="s">
        <v>4872</v>
      </c>
      <c r="Z262" s="282" t="s">
        <v>4840</v>
      </c>
      <c r="AA262" s="282">
        <v>17.751479289999999</v>
      </c>
      <c r="AB262" s="55" t="s">
        <v>72</v>
      </c>
      <c r="AC262" t="s">
        <v>72</v>
      </c>
    </row>
    <row r="263" spans="1:29" x14ac:dyDescent="0.2">
      <c r="A263" s="282">
        <v>5143</v>
      </c>
      <c r="B263" s="282">
        <v>12873</v>
      </c>
      <c r="C263" s="282" t="s">
        <v>3410</v>
      </c>
      <c r="D263" s="282" t="str">
        <f>IF(Table28[[#This Row],[% Leakage Reduction (Calculated)]]&gt;0.4, "Greater than 40% Air Reduction", "Less than 40% Air Reduction")</f>
        <v>Greater than 40% Air Reduction</v>
      </c>
      <c r="E263" s="282" t="s">
        <v>4831</v>
      </c>
      <c r="F263" s="282" t="s">
        <v>4832</v>
      </c>
      <c r="G263" s="282" t="s">
        <v>4833</v>
      </c>
      <c r="H263" s="282" t="s">
        <v>4838</v>
      </c>
      <c r="I263" s="282">
        <v>7462</v>
      </c>
      <c r="J263" s="282" t="s">
        <v>4852</v>
      </c>
      <c r="K263" s="282">
        <v>2282</v>
      </c>
      <c r="L263" s="282" t="s">
        <v>4853</v>
      </c>
      <c r="M263" s="283">
        <f t="shared" si="8"/>
        <v>0.69418386491557227</v>
      </c>
      <c r="N263" s="282">
        <v>2200</v>
      </c>
      <c r="O263" s="282"/>
      <c r="P263" s="282">
        <v>1939</v>
      </c>
      <c r="Q263" s="282">
        <f>2023-Table28[[#This Row],[year_built]]</f>
        <v>84</v>
      </c>
      <c r="R263" s="282">
        <v>872.45</v>
      </c>
      <c r="S263" s="282" t="s">
        <v>4997</v>
      </c>
      <c r="T263" s="282" t="s">
        <v>4979</v>
      </c>
      <c r="U263" s="282">
        <v>2018</v>
      </c>
      <c r="V263" s="284">
        <f t="shared" si="9"/>
        <v>0.39656818181818182</v>
      </c>
      <c r="W263" s="292">
        <f>Table28[[#This Row],[$/sqft]]/INDEX(CPI!$A$3:$C$31,MATCH(Table28[[#This Row],[start_year]],CPI!$A$3:$A$31,0),3)</f>
        <v>0.48027233807610153</v>
      </c>
      <c r="X263" s="282" t="s">
        <v>1241</v>
      </c>
      <c r="Y263" s="282"/>
      <c r="Z263" s="282" t="s">
        <v>4840</v>
      </c>
      <c r="AA263" s="282">
        <v>69.418386490000003</v>
      </c>
      <c r="AB263" s="55" t="s">
        <v>72</v>
      </c>
      <c r="AC263" t="s">
        <v>71</v>
      </c>
    </row>
    <row r="264" spans="1:29" x14ac:dyDescent="0.2">
      <c r="A264" s="282">
        <v>5093</v>
      </c>
      <c r="B264" s="282">
        <v>12559</v>
      </c>
      <c r="C264" s="282" t="s">
        <v>3410</v>
      </c>
      <c r="D264" s="282" t="str">
        <f>IF(Table28[[#This Row],[% Leakage Reduction (Calculated)]]&gt;0.4, "Greater than 40% Air Reduction", "Less than 40% Air Reduction")</f>
        <v>Less than 40% Air Reduction</v>
      </c>
      <c r="E264" s="282" t="s">
        <v>4831</v>
      </c>
      <c r="F264" s="282" t="s">
        <v>4832</v>
      </c>
      <c r="G264" s="282" t="s">
        <v>4833</v>
      </c>
      <c r="H264" s="282" t="s">
        <v>4838</v>
      </c>
      <c r="I264" s="282">
        <v>3350</v>
      </c>
      <c r="J264" s="282" t="s">
        <v>4852</v>
      </c>
      <c r="K264" s="282">
        <v>2887</v>
      </c>
      <c r="L264" s="282" t="s">
        <v>4853</v>
      </c>
      <c r="M264" s="283">
        <f t="shared" si="8"/>
        <v>0.1382089552238806</v>
      </c>
      <c r="N264" s="282">
        <v>1400</v>
      </c>
      <c r="O264" s="282"/>
      <c r="P264" s="282">
        <v>1966</v>
      </c>
      <c r="Q264" s="282">
        <f>2023-Table28[[#This Row],[year_built]]</f>
        <v>57</v>
      </c>
      <c r="R264" s="282">
        <v>569.17999999999995</v>
      </c>
      <c r="S264" s="282" t="s">
        <v>4993</v>
      </c>
      <c r="T264" s="282" t="s">
        <v>4979</v>
      </c>
      <c r="U264" s="282">
        <v>2019</v>
      </c>
      <c r="V264" s="284">
        <f t="shared" si="9"/>
        <v>0.40655714285714284</v>
      </c>
      <c r="W264" s="292">
        <f>Table28[[#This Row],[$/sqft]]/INDEX(CPI!$A$3:$C$31,MATCH(Table28[[#This Row],[start_year]],CPI!$A$3:$A$31,0),3)</f>
        <v>0.48351203419185429</v>
      </c>
      <c r="X264" s="282" t="s">
        <v>4844</v>
      </c>
      <c r="Y264" s="282"/>
      <c r="Z264" s="282" t="s">
        <v>4840</v>
      </c>
      <c r="AA264" s="282">
        <v>13.820895520000001</v>
      </c>
      <c r="AB264" s="55" t="s">
        <v>72</v>
      </c>
      <c r="AC264" t="s">
        <v>71</v>
      </c>
    </row>
    <row r="265" spans="1:29" x14ac:dyDescent="0.2">
      <c r="A265" s="282">
        <v>3316</v>
      </c>
      <c r="B265" s="282">
        <v>10135</v>
      </c>
      <c r="C265" s="282" t="s">
        <v>3410</v>
      </c>
      <c r="D265" s="282" t="str">
        <f>IF(Table28[[#This Row],[% Leakage Reduction (Calculated)]]&gt;0.4, "Greater than 40% Air Reduction", "Less than 40% Air Reduction")</f>
        <v>Less than 40% Air Reduction</v>
      </c>
      <c r="E265" s="282" t="s">
        <v>4831</v>
      </c>
      <c r="F265" s="282" t="s">
        <v>4832</v>
      </c>
      <c r="G265" s="282" t="s">
        <v>4833</v>
      </c>
      <c r="H265" s="282" t="s">
        <v>4838</v>
      </c>
      <c r="I265" s="282">
        <v>20.99</v>
      </c>
      <c r="J265" s="282" t="s">
        <v>4834</v>
      </c>
      <c r="K265" s="282">
        <v>16.079999999999998</v>
      </c>
      <c r="L265" s="282" t="s">
        <v>4835</v>
      </c>
      <c r="M265" s="283">
        <f t="shared" si="8"/>
        <v>0.23392091472129589</v>
      </c>
      <c r="N265" s="282">
        <v>2430</v>
      </c>
      <c r="O265" s="282">
        <v>2</v>
      </c>
      <c r="P265" s="282">
        <v>1844</v>
      </c>
      <c r="Q265" s="282">
        <f>2023-Table28[[#This Row],[year_built]]</f>
        <v>179</v>
      </c>
      <c r="R265" s="282">
        <v>1000</v>
      </c>
      <c r="S265" s="282" t="s">
        <v>4965</v>
      </c>
      <c r="T265" s="282" t="s">
        <v>4906</v>
      </c>
      <c r="U265" s="282">
        <v>2020</v>
      </c>
      <c r="V265" s="284">
        <f t="shared" si="9"/>
        <v>0.41152263374485598</v>
      </c>
      <c r="W265" s="292">
        <f>Table28[[#This Row],[$/sqft]]/INDEX(CPI!$A$3:$C$31,MATCH(Table28[[#This Row],[start_year]],CPI!$A$3:$A$31,0),3)</f>
        <v>0.48355499583388989</v>
      </c>
      <c r="X265" s="282"/>
      <c r="Y265" s="282" t="s">
        <v>16</v>
      </c>
      <c r="Z265" s="282" t="s">
        <v>4907</v>
      </c>
      <c r="AA265" s="282">
        <v>23.39209147</v>
      </c>
      <c r="AB265" s="55" t="s">
        <v>72</v>
      </c>
      <c r="AC265" t="s">
        <v>71</v>
      </c>
    </row>
    <row r="266" spans="1:29" x14ac:dyDescent="0.2">
      <c r="A266" s="282">
        <v>5265</v>
      </c>
      <c r="B266" s="282">
        <v>13557</v>
      </c>
      <c r="C266" s="282" t="s">
        <v>3410</v>
      </c>
      <c r="D266" s="282" t="str">
        <f>IF(Table28[[#This Row],[% Leakage Reduction (Calculated)]]&gt;0.4, "Greater than 40% Air Reduction", "Less than 40% Air Reduction")</f>
        <v>Less than 40% Air Reduction</v>
      </c>
      <c r="E266" s="282" t="s">
        <v>4831</v>
      </c>
      <c r="F266" s="282" t="s">
        <v>4832</v>
      </c>
      <c r="G266" s="282" t="s">
        <v>4833</v>
      </c>
      <c r="H266" s="282" t="s">
        <v>4972</v>
      </c>
      <c r="I266" s="282">
        <v>4832</v>
      </c>
      <c r="J266" s="282" t="s">
        <v>4852</v>
      </c>
      <c r="K266" s="282">
        <v>3262</v>
      </c>
      <c r="L266" s="282" t="s">
        <v>4853</v>
      </c>
      <c r="M266" s="283">
        <f t="shared" si="8"/>
        <v>0.32491721854304634</v>
      </c>
      <c r="N266" s="282">
        <v>1690</v>
      </c>
      <c r="O266" s="282"/>
      <c r="P266" s="282">
        <v>1994</v>
      </c>
      <c r="Q266" s="282">
        <f>2023-Table28[[#This Row],[year_built]]</f>
        <v>29</v>
      </c>
      <c r="R266" s="282">
        <v>675.25</v>
      </c>
      <c r="S266" s="282" t="s">
        <v>4982</v>
      </c>
      <c r="T266" s="282" t="s">
        <v>4979</v>
      </c>
      <c r="U266" s="282">
        <v>2018</v>
      </c>
      <c r="V266" s="284">
        <f t="shared" si="9"/>
        <v>0.39955621301775146</v>
      </c>
      <c r="W266" s="292">
        <f>Table28[[#This Row],[$/sqft]]/INDEX(CPI!$A$3:$C$31,MATCH(Table28[[#This Row],[start_year]],CPI!$A$3:$A$31,0),3)</f>
        <v>0.48389105686458872</v>
      </c>
      <c r="X266" s="282" t="s">
        <v>4844</v>
      </c>
      <c r="Y266" s="282"/>
      <c r="Z266" s="282" t="s">
        <v>4840</v>
      </c>
      <c r="AA266" s="282">
        <v>32.491721849999998</v>
      </c>
      <c r="AB266" s="55" t="s">
        <v>72</v>
      </c>
      <c r="AC266" t="s">
        <v>71</v>
      </c>
    </row>
    <row r="267" spans="1:29" x14ac:dyDescent="0.2">
      <c r="A267" s="282">
        <v>1291</v>
      </c>
      <c r="B267" s="282">
        <v>3719</v>
      </c>
      <c r="C267" s="282" t="s">
        <v>3410</v>
      </c>
      <c r="D267" s="282" t="str">
        <f>IF(Table28[[#This Row],[% Leakage Reduction (Calculated)]]&gt;0.4, "Greater than 40% Air Reduction", "Less than 40% Air Reduction")</f>
        <v>Less than 40% Air Reduction</v>
      </c>
      <c r="E267" s="282" t="s">
        <v>4831</v>
      </c>
      <c r="F267" s="282" t="s">
        <v>4832</v>
      </c>
      <c r="G267" s="282" t="s">
        <v>4833</v>
      </c>
      <c r="H267" s="282" t="s">
        <v>4838</v>
      </c>
      <c r="I267" s="282">
        <v>4879</v>
      </c>
      <c r="J267" s="282" t="s">
        <v>4852</v>
      </c>
      <c r="K267" s="282">
        <v>4137</v>
      </c>
      <c r="L267" s="282" t="s">
        <v>4853</v>
      </c>
      <c r="M267" s="283">
        <f t="shared" si="8"/>
        <v>0.15208034433285508</v>
      </c>
      <c r="N267" s="282">
        <v>3072</v>
      </c>
      <c r="O267" s="282"/>
      <c r="P267" s="282" t="s">
        <v>5294</v>
      </c>
      <c r="Q267" s="282" t="e">
        <f>2023-Table28[[#This Row],[year_built]]</f>
        <v>#VALUE!</v>
      </c>
      <c r="R267" s="282">
        <v>1200</v>
      </c>
      <c r="S267" s="282" t="s">
        <v>4865</v>
      </c>
      <c r="T267" s="282" t="s">
        <v>4859</v>
      </c>
      <c r="U267" s="282">
        <v>2017</v>
      </c>
      <c r="V267" s="284">
        <f t="shared" si="9"/>
        <v>0.390625</v>
      </c>
      <c r="W267" s="292">
        <f>Table28[[#This Row],[$/sqft]]/INDEX(CPI!$A$3:$C$31,MATCH(Table28[[#This Row],[start_year]],CPI!$A$3:$A$31,0),3)</f>
        <v>0.48465549775601802</v>
      </c>
      <c r="X267" s="282"/>
      <c r="Y267" s="282"/>
      <c r="Z267" s="282" t="s">
        <v>4861</v>
      </c>
      <c r="AA267" s="282">
        <v>15.20803443</v>
      </c>
      <c r="AB267" s="55" t="s">
        <v>72</v>
      </c>
      <c r="AC267" t="s">
        <v>72</v>
      </c>
    </row>
    <row r="268" spans="1:29" x14ac:dyDescent="0.2">
      <c r="A268" s="282">
        <v>3049</v>
      </c>
      <c r="B268" s="282">
        <v>9228</v>
      </c>
      <c r="C268" s="282" t="s">
        <v>3410</v>
      </c>
      <c r="D268" s="282" t="str">
        <f>IF(Table28[[#This Row],[% Leakage Reduction (Calculated)]]&gt;0.4, "Greater than 40% Air Reduction", "Less than 40% Air Reduction")</f>
        <v>Greater than 40% Air Reduction</v>
      </c>
      <c r="E268" s="282" t="s">
        <v>4831</v>
      </c>
      <c r="F268" s="282" t="s">
        <v>4832</v>
      </c>
      <c r="G268" s="282" t="s">
        <v>4833</v>
      </c>
      <c r="H268" s="282" t="s">
        <v>4838</v>
      </c>
      <c r="I268" s="282">
        <v>17.7</v>
      </c>
      <c r="J268" s="282" t="s">
        <v>4834</v>
      </c>
      <c r="K268" s="282">
        <v>8.92</v>
      </c>
      <c r="L268" s="282" t="s">
        <v>4835</v>
      </c>
      <c r="M268" s="283">
        <f t="shared" si="8"/>
        <v>0.49604519774011296</v>
      </c>
      <c r="N268" s="282">
        <v>1894</v>
      </c>
      <c r="O268" s="282">
        <v>1.52</v>
      </c>
      <c r="P268" s="282">
        <v>1888</v>
      </c>
      <c r="Q268" s="282">
        <f>2023-Table28[[#This Row],[year_built]]</f>
        <v>135</v>
      </c>
      <c r="R268" s="282">
        <v>774</v>
      </c>
      <c r="S268" s="282" t="s">
        <v>4931</v>
      </c>
      <c r="T268" s="282" t="s">
        <v>4906</v>
      </c>
      <c r="U268" s="282">
        <v>2019</v>
      </c>
      <c r="V268" s="284">
        <f t="shared" si="9"/>
        <v>0.40865892291446676</v>
      </c>
      <c r="W268" s="292">
        <f>Table28[[#This Row],[$/sqft]]/INDEX(CPI!$A$3:$C$31,MATCH(Table28[[#This Row],[start_year]],CPI!$A$3:$A$31,0),3)</f>
        <v>0.48601164825298926</v>
      </c>
      <c r="X268" s="282"/>
      <c r="Y268" s="282" t="s">
        <v>4917</v>
      </c>
      <c r="Z268" s="282" t="s">
        <v>4907</v>
      </c>
      <c r="AA268" s="282">
        <v>49.604519770000003</v>
      </c>
      <c r="AB268" s="55" t="s">
        <v>72</v>
      </c>
      <c r="AC268" t="s">
        <v>71</v>
      </c>
    </row>
    <row r="269" spans="1:29" x14ac:dyDescent="0.2">
      <c r="A269" s="282">
        <v>5253</v>
      </c>
      <c r="B269" s="282">
        <v>13493</v>
      </c>
      <c r="C269" s="282" t="s">
        <v>3410</v>
      </c>
      <c r="D269" s="282" t="str">
        <f>IF(Table28[[#This Row],[% Leakage Reduction (Calculated)]]&gt;0.4, "Greater than 40% Air Reduction", "Less than 40% Air Reduction")</f>
        <v>Less than 40% Air Reduction</v>
      </c>
      <c r="E269" s="282" t="s">
        <v>4831</v>
      </c>
      <c r="F269" s="282" t="s">
        <v>4832</v>
      </c>
      <c r="G269" s="282" t="s">
        <v>4833</v>
      </c>
      <c r="H269" s="282" t="s">
        <v>4972</v>
      </c>
      <c r="I269" s="282">
        <v>2965</v>
      </c>
      <c r="J269" s="282" t="s">
        <v>4852</v>
      </c>
      <c r="K269" s="282">
        <v>2350</v>
      </c>
      <c r="L269" s="282" t="s">
        <v>4853</v>
      </c>
      <c r="M269" s="283">
        <f t="shared" si="8"/>
        <v>0.20741989881956155</v>
      </c>
      <c r="N269" s="282">
        <v>1982</v>
      </c>
      <c r="O269" s="282"/>
      <c r="P269" s="282">
        <v>1999</v>
      </c>
      <c r="Q269" s="282">
        <f>2023-Table28[[#This Row],[year_built]]</f>
        <v>24</v>
      </c>
      <c r="R269" s="282">
        <v>796.55</v>
      </c>
      <c r="S269" s="282" t="s">
        <v>4900</v>
      </c>
      <c r="T269" s="282" t="s">
        <v>4979</v>
      </c>
      <c r="U269" s="282">
        <v>2018</v>
      </c>
      <c r="V269" s="284">
        <f t="shared" si="9"/>
        <v>0.40189202825428855</v>
      </c>
      <c r="W269" s="292">
        <f>Table28[[#This Row],[$/sqft]]/INDEX(CPI!$A$3:$C$31,MATCH(Table28[[#This Row],[start_year]],CPI!$A$3:$A$31,0),3)</f>
        <v>0.48671989562775453</v>
      </c>
      <c r="X269" s="282" t="s">
        <v>1241</v>
      </c>
      <c r="Y269" s="282"/>
      <c r="Z269" s="282" t="s">
        <v>4840</v>
      </c>
      <c r="AA269" s="282">
        <v>20.741989879999998</v>
      </c>
      <c r="AB269" s="55" t="s">
        <v>72</v>
      </c>
      <c r="AC269" t="s">
        <v>71</v>
      </c>
    </row>
    <row r="270" spans="1:29" x14ac:dyDescent="0.2">
      <c r="A270" s="282">
        <v>5102</v>
      </c>
      <c r="B270" s="282">
        <v>12613</v>
      </c>
      <c r="C270" s="282" t="s">
        <v>3410</v>
      </c>
      <c r="D270" s="282" t="str">
        <f>IF(Table28[[#This Row],[% Leakage Reduction (Calculated)]]&gt;0.4, "Greater than 40% Air Reduction", "Less than 40% Air Reduction")</f>
        <v>Less than 40% Air Reduction</v>
      </c>
      <c r="E270" s="282" t="s">
        <v>4831</v>
      </c>
      <c r="F270" s="282" t="s">
        <v>4832</v>
      </c>
      <c r="G270" s="282" t="s">
        <v>4833</v>
      </c>
      <c r="H270" s="282" t="s">
        <v>4972</v>
      </c>
      <c r="I270" s="282">
        <v>2170</v>
      </c>
      <c r="J270" s="282" t="s">
        <v>4852</v>
      </c>
      <c r="K270" s="282">
        <v>1649</v>
      </c>
      <c r="L270" s="282" t="s">
        <v>4853</v>
      </c>
      <c r="M270" s="283">
        <f t="shared" si="8"/>
        <v>0.24009216589861751</v>
      </c>
      <c r="N270" s="282">
        <v>1232</v>
      </c>
      <c r="O270" s="282"/>
      <c r="P270" s="282">
        <v>1994</v>
      </c>
      <c r="Q270" s="282">
        <f>2023-Table28[[#This Row],[year_built]]</f>
        <v>29</v>
      </c>
      <c r="R270" s="282">
        <v>504.03</v>
      </c>
      <c r="S270" s="282" t="s">
        <v>4990</v>
      </c>
      <c r="T270" s="282" t="s">
        <v>4979</v>
      </c>
      <c r="U270" s="282">
        <v>2018</v>
      </c>
      <c r="V270" s="284">
        <f t="shared" si="9"/>
        <v>0.4091152597402597</v>
      </c>
      <c r="W270" s="292">
        <f>Table28[[#This Row],[$/sqft]]/INDEX(CPI!$A$3:$C$31,MATCH(Table28[[#This Row],[start_year]],CPI!$A$3:$A$31,0),3)</f>
        <v>0.49546774387500192</v>
      </c>
      <c r="X270" s="282" t="s">
        <v>1241</v>
      </c>
      <c r="Y270" s="282"/>
      <c r="Z270" s="282" t="s">
        <v>4840</v>
      </c>
      <c r="AA270" s="282">
        <v>24.009216590000001</v>
      </c>
      <c r="AB270" s="55" t="s">
        <v>72</v>
      </c>
      <c r="AC270" t="s">
        <v>71</v>
      </c>
    </row>
    <row r="271" spans="1:29" x14ac:dyDescent="0.2">
      <c r="A271" s="282">
        <v>5077</v>
      </c>
      <c r="B271" s="282">
        <v>12470</v>
      </c>
      <c r="C271" s="282" t="s">
        <v>3410</v>
      </c>
      <c r="D271" s="282" t="str">
        <f>IF(Table28[[#This Row],[% Leakage Reduction (Calculated)]]&gt;0.4, "Greater than 40% Air Reduction", "Less than 40% Air Reduction")</f>
        <v>Less than 40% Air Reduction</v>
      </c>
      <c r="E271" s="282" t="s">
        <v>4831</v>
      </c>
      <c r="F271" s="282" t="s">
        <v>4832</v>
      </c>
      <c r="G271" s="282" t="s">
        <v>4833</v>
      </c>
      <c r="H271" s="282" t="s">
        <v>4838</v>
      </c>
      <c r="I271" s="282">
        <v>2539</v>
      </c>
      <c r="J271" s="282" t="s">
        <v>4852</v>
      </c>
      <c r="K271" s="282">
        <v>1571</v>
      </c>
      <c r="L271" s="282" t="s">
        <v>4853</v>
      </c>
      <c r="M271" s="283">
        <f t="shared" si="8"/>
        <v>0.38125246159905474</v>
      </c>
      <c r="N271" s="282">
        <v>1380</v>
      </c>
      <c r="O271" s="282"/>
      <c r="P271" s="282">
        <v>1970</v>
      </c>
      <c r="Q271" s="282">
        <f>2023-Table28[[#This Row],[year_built]]</f>
        <v>53</v>
      </c>
      <c r="R271" s="282">
        <v>577.71</v>
      </c>
      <c r="S271" s="282" t="s">
        <v>4991</v>
      </c>
      <c r="T271" s="282" t="s">
        <v>4979</v>
      </c>
      <c r="U271" s="282">
        <v>2019</v>
      </c>
      <c r="V271" s="284">
        <f t="shared" si="9"/>
        <v>0.4186304347826087</v>
      </c>
      <c r="W271" s="292">
        <f>Table28[[#This Row],[$/sqft]]/INDEX(CPI!$A$3:$C$31,MATCH(Table28[[#This Row],[start_year]],CPI!$A$3:$A$31,0),3)</f>
        <v>0.4978706109401303</v>
      </c>
      <c r="X271" s="282" t="s">
        <v>1241</v>
      </c>
      <c r="Y271" s="282"/>
      <c r="Z271" s="282" t="s">
        <v>4840</v>
      </c>
      <c r="AA271" s="282">
        <v>38.125246160000003</v>
      </c>
      <c r="AB271" s="55" t="s">
        <v>72</v>
      </c>
      <c r="AC271" t="s">
        <v>71</v>
      </c>
    </row>
    <row r="272" spans="1:29" x14ac:dyDescent="0.2">
      <c r="A272" s="282">
        <v>5226</v>
      </c>
      <c r="B272" s="282">
        <v>13344</v>
      </c>
      <c r="C272" s="282" t="s">
        <v>3410</v>
      </c>
      <c r="D272" s="282" t="str">
        <f>IF(Table28[[#This Row],[% Leakage Reduction (Calculated)]]&gt;0.4, "Greater than 40% Air Reduction", "Less than 40% Air Reduction")</f>
        <v>Less than 40% Air Reduction</v>
      </c>
      <c r="E272" s="282" t="s">
        <v>4831</v>
      </c>
      <c r="F272" s="282" t="s">
        <v>4832</v>
      </c>
      <c r="G272" s="282" t="s">
        <v>4833</v>
      </c>
      <c r="H272" s="282" t="s">
        <v>4972</v>
      </c>
      <c r="I272" s="282">
        <v>1883</v>
      </c>
      <c r="J272" s="282" t="s">
        <v>4852</v>
      </c>
      <c r="K272" s="282">
        <v>1443</v>
      </c>
      <c r="L272" s="282" t="s">
        <v>4853</v>
      </c>
      <c r="M272" s="283">
        <f t="shared" si="8"/>
        <v>0.23366967604885822</v>
      </c>
      <c r="N272" s="282">
        <v>1340</v>
      </c>
      <c r="O272" s="282"/>
      <c r="P272" s="282">
        <v>2007</v>
      </c>
      <c r="Q272" s="282">
        <f>2023-Table28[[#This Row],[year_built]]</f>
        <v>16</v>
      </c>
      <c r="R272" s="282">
        <v>550.9</v>
      </c>
      <c r="S272" s="282" t="s">
        <v>4982</v>
      </c>
      <c r="T272" s="282" t="s">
        <v>4979</v>
      </c>
      <c r="U272" s="282">
        <v>2018</v>
      </c>
      <c r="V272" s="284">
        <f t="shared" si="9"/>
        <v>0.4111194029850746</v>
      </c>
      <c r="W272" s="292">
        <f>Table28[[#This Row],[$/sqft]]/INDEX(CPI!$A$3:$C$31,MATCH(Table28[[#This Row],[start_year]],CPI!$A$3:$A$31,0),3)</f>
        <v>0.49789490421250976</v>
      </c>
      <c r="X272" s="282" t="s">
        <v>1241</v>
      </c>
      <c r="Y272" s="282"/>
      <c r="Z272" s="282" t="s">
        <v>4840</v>
      </c>
      <c r="AA272" s="282">
        <v>23.366967599999999</v>
      </c>
      <c r="AB272" s="55" t="s">
        <v>72</v>
      </c>
      <c r="AC272" t="s">
        <v>71</v>
      </c>
    </row>
    <row r="273" spans="1:29" x14ac:dyDescent="0.2">
      <c r="A273" s="282">
        <v>3259</v>
      </c>
      <c r="B273" s="282">
        <v>9964</v>
      </c>
      <c r="C273" s="282" t="s">
        <v>3410</v>
      </c>
      <c r="D273" s="282" t="str">
        <f>IF(Table28[[#This Row],[% Leakage Reduction (Calculated)]]&gt;0.4, "Greater than 40% Air Reduction", "Less than 40% Air Reduction")</f>
        <v>Less than 40% Air Reduction</v>
      </c>
      <c r="E273" s="282" t="s">
        <v>4831</v>
      </c>
      <c r="F273" s="282" t="s">
        <v>4832</v>
      </c>
      <c r="G273" s="282" t="s">
        <v>4833</v>
      </c>
      <c r="H273" s="282" t="s">
        <v>4838</v>
      </c>
      <c r="I273" s="282">
        <v>23.63</v>
      </c>
      <c r="J273" s="282" t="s">
        <v>4834</v>
      </c>
      <c r="K273" s="282">
        <v>17.04</v>
      </c>
      <c r="L273" s="282" t="s">
        <v>4835</v>
      </c>
      <c r="M273" s="283">
        <f t="shared" si="8"/>
        <v>0.27888277613203555</v>
      </c>
      <c r="N273" s="282">
        <v>1602</v>
      </c>
      <c r="O273" s="282">
        <v>2.5</v>
      </c>
      <c r="P273" s="282">
        <v>1930</v>
      </c>
      <c r="Q273" s="282">
        <f>2023-Table28[[#This Row],[year_built]]</f>
        <v>93</v>
      </c>
      <c r="R273" s="282">
        <v>679.34</v>
      </c>
      <c r="S273" s="282" t="s">
        <v>4916</v>
      </c>
      <c r="T273" s="282" t="s">
        <v>4906</v>
      </c>
      <c r="U273" s="282">
        <v>2020</v>
      </c>
      <c r="V273" s="284">
        <f t="shared" si="9"/>
        <v>0.42405742821473158</v>
      </c>
      <c r="W273" s="292">
        <f>Table28[[#This Row],[$/sqft]]/INDEX(CPI!$A$3:$C$31,MATCH(Table28[[#This Row],[start_year]],CPI!$A$3:$A$31,0),3)</f>
        <v>0.49828386367890215</v>
      </c>
      <c r="X273" s="282"/>
      <c r="Y273" s="282" t="s">
        <v>217</v>
      </c>
      <c r="Z273" s="282" t="s">
        <v>4907</v>
      </c>
      <c r="AA273" s="282">
        <v>27.888277609999999</v>
      </c>
      <c r="AB273" s="55" t="s">
        <v>72</v>
      </c>
      <c r="AC273" t="s">
        <v>71</v>
      </c>
    </row>
    <row r="274" spans="1:29" x14ac:dyDescent="0.2">
      <c r="A274" s="282">
        <v>3255</v>
      </c>
      <c r="B274" s="282">
        <v>9951</v>
      </c>
      <c r="C274" s="282" t="s">
        <v>3410</v>
      </c>
      <c r="D274" s="282" t="str">
        <f>IF(Table28[[#This Row],[% Leakage Reduction (Calculated)]]&gt;0.4, "Greater than 40% Air Reduction", "Less than 40% Air Reduction")</f>
        <v>Less than 40% Air Reduction</v>
      </c>
      <c r="E274" s="282" t="s">
        <v>4831</v>
      </c>
      <c r="F274" s="282" t="s">
        <v>4832</v>
      </c>
      <c r="G274" s="282" t="s">
        <v>4833</v>
      </c>
      <c r="H274" s="282" t="s">
        <v>4838</v>
      </c>
      <c r="I274" s="282">
        <v>16.559999999999999</v>
      </c>
      <c r="J274" s="282" t="s">
        <v>4834</v>
      </c>
      <c r="K274" s="282">
        <v>13.72</v>
      </c>
      <c r="L274" s="282" t="s">
        <v>4835</v>
      </c>
      <c r="M274" s="283">
        <f t="shared" si="8"/>
        <v>0.1714975845410627</v>
      </c>
      <c r="N274" s="282">
        <v>2152</v>
      </c>
      <c r="O274" s="282">
        <v>2</v>
      </c>
      <c r="P274" s="282">
        <v>1950</v>
      </c>
      <c r="Q274" s="282">
        <f>2023-Table28[[#This Row],[year_built]]</f>
        <v>73</v>
      </c>
      <c r="R274" s="282">
        <v>912.58</v>
      </c>
      <c r="S274" s="282" t="s">
        <v>4953</v>
      </c>
      <c r="T274" s="282" t="s">
        <v>4906</v>
      </c>
      <c r="U274" s="282">
        <v>2020</v>
      </c>
      <c r="V274" s="284">
        <f t="shared" si="9"/>
        <v>0.42406133828996284</v>
      </c>
      <c r="W274" s="292">
        <f>Table28[[#This Row],[$/sqft]]/INDEX(CPI!$A$3:$C$31,MATCH(Table28[[#This Row],[start_year]],CPI!$A$3:$A$31,0),3)</f>
        <v>0.49828845816838369</v>
      </c>
      <c r="X274" s="282"/>
      <c r="Y274" s="282" t="s">
        <v>217</v>
      </c>
      <c r="Z274" s="282" t="s">
        <v>4907</v>
      </c>
      <c r="AA274" s="282">
        <v>17.14975845</v>
      </c>
      <c r="AB274" s="55" t="s">
        <v>72</v>
      </c>
      <c r="AC274" t="s">
        <v>71</v>
      </c>
    </row>
    <row r="275" spans="1:29" x14ac:dyDescent="0.2">
      <c r="A275" s="282">
        <v>3260</v>
      </c>
      <c r="B275" s="282">
        <v>9967</v>
      </c>
      <c r="C275" s="282" t="s">
        <v>3410</v>
      </c>
      <c r="D275" s="282" t="str">
        <f>IF(Table28[[#This Row],[% Leakage Reduction (Calculated)]]&gt;0.4, "Greater than 40% Air Reduction", "Less than 40% Air Reduction")</f>
        <v>Less than 40% Air Reduction</v>
      </c>
      <c r="E275" s="282" t="s">
        <v>4831</v>
      </c>
      <c r="F275" s="282" t="s">
        <v>4832</v>
      </c>
      <c r="G275" s="282" t="s">
        <v>4833</v>
      </c>
      <c r="H275" s="282" t="s">
        <v>4838</v>
      </c>
      <c r="I275" s="282">
        <v>5.77</v>
      </c>
      <c r="J275" s="282" t="s">
        <v>4834</v>
      </c>
      <c r="K275" s="282">
        <v>4.33</v>
      </c>
      <c r="L275" s="282" t="s">
        <v>4835</v>
      </c>
      <c r="M275" s="283">
        <f t="shared" si="8"/>
        <v>0.24956672443674169</v>
      </c>
      <c r="N275" s="282">
        <v>2516</v>
      </c>
      <c r="O275" s="282">
        <v>1</v>
      </c>
      <c r="P275" s="282">
        <v>1960</v>
      </c>
      <c r="Q275" s="282">
        <f>2023-Table28[[#This Row],[year_built]]</f>
        <v>63</v>
      </c>
      <c r="R275" s="282">
        <v>1066.94</v>
      </c>
      <c r="S275" s="282" t="s">
        <v>4961</v>
      </c>
      <c r="T275" s="282" t="s">
        <v>4906</v>
      </c>
      <c r="U275" s="282">
        <v>2020</v>
      </c>
      <c r="V275" s="284">
        <f t="shared" si="9"/>
        <v>0.42406200317965026</v>
      </c>
      <c r="W275" s="292">
        <f>Table28[[#This Row],[$/sqft]]/INDEX(CPI!$A$3:$C$31,MATCH(Table28[[#This Row],[start_year]],CPI!$A$3:$A$31,0),3)</f>
        <v>0.49828923943945769</v>
      </c>
      <c r="X275" s="282"/>
      <c r="Y275" s="282" t="s">
        <v>217</v>
      </c>
      <c r="Z275" s="282" t="s">
        <v>4907</v>
      </c>
      <c r="AA275" s="282">
        <v>24.956672439999998</v>
      </c>
      <c r="AB275" s="55" t="s">
        <v>72</v>
      </c>
      <c r="AC275" t="s">
        <v>71</v>
      </c>
    </row>
    <row r="276" spans="1:29" x14ac:dyDescent="0.2">
      <c r="A276" s="282">
        <v>3251</v>
      </c>
      <c r="B276" s="282">
        <v>9938</v>
      </c>
      <c r="C276" s="282" t="s">
        <v>3410</v>
      </c>
      <c r="D276" s="282" t="str">
        <f>IF(Table28[[#This Row],[% Leakage Reduction (Calculated)]]&gt;0.4, "Greater than 40% Air Reduction", "Less than 40% Air Reduction")</f>
        <v>Greater than 40% Air Reduction</v>
      </c>
      <c r="E276" s="282" t="s">
        <v>4831</v>
      </c>
      <c r="F276" s="282" t="s">
        <v>4832</v>
      </c>
      <c r="G276" s="282" t="s">
        <v>4833</v>
      </c>
      <c r="H276" s="282" t="s">
        <v>4838</v>
      </c>
      <c r="I276" s="282">
        <v>16.34</v>
      </c>
      <c r="J276" s="282" t="s">
        <v>4834</v>
      </c>
      <c r="K276" s="282">
        <v>8.15</v>
      </c>
      <c r="L276" s="282" t="s">
        <v>4835</v>
      </c>
      <c r="M276" s="283">
        <f t="shared" si="8"/>
        <v>0.50122399020807828</v>
      </c>
      <c r="N276" s="282">
        <v>1440</v>
      </c>
      <c r="O276" s="282">
        <v>1</v>
      </c>
      <c r="P276" s="282">
        <v>1956</v>
      </c>
      <c r="Q276" s="282">
        <f>2023-Table28[[#This Row],[year_built]]</f>
        <v>67</v>
      </c>
      <c r="R276" s="282">
        <v>610.65</v>
      </c>
      <c r="S276" s="282" t="s">
        <v>4956</v>
      </c>
      <c r="T276" s="282" t="s">
        <v>4906</v>
      </c>
      <c r="U276" s="282">
        <v>2020</v>
      </c>
      <c r="V276" s="284">
        <f t="shared" si="9"/>
        <v>0.42406250000000001</v>
      </c>
      <c r="W276" s="292">
        <f>Table28[[#This Row],[$/sqft]]/INDEX(CPI!$A$3:$C$31,MATCH(Table28[[#This Row],[start_year]],CPI!$A$3:$A$31,0),3)</f>
        <v>0.49828982322256571</v>
      </c>
      <c r="X276" s="282"/>
      <c r="Y276" s="282" t="s">
        <v>217</v>
      </c>
      <c r="Z276" s="282" t="s">
        <v>4840</v>
      </c>
      <c r="AA276" s="282">
        <v>50.122399020000003</v>
      </c>
      <c r="AB276" s="55" t="s">
        <v>72</v>
      </c>
      <c r="AC276" t="s">
        <v>71</v>
      </c>
    </row>
    <row r="277" spans="1:29" x14ac:dyDescent="0.2">
      <c r="A277" s="282">
        <v>3116</v>
      </c>
      <c r="B277" s="282">
        <v>9502</v>
      </c>
      <c r="C277" s="282" t="s">
        <v>3410</v>
      </c>
      <c r="D277" s="282" t="str">
        <f>IF(Table28[[#This Row],[% Leakage Reduction (Calculated)]]&gt;0.4, "Greater than 40% Air Reduction", "Less than 40% Air Reduction")</f>
        <v>Less than 40% Air Reduction</v>
      </c>
      <c r="E277" s="282" t="s">
        <v>4831</v>
      </c>
      <c r="F277" s="282" t="s">
        <v>4832</v>
      </c>
      <c r="G277" s="282" t="s">
        <v>4833</v>
      </c>
      <c r="H277" s="282" t="s">
        <v>4838</v>
      </c>
      <c r="I277" s="282">
        <v>13.37</v>
      </c>
      <c r="J277" s="282" t="s">
        <v>4834</v>
      </c>
      <c r="K277" s="282">
        <v>10.029999999999999</v>
      </c>
      <c r="L277" s="282" t="s">
        <v>4835</v>
      </c>
      <c r="M277" s="283">
        <f t="shared" si="8"/>
        <v>0.24981301421091998</v>
      </c>
      <c r="N277" s="282">
        <v>994</v>
      </c>
      <c r="O277" s="282">
        <v>1.8</v>
      </c>
      <c r="P277" s="282">
        <v>1920</v>
      </c>
      <c r="Q277" s="282">
        <f>2023-Table28[[#This Row],[year_built]]</f>
        <v>103</v>
      </c>
      <c r="R277" s="282">
        <v>421.52</v>
      </c>
      <c r="S277" s="282" t="s">
        <v>4921</v>
      </c>
      <c r="T277" s="282" t="s">
        <v>4906</v>
      </c>
      <c r="U277" s="282">
        <v>2020</v>
      </c>
      <c r="V277" s="284">
        <f t="shared" si="9"/>
        <v>0.42406438631790744</v>
      </c>
      <c r="W277" s="292">
        <f>Table28[[#This Row],[$/sqft]]/INDEX(CPI!$A$3:$C$31,MATCH(Table28[[#This Row],[start_year]],CPI!$A$3:$A$31,0),3)</f>
        <v>0.49829203971899405</v>
      </c>
      <c r="X277" s="282"/>
      <c r="Y277" s="282" t="s">
        <v>4872</v>
      </c>
      <c r="Z277" s="282" t="s">
        <v>4907</v>
      </c>
      <c r="AA277" s="282">
        <v>24.981301420000001</v>
      </c>
      <c r="AB277" s="55" t="s">
        <v>72</v>
      </c>
      <c r="AC277" t="s">
        <v>71</v>
      </c>
    </row>
    <row r="278" spans="1:29" x14ac:dyDescent="0.2">
      <c r="A278" s="282">
        <v>5035</v>
      </c>
      <c r="B278" s="282">
        <v>12216</v>
      </c>
      <c r="C278" s="282" t="s">
        <v>3410</v>
      </c>
      <c r="D278" s="282" t="str">
        <f>IF(Table28[[#This Row],[% Leakage Reduction (Calculated)]]&gt;0.4, "Greater than 40% Air Reduction", "Less than 40% Air Reduction")</f>
        <v>Less than 40% Air Reduction</v>
      </c>
      <c r="E278" s="282" t="s">
        <v>4831</v>
      </c>
      <c r="F278" s="282" t="s">
        <v>4832</v>
      </c>
      <c r="G278" s="282" t="s">
        <v>4833</v>
      </c>
      <c r="H278" s="282" t="s">
        <v>4972</v>
      </c>
      <c r="I278" s="282">
        <v>2596</v>
      </c>
      <c r="J278" s="282" t="s">
        <v>4852</v>
      </c>
      <c r="K278" s="282">
        <v>2055</v>
      </c>
      <c r="L278" s="282" t="s">
        <v>4853</v>
      </c>
      <c r="M278" s="283">
        <f t="shared" si="8"/>
        <v>0.2083975346687211</v>
      </c>
      <c r="N278" s="282">
        <v>1014</v>
      </c>
      <c r="O278" s="282"/>
      <c r="P278" s="282">
        <v>1996</v>
      </c>
      <c r="Q278" s="282">
        <f>2023-Table28[[#This Row],[year_built]]</f>
        <v>27</v>
      </c>
      <c r="R278" s="282">
        <v>418.87</v>
      </c>
      <c r="S278" s="282" t="s">
        <v>4987</v>
      </c>
      <c r="T278" s="282" t="s">
        <v>4979</v>
      </c>
      <c r="U278" s="282">
        <v>2018</v>
      </c>
      <c r="V278" s="284">
        <f t="shared" si="9"/>
        <v>0.41308678500986196</v>
      </c>
      <c r="W278" s="292">
        <f>Table28[[#This Row],[$/sqft]]/INDEX(CPI!$A$3:$C$31,MATCH(Table28[[#This Row],[start_year]],CPI!$A$3:$A$31,0),3)</f>
        <v>0.50027754409199132</v>
      </c>
      <c r="X278" s="282" t="s">
        <v>1241</v>
      </c>
      <c r="Y278" s="282"/>
      <c r="Z278" s="282" t="s">
        <v>4840</v>
      </c>
      <c r="AA278" s="282">
        <v>20.839753470000002</v>
      </c>
      <c r="AB278" s="55" t="s">
        <v>72</v>
      </c>
      <c r="AC278" t="s">
        <v>71</v>
      </c>
    </row>
    <row r="279" spans="1:29" x14ac:dyDescent="0.2">
      <c r="A279" s="282">
        <v>4006</v>
      </c>
      <c r="B279" s="282">
        <v>11026</v>
      </c>
      <c r="C279" s="282" t="s">
        <v>3410</v>
      </c>
      <c r="D279" s="282" t="str">
        <f>IF(Table28[[#This Row],[% Leakage Reduction (Calculated)]]&gt;0.4, "Greater than 40% Air Reduction", "Less than 40% Air Reduction")</f>
        <v>Less than 40% Air Reduction</v>
      </c>
      <c r="E279" s="282" t="s">
        <v>4831</v>
      </c>
      <c r="F279" s="282" t="s">
        <v>4832</v>
      </c>
      <c r="G279" s="282" t="s">
        <v>4833</v>
      </c>
      <c r="H279" s="282" t="s">
        <v>4838</v>
      </c>
      <c r="I279" s="282">
        <v>2523</v>
      </c>
      <c r="J279" s="282" t="s">
        <v>4852</v>
      </c>
      <c r="K279" s="282">
        <v>1955</v>
      </c>
      <c r="L279" s="282" t="s">
        <v>4853</v>
      </c>
      <c r="M279" s="283">
        <f t="shared" si="8"/>
        <v>0.22512881490289338</v>
      </c>
      <c r="N279" s="282">
        <v>1514</v>
      </c>
      <c r="O279" s="282"/>
      <c r="P279" s="282">
        <v>1965</v>
      </c>
      <c r="Q279" s="282">
        <f>2023-Table28[[#This Row],[year_built]]</f>
        <v>58</v>
      </c>
      <c r="R279" s="282">
        <v>637.45000000000005</v>
      </c>
      <c r="S279" s="282" t="s">
        <v>4968</v>
      </c>
      <c r="T279" s="282" t="s">
        <v>4969</v>
      </c>
      <c r="U279" s="282">
        <v>2019</v>
      </c>
      <c r="V279" s="284">
        <f t="shared" si="9"/>
        <v>0.42103698811096435</v>
      </c>
      <c r="W279" s="292">
        <f>Table28[[#This Row],[$/sqft]]/INDEX(CPI!$A$3:$C$31,MATCH(Table28[[#This Row],[start_year]],CPI!$A$3:$A$31,0),3)</f>
        <v>0.50073268707291463</v>
      </c>
      <c r="X279" s="282" t="s">
        <v>1241</v>
      </c>
      <c r="Y279" s="282"/>
      <c r="Z279" s="282" t="s">
        <v>4840</v>
      </c>
      <c r="AA279" s="282">
        <v>22.512881490000002</v>
      </c>
      <c r="AB279" s="55" t="s">
        <v>72</v>
      </c>
      <c r="AC279" t="s">
        <v>71</v>
      </c>
    </row>
    <row r="280" spans="1:29" x14ac:dyDescent="0.2">
      <c r="A280" s="282">
        <v>3203</v>
      </c>
      <c r="B280" s="282">
        <v>9790</v>
      </c>
      <c r="C280" s="282" t="s">
        <v>3410</v>
      </c>
      <c r="D280" s="282" t="str">
        <f>IF(Table28[[#This Row],[% Leakage Reduction (Calculated)]]&gt;0.4, "Greater than 40% Air Reduction", "Less than 40% Air Reduction")</f>
        <v>Less than 40% Air Reduction</v>
      </c>
      <c r="E280" s="282" t="s">
        <v>4831</v>
      </c>
      <c r="F280" s="282" t="s">
        <v>4832</v>
      </c>
      <c r="G280" s="282" t="s">
        <v>4833</v>
      </c>
      <c r="H280" s="282" t="s">
        <v>4838</v>
      </c>
      <c r="I280" s="282">
        <v>19.04</v>
      </c>
      <c r="J280" s="282" t="s">
        <v>4834</v>
      </c>
      <c r="K280" s="282">
        <v>13.16</v>
      </c>
      <c r="L280" s="282" t="s">
        <v>4835</v>
      </c>
      <c r="M280" s="283">
        <f t="shared" si="8"/>
        <v>0.30882352941176466</v>
      </c>
      <c r="N280" s="282">
        <v>1545</v>
      </c>
      <c r="O280" s="282">
        <v>2</v>
      </c>
      <c r="P280" s="282">
        <v>1955</v>
      </c>
      <c r="Q280" s="282">
        <f>2023-Table28[[#This Row],[year_built]]</f>
        <v>68</v>
      </c>
      <c r="R280" s="282">
        <v>655.16999999999996</v>
      </c>
      <c r="S280" s="282" t="s">
        <v>4908</v>
      </c>
      <c r="T280" s="282" t="s">
        <v>4906</v>
      </c>
      <c r="U280" s="282">
        <v>2019</v>
      </c>
      <c r="V280" s="284">
        <f t="shared" si="9"/>
        <v>0.42405825242718442</v>
      </c>
      <c r="W280" s="292">
        <f>Table28[[#This Row],[$/sqft]]/INDEX(CPI!$A$3:$C$31,MATCH(Table28[[#This Row],[start_year]],CPI!$A$3:$A$31,0),3)</f>
        <v>0.50432582934339765</v>
      </c>
      <c r="X280" s="282"/>
      <c r="Y280" s="282" t="s">
        <v>217</v>
      </c>
      <c r="Z280" s="282" t="s">
        <v>4907</v>
      </c>
      <c r="AA280" s="282">
        <v>30.882352940000001</v>
      </c>
      <c r="AB280" s="55" t="s">
        <v>72</v>
      </c>
      <c r="AC280" t="s">
        <v>71</v>
      </c>
    </row>
    <row r="281" spans="1:29" x14ac:dyDescent="0.2">
      <c r="A281" s="282">
        <v>3178</v>
      </c>
      <c r="B281" s="282">
        <v>9710</v>
      </c>
      <c r="C281" s="282" t="s">
        <v>3410</v>
      </c>
      <c r="D281" s="282" t="str">
        <f>IF(Table28[[#This Row],[% Leakage Reduction (Calculated)]]&gt;0.4, "Greater than 40% Air Reduction", "Less than 40% Air Reduction")</f>
        <v>Less than 40% Air Reduction</v>
      </c>
      <c r="E281" s="282" t="s">
        <v>4831</v>
      </c>
      <c r="F281" s="282" t="s">
        <v>4832</v>
      </c>
      <c r="G281" s="282" t="s">
        <v>4833</v>
      </c>
      <c r="H281" s="282" t="s">
        <v>4838</v>
      </c>
      <c r="I281" s="282">
        <v>6.18</v>
      </c>
      <c r="J281" s="282" t="s">
        <v>4834</v>
      </c>
      <c r="K281" s="282">
        <v>4.7699999999999996</v>
      </c>
      <c r="L281" s="282" t="s">
        <v>4835</v>
      </c>
      <c r="M281" s="283">
        <f t="shared" si="8"/>
        <v>0.22815533980582528</v>
      </c>
      <c r="N281" s="282">
        <v>2150</v>
      </c>
      <c r="O281" s="282">
        <v>2</v>
      </c>
      <c r="P281" s="282">
        <v>1980</v>
      </c>
      <c r="Q281" s="282">
        <f>2023-Table28[[#This Row],[year_built]]</f>
        <v>43</v>
      </c>
      <c r="R281" s="282">
        <v>911.73</v>
      </c>
      <c r="S281" s="282" t="s">
        <v>4936</v>
      </c>
      <c r="T281" s="282" t="s">
        <v>4906</v>
      </c>
      <c r="U281" s="282">
        <v>2019</v>
      </c>
      <c r="V281" s="284">
        <f t="shared" si="9"/>
        <v>0.4240604651162791</v>
      </c>
      <c r="W281" s="292">
        <f>Table28[[#This Row],[$/sqft]]/INDEX(CPI!$A$3:$C$31,MATCH(Table28[[#This Row],[start_year]],CPI!$A$3:$A$31,0),3)</f>
        <v>0.50432846085983762</v>
      </c>
      <c r="X281" s="282"/>
      <c r="Y281" s="282" t="s">
        <v>217</v>
      </c>
      <c r="Z281" s="282" t="s">
        <v>4840</v>
      </c>
      <c r="AA281" s="282">
        <v>22.815533980000001</v>
      </c>
      <c r="AB281" s="55" t="s">
        <v>72</v>
      </c>
      <c r="AC281" t="s">
        <v>71</v>
      </c>
    </row>
    <row r="282" spans="1:29" x14ac:dyDescent="0.2">
      <c r="A282" s="282">
        <v>3226</v>
      </c>
      <c r="B282" s="282">
        <v>9863</v>
      </c>
      <c r="C282" s="282" t="s">
        <v>3410</v>
      </c>
      <c r="D282" s="282" t="str">
        <f>IF(Table28[[#This Row],[% Leakage Reduction (Calculated)]]&gt;0.4, "Greater than 40% Air Reduction", "Less than 40% Air Reduction")</f>
        <v>Less than 40% Air Reduction</v>
      </c>
      <c r="E282" s="282" t="s">
        <v>4831</v>
      </c>
      <c r="F282" s="282" t="s">
        <v>4832</v>
      </c>
      <c r="G282" s="282" t="s">
        <v>4833</v>
      </c>
      <c r="H282" s="282" t="s">
        <v>4838</v>
      </c>
      <c r="I282" s="282">
        <v>10.94</v>
      </c>
      <c r="J282" s="282" t="s">
        <v>4834</v>
      </c>
      <c r="K282" s="282">
        <v>9.27</v>
      </c>
      <c r="L282" s="282" t="s">
        <v>4835</v>
      </c>
      <c r="M282" s="283">
        <f t="shared" si="8"/>
        <v>0.15265082266910421</v>
      </c>
      <c r="N282" s="282">
        <v>2608</v>
      </c>
      <c r="O282" s="282">
        <v>1.7</v>
      </c>
      <c r="P282" s="282">
        <v>1970</v>
      </c>
      <c r="Q282" s="282">
        <f>2023-Table28[[#This Row],[year_built]]</f>
        <v>53</v>
      </c>
      <c r="R282" s="282">
        <v>1105.95</v>
      </c>
      <c r="S282" s="282" t="s">
        <v>4934</v>
      </c>
      <c r="T282" s="282" t="s">
        <v>4906</v>
      </c>
      <c r="U282" s="282">
        <v>2019</v>
      </c>
      <c r="V282" s="284">
        <f t="shared" si="9"/>
        <v>0.42406058282208592</v>
      </c>
      <c r="W282" s="292">
        <f>Table28[[#This Row],[$/sqft]]/INDEX(CPI!$A$3:$C$31,MATCH(Table28[[#This Row],[start_year]],CPI!$A$3:$A$31,0),3)</f>
        <v>0.50432860084550779</v>
      </c>
      <c r="X282" s="282"/>
      <c r="Y282" s="282" t="s">
        <v>217</v>
      </c>
      <c r="Z282" s="282" t="s">
        <v>4907</v>
      </c>
      <c r="AA282" s="282">
        <v>15.265082270000001</v>
      </c>
      <c r="AB282" s="55" t="s">
        <v>72</v>
      </c>
      <c r="AC282" t="s">
        <v>71</v>
      </c>
    </row>
    <row r="283" spans="1:29" x14ac:dyDescent="0.2">
      <c r="A283" s="282">
        <v>3057</v>
      </c>
      <c r="B283" s="282">
        <v>9257</v>
      </c>
      <c r="C283" s="282" t="s">
        <v>3410</v>
      </c>
      <c r="D283" s="282" t="str">
        <f>IF(Table28[[#This Row],[% Leakage Reduction (Calculated)]]&gt;0.4, "Greater than 40% Air Reduction", "Less than 40% Air Reduction")</f>
        <v>Less than 40% Air Reduction</v>
      </c>
      <c r="E283" s="282" t="s">
        <v>4831</v>
      </c>
      <c r="F283" s="282" t="s">
        <v>4832</v>
      </c>
      <c r="G283" s="282" t="s">
        <v>4833</v>
      </c>
      <c r="H283" s="282" t="s">
        <v>4838</v>
      </c>
      <c r="I283" s="282">
        <v>11.01</v>
      </c>
      <c r="J283" s="282" t="s">
        <v>4834</v>
      </c>
      <c r="K283" s="282">
        <v>7.99</v>
      </c>
      <c r="L283" s="282" t="s">
        <v>4835</v>
      </c>
      <c r="M283" s="283">
        <f t="shared" si="8"/>
        <v>0.27429609445958214</v>
      </c>
      <c r="N283" s="282">
        <v>1920</v>
      </c>
      <c r="O283" s="282">
        <v>1</v>
      </c>
      <c r="P283" s="282">
        <v>1972</v>
      </c>
      <c r="Q283" s="282">
        <f>2023-Table28[[#This Row],[year_built]]</f>
        <v>51</v>
      </c>
      <c r="R283" s="282">
        <v>814.2</v>
      </c>
      <c r="S283" s="282" t="s">
        <v>4915</v>
      </c>
      <c r="T283" s="282" t="s">
        <v>4906</v>
      </c>
      <c r="U283" s="282">
        <v>2019</v>
      </c>
      <c r="V283" s="284">
        <f t="shared" si="9"/>
        <v>0.42406250000000001</v>
      </c>
      <c r="W283" s="292">
        <f>Table28[[#This Row],[$/sqft]]/INDEX(CPI!$A$3:$C$31,MATCH(Table28[[#This Row],[start_year]],CPI!$A$3:$A$31,0),3)</f>
        <v>0.504330880915135</v>
      </c>
      <c r="X283" s="282"/>
      <c r="Y283" s="282" t="s">
        <v>4872</v>
      </c>
      <c r="Z283" s="282" t="s">
        <v>4840</v>
      </c>
      <c r="AA283" s="282">
        <v>27.429609450000001</v>
      </c>
      <c r="AB283" s="55" t="s">
        <v>72</v>
      </c>
      <c r="AC283" t="s">
        <v>71</v>
      </c>
    </row>
    <row r="284" spans="1:29" x14ac:dyDescent="0.2">
      <c r="A284" s="282">
        <v>3169</v>
      </c>
      <c r="B284" s="282">
        <v>9684</v>
      </c>
      <c r="C284" s="282" t="s">
        <v>3410</v>
      </c>
      <c r="D284" s="282" t="str">
        <f>IF(Table28[[#This Row],[% Leakage Reduction (Calculated)]]&gt;0.4, "Greater than 40% Air Reduction", "Less than 40% Air Reduction")</f>
        <v>Greater than 40% Air Reduction</v>
      </c>
      <c r="E284" s="282" t="s">
        <v>4831</v>
      </c>
      <c r="F284" s="282" t="s">
        <v>4832</v>
      </c>
      <c r="G284" s="282" t="s">
        <v>4833</v>
      </c>
      <c r="H284" s="282" t="s">
        <v>4838</v>
      </c>
      <c r="I284" s="282">
        <v>13</v>
      </c>
      <c r="J284" s="282" t="s">
        <v>4834</v>
      </c>
      <c r="K284" s="282">
        <v>5.73</v>
      </c>
      <c r="L284" s="282" t="s">
        <v>4835</v>
      </c>
      <c r="M284" s="283">
        <f t="shared" si="8"/>
        <v>0.5592307692307692</v>
      </c>
      <c r="N284" s="282">
        <v>1750</v>
      </c>
      <c r="O284" s="282">
        <v>1</v>
      </c>
      <c r="P284" s="282">
        <v>1974</v>
      </c>
      <c r="Q284" s="282">
        <f>2023-Table28[[#This Row],[year_built]]</f>
        <v>49</v>
      </c>
      <c r="R284" s="282">
        <v>742.11</v>
      </c>
      <c r="S284" s="282" t="s">
        <v>4936</v>
      </c>
      <c r="T284" s="282" t="s">
        <v>4906</v>
      </c>
      <c r="U284" s="282">
        <v>2019</v>
      </c>
      <c r="V284" s="284">
        <f t="shared" si="9"/>
        <v>0.42406285714285713</v>
      </c>
      <c r="W284" s="292">
        <f>Table28[[#This Row],[$/sqft]]/INDEX(CPI!$A$3:$C$31,MATCH(Table28[[#This Row],[start_year]],CPI!$A$3:$A$31,0),3)</f>
        <v>0.5043313056595341</v>
      </c>
      <c r="X284" s="282"/>
      <c r="Y284" s="282" t="s">
        <v>217</v>
      </c>
      <c r="Z284" s="282" t="s">
        <v>4840</v>
      </c>
      <c r="AA284" s="282">
        <v>55.92307692</v>
      </c>
      <c r="AB284" s="55" t="s">
        <v>72</v>
      </c>
      <c r="AC284" t="s">
        <v>71</v>
      </c>
    </row>
    <row r="285" spans="1:29" x14ac:dyDescent="0.2">
      <c r="A285" s="282">
        <v>5031</v>
      </c>
      <c r="B285" s="282">
        <v>12194</v>
      </c>
      <c r="C285" s="282" t="s">
        <v>3410</v>
      </c>
      <c r="D285" s="282" t="str">
        <f>IF(Table28[[#This Row],[% Leakage Reduction (Calculated)]]&gt;0.4, "Greater than 40% Air Reduction", "Less than 40% Air Reduction")</f>
        <v>Less than 40% Air Reduction</v>
      </c>
      <c r="E285" s="282" t="s">
        <v>4831</v>
      </c>
      <c r="F285" s="282" t="s">
        <v>4832</v>
      </c>
      <c r="G285" s="282" t="s">
        <v>4833</v>
      </c>
      <c r="H285" s="282" t="s">
        <v>4838</v>
      </c>
      <c r="I285" s="282">
        <v>1663</v>
      </c>
      <c r="J285" s="282" t="s">
        <v>4852</v>
      </c>
      <c r="K285" s="282">
        <v>1662</v>
      </c>
      <c r="L285" s="282" t="s">
        <v>4853</v>
      </c>
      <c r="M285" s="283">
        <f t="shared" si="8"/>
        <v>6.0132291040288638E-4</v>
      </c>
      <c r="N285" s="282">
        <v>1200</v>
      </c>
      <c r="O285" s="282"/>
      <c r="P285" s="282">
        <v>1996</v>
      </c>
      <c r="Q285" s="282">
        <f>2023-Table28[[#This Row],[year_built]]</f>
        <v>27</v>
      </c>
      <c r="R285" s="282">
        <v>670.19</v>
      </c>
      <c r="S285" s="282" t="s">
        <v>4900</v>
      </c>
      <c r="T285" s="282" t="s">
        <v>4979</v>
      </c>
      <c r="U285" s="282">
        <v>2018</v>
      </c>
      <c r="V285" s="284">
        <f t="shared" si="9"/>
        <v>0.55849166666666672</v>
      </c>
      <c r="W285" s="292">
        <f>Table28[[#This Row],[$/sqft]]/INDEX(CPI!$A$3:$C$31,MATCH(Table28[[#This Row],[start_year]],CPI!$A$3:$A$31,0),3)</f>
        <v>0.67637322116022847</v>
      </c>
      <c r="X285" s="282" t="s">
        <v>1241</v>
      </c>
      <c r="Y285" s="282"/>
      <c r="Z285" s="282" t="s">
        <v>4840</v>
      </c>
      <c r="AA285" s="282">
        <v>6.0132290999999997E-2</v>
      </c>
      <c r="AB285" s="55" t="s">
        <v>71</v>
      </c>
      <c r="AC285" t="s">
        <v>72</v>
      </c>
    </row>
    <row r="286" spans="1:29" x14ac:dyDescent="0.2">
      <c r="A286" s="282">
        <v>5234</v>
      </c>
      <c r="B286" s="282">
        <v>13387</v>
      </c>
      <c r="C286" s="282" t="s">
        <v>3410</v>
      </c>
      <c r="D286" s="282" t="str">
        <f>IF(Table28[[#This Row],[% Leakage Reduction (Calculated)]]&gt;0.4, "Greater than 40% Air Reduction", "Less than 40% Air Reduction")</f>
        <v>Less than 40% Air Reduction</v>
      </c>
      <c r="E286" s="282" t="s">
        <v>4831</v>
      </c>
      <c r="F286" s="282" t="s">
        <v>4832</v>
      </c>
      <c r="G286" s="282" t="s">
        <v>4833</v>
      </c>
      <c r="H286" s="282" t="s">
        <v>4972</v>
      </c>
      <c r="I286" s="282">
        <v>2699</v>
      </c>
      <c r="J286" s="282" t="s">
        <v>4852</v>
      </c>
      <c r="K286" s="282">
        <v>2292</v>
      </c>
      <c r="L286" s="282" t="s">
        <v>4853</v>
      </c>
      <c r="M286" s="283">
        <f t="shared" si="8"/>
        <v>0.15079659133012227</v>
      </c>
      <c r="N286" s="282">
        <v>1989</v>
      </c>
      <c r="O286" s="282"/>
      <c r="P286" s="282">
        <v>1999</v>
      </c>
      <c r="Q286" s="282">
        <f>2023-Table28[[#This Row],[year_built]]</f>
        <v>24</v>
      </c>
      <c r="R286" s="282">
        <v>830.59</v>
      </c>
      <c r="S286" s="282" t="s">
        <v>4978</v>
      </c>
      <c r="T286" s="282" t="s">
        <v>4979</v>
      </c>
      <c r="U286" s="282">
        <v>2018</v>
      </c>
      <c r="V286" s="284">
        <f t="shared" si="9"/>
        <v>0.41759175465057818</v>
      </c>
      <c r="W286" s="292">
        <f>Table28[[#This Row],[$/sqft]]/INDEX(CPI!$A$3:$C$31,MATCH(Table28[[#This Row],[start_year]],CPI!$A$3:$A$31,0),3)</f>
        <v>0.50573338346969665</v>
      </c>
      <c r="X286" s="282" t="s">
        <v>4844</v>
      </c>
      <c r="Y286" s="282"/>
      <c r="Z286" s="282" t="s">
        <v>4840</v>
      </c>
      <c r="AA286" s="282">
        <v>15.07965913</v>
      </c>
      <c r="AB286" s="55" t="s">
        <v>72</v>
      </c>
      <c r="AC286" t="s">
        <v>71</v>
      </c>
    </row>
    <row r="287" spans="1:29" x14ac:dyDescent="0.2">
      <c r="A287" s="282">
        <v>2180</v>
      </c>
      <c r="B287" s="282">
        <v>7851</v>
      </c>
      <c r="C287" s="282" t="s">
        <v>3410</v>
      </c>
      <c r="D287" s="282" t="str">
        <f>IF(Table28[[#This Row],[% Leakage Reduction (Calculated)]]&gt;0.4, "Greater than 40% Air Reduction", "Less than 40% Air Reduction")</f>
        <v>Greater than 40% Air Reduction</v>
      </c>
      <c r="E287" s="282" t="s">
        <v>4831</v>
      </c>
      <c r="F287" s="282" t="s">
        <v>4832</v>
      </c>
      <c r="G287" s="282" t="s">
        <v>4833</v>
      </c>
      <c r="H287" s="282"/>
      <c r="I287" s="282">
        <v>1030</v>
      </c>
      <c r="J287" s="282" t="s">
        <v>4853</v>
      </c>
      <c r="K287" s="282">
        <v>1725</v>
      </c>
      <c r="L287" s="282" t="s">
        <v>4852</v>
      </c>
      <c r="M287" s="283">
        <f t="shared" si="8"/>
        <v>0.67475728155339809</v>
      </c>
      <c r="N287" s="282">
        <v>1532</v>
      </c>
      <c r="O287" s="282">
        <v>1</v>
      </c>
      <c r="P287" s="282">
        <v>1985</v>
      </c>
      <c r="Q287" s="282">
        <f>2023-Table28[[#This Row],[year_built]]</f>
        <v>38</v>
      </c>
      <c r="R287" s="282">
        <v>660</v>
      </c>
      <c r="S287" s="282" t="s">
        <v>4893</v>
      </c>
      <c r="T287" s="282" t="s">
        <v>4857</v>
      </c>
      <c r="U287" s="282">
        <v>2020</v>
      </c>
      <c r="V287" s="284">
        <f t="shared" si="9"/>
        <v>0.43080939947780678</v>
      </c>
      <c r="W287" s="292">
        <f>Table28[[#This Row],[$/sqft]]/INDEX(CPI!$A$3:$C$31,MATCH(Table28[[#This Row],[start_year]],CPI!$A$3:$A$31,0),3)</f>
        <v>0.50621769080835022</v>
      </c>
      <c r="X287" s="282"/>
      <c r="Y287" s="282"/>
      <c r="Z287" s="282" t="s">
        <v>4840</v>
      </c>
      <c r="AA287" s="282">
        <v>40.289855070000002</v>
      </c>
      <c r="AB287" s="55" t="s">
        <v>72</v>
      </c>
      <c r="AC287" t="s">
        <v>71</v>
      </c>
    </row>
    <row r="288" spans="1:29" x14ac:dyDescent="0.2">
      <c r="A288" s="282">
        <v>5014</v>
      </c>
      <c r="B288" s="282">
        <v>12083</v>
      </c>
      <c r="C288" s="282" t="s">
        <v>3410</v>
      </c>
      <c r="D288" s="282" t="str">
        <f>IF(Table28[[#This Row],[% Leakage Reduction (Calculated)]]&gt;0.4, "Greater than 40% Air Reduction", "Less than 40% Air Reduction")</f>
        <v>Less than 40% Air Reduction</v>
      </c>
      <c r="E288" s="282" t="s">
        <v>4831</v>
      </c>
      <c r="F288" s="282" t="s">
        <v>4832</v>
      </c>
      <c r="G288" s="282" t="s">
        <v>4833</v>
      </c>
      <c r="H288" s="282" t="s">
        <v>4972</v>
      </c>
      <c r="I288" s="282">
        <v>4357</v>
      </c>
      <c r="J288" s="282" t="s">
        <v>4852</v>
      </c>
      <c r="K288" s="282">
        <v>3078</v>
      </c>
      <c r="L288" s="282" t="s">
        <v>4853</v>
      </c>
      <c r="M288" s="283">
        <f t="shared" si="8"/>
        <v>0.29355060821666284</v>
      </c>
      <c r="N288" s="282">
        <v>2200</v>
      </c>
      <c r="O288" s="282"/>
      <c r="P288" s="282">
        <v>2005</v>
      </c>
      <c r="Q288" s="282">
        <f>2023-Table28[[#This Row],[year_built]]</f>
        <v>18</v>
      </c>
      <c r="R288" s="282">
        <v>919.63</v>
      </c>
      <c r="S288" s="282" t="s">
        <v>4980</v>
      </c>
      <c r="T288" s="282" t="s">
        <v>4979</v>
      </c>
      <c r="U288" s="282">
        <v>2018</v>
      </c>
      <c r="V288" s="284">
        <f t="shared" si="9"/>
        <v>0.41801363636363637</v>
      </c>
      <c r="W288" s="292">
        <f>Table28[[#This Row],[$/sqft]]/INDEX(CPI!$A$3:$C$31,MATCH(Table28[[#This Row],[start_year]],CPI!$A$3:$A$31,0),3)</f>
        <v>0.50624431229861344</v>
      </c>
      <c r="X288" s="282" t="s">
        <v>4844</v>
      </c>
      <c r="Y288" s="282"/>
      <c r="Z288" s="282" t="s">
        <v>4840</v>
      </c>
      <c r="AA288" s="282">
        <v>29.355060819999999</v>
      </c>
      <c r="AB288" s="55" t="s">
        <v>72</v>
      </c>
      <c r="AC288" t="s">
        <v>71</v>
      </c>
    </row>
    <row r="289" spans="1:29" x14ac:dyDescent="0.2">
      <c r="A289" s="282">
        <v>3148</v>
      </c>
      <c r="B289" s="282">
        <v>9608</v>
      </c>
      <c r="C289" s="282" t="s">
        <v>3410</v>
      </c>
      <c r="D289" s="282" t="str">
        <f>IF(Table28[[#This Row],[% Leakage Reduction (Calculated)]]&gt;0.4, "Greater than 40% Air Reduction", "Less than 40% Air Reduction")</f>
        <v>Less than 40% Air Reduction</v>
      </c>
      <c r="E289" s="282" t="s">
        <v>4831</v>
      </c>
      <c r="F289" s="282" t="s">
        <v>4832</v>
      </c>
      <c r="G289" s="282" t="s">
        <v>4833</v>
      </c>
      <c r="H289" s="282" t="s">
        <v>4838</v>
      </c>
      <c r="I289" s="282">
        <v>6.82</v>
      </c>
      <c r="J289" s="282" t="s">
        <v>4834</v>
      </c>
      <c r="K289" s="282">
        <v>4.99</v>
      </c>
      <c r="L289" s="282" t="s">
        <v>4835</v>
      </c>
      <c r="M289" s="283">
        <f t="shared" si="8"/>
        <v>0.26832844574780057</v>
      </c>
      <c r="N289" s="282">
        <v>2816</v>
      </c>
      <c r="O289" s="282">
        <v>2</v>
      </c>
      <c r="P289" s="282">
        <v>2010</v>
      </c>
      <c r="Q289" s="282">
        <f>2023-Table28[[#This Row],[year_built]]</f>
        <v>13</v>
      </c>
      <c r="R289" s="282">
        <v>1200</v>
      </c>
      <c r="S289" s="282"/>
      <c r="T289" s="282" t="s">
        <v>4906</v>
      </c>
      <c r="U289" s="282">
        <v>2019</v>
      </c>
      <c r="V289" s="284">
        <f t="shared" si="9"/>
        <v>0.42613636363636365</v>
      </c>
      <c r="W289" s="292">
        <f>Table28[[#This Row],[$/sqft]]/INDEX(CPI!$A$3:$C$31,MATCH(Table28[[#This Row],[start_year]],CPI!$A$3:$A$31,0),3)</f>
        <v>0.5067972944146194</v>
      </c>
      <c r="X289" s="282"/>
      <c r="Y289" s="282" t="s">
        <v>217</v>
      </c>
      <c r="Z289" s="282" t="s">
        <v>4907</v>
      </c>
      <c r="AA289" s="282">
        <v>26.832844569999999</v>
      </c>
      <c r="AB289" s="55" t="s">
        <v>72</v>
      </c>
      <c r="AC289" t="s">
        <v>71</v>
      </c>
    </row>
    <row r="290" spans="1:29" x14ac:dyDescent="0.2">
      <c r="A290" s="282">
        <v>5010</v>
      </c>
      <c r="B290" s="282">
        <v>12063</v>
      </c>
      <c r="C290" s="282" t="s">
        <v>3410</v>
      </c>
      <c r="D290" s="282" t="str">
        <f>IF(Table28[[#This Row],[% Leakage Reduction (Calculated)]]&gt;0.4, "Greater than 40% Air Reduction", "Less than 40% Air Reduction")</f>
        <v>Less than 40% Air Reduction</v>
      </c>
      <c r="E290" s="282" t="s">
        <v>4831</v>
      </c>
      <c r="F290" s="282" t="s">
        <v>4832</v>
      </c>
      <c r="G290" s="282" t="s">
        <v>4833</v>
      </c>
      <c r="H290" s="282" t="s">
        <v>4838</v>
      </c>
      <c r="I290" s="282">
        <v>1960</v>
      </c>
      <c r="J290" s="282" t="s">
        <v>4852</v>
      </c>
      <c r="K290" s="282">
        <v>1649</v>
      </c>
      <c r="L290" s="282" t="s">
        <v>4853</v>
      </c>
      <c r="M290" s="283">
        <f t="shared" si="8"/>
        <v>0.15867346938775509</v>
      </c>
      <c r="N290" s="282">
        <v>1200</v>
      </c>
      <c r="O290" s="282"/>
      <c r="P290" s="282">
        <v>1984</v>
      </c>
      <c r="Q290" s="282">
        <f>2023-Table28[[#This Row],[year_built]]</f>
        <v>39</v>
      </c>
      <c r="R290" s="282">
        <v>502.25</v>
      </c>
      <c r="S290" s="282" t="s">
        <v>4984</v>
      </c>
      <c r="T290" s="282" t="s">
        <v>4979</v>
      </c>
      <c r="U290" s="282">
        <v>2018</v>
      </c>
      <c r="V290" s="284">
        <f t="shared" si="9"/>
        <v>0.41854166666666665</v>
      </c>
      <c r="W290" s="292">
        <f>Table28[[#This Row],[$/sqft]]/INDEX(CPI!$A$3:$C$31,MATCH(Table28[[#This Row],[start_year]],CPI!$A$3:$A$31,0),3)</f>
        <v>0.5068837946369309</v>
      </c>
      <c r="X290" s="282" t="s">
        <v>1241</v>
      </c>
      <c r="Y290" s="282"/>
      <c r="Z290" s="282" t="s">
        <v>4840</v>
      </c>
      <c r="AA290" s="282">
        <v>15.867346939999999</v>
      </c>
      <c r="AB290" s="55" t="s">
        <v>72</v>
      </c>
      <c r="AC290" t="s">
        <v>71</v>
      </c>
    </row>
    <row r="291" spans="1:29" x14ac:dyDescent="0.2">
      <c r="A291" s="282">
        <v>3126</v>
      </c>
      <c r="B291" s="282">
        <v>9543</v>
      </c>
      <c r="C291" s="282" t="s">
        <v>3410</v>
      </c>
      <c r="D291" s="282" t="str">
        <f>IF(Table28[[#This Row],[% Leakage Reduction (Calculated)]]&gt;0.4, "Greater than 40% Air Reduction", "Less than 40% Air Reduction")</f>
        <v>Less than 40% Air Reduction</v>
      </c>
      <c r="E291" s="282" t="s">
        <v>4831</v>
      </c>
      <c r="F291" s="282" t="s">
        <v>4832</v>
      </c>
      <c r="G291" s="282" t="s">
        <v>4833</v>
      </c>
      <c r="H291" s="282" t="s">
        <v>4838</v>
      </c>
      <c r="I291" s="282">
        <v>10.72</v>
      </c>
      <c r="J291" s="282" t="s">
        <v>4834</v>
      </c>
      <c r="K291" s="282">
        <v>9.3699999999999992</v>
      </c>
      <c r="L291" s="282" t="s">
        <v>4835</v>
      </c>
      <c r="M291" s="283">
        <f t="shared" si="8"/>
        <v>0.12593283582089565</v>
      </c>
      <c r="N291" s="282">
        <v>1872</v>
      </c>
      <c r="O291" s="282">
        <v>1</v>
      </c>
      <c r="P291" s="282">
        <v>1979</v>
      </c>
      <c r="Q291" s="282">
        <f>2023-Table28[[#This Row],[year_built]]</f>
        <v>44</v>
      </c>
      <c r="R291" s="282">
        <v>800</v>
      </c>
      <c r="S291" s="282" t="s">
        <v>4916</v>
      </c>
      <c r="T291" s="282" t="s">
        <v>4906</v>
      </c>
      <c r="U291" s="282">
        <v>2019</v>
      </c>
      <c r="V291" s="284">
        <f t="shared" si="9"/>
        <v>0.42735042735042733</v>
      </c>
      <c r="W291" s="292">
        <f>Table28[[#This Row],[$/sqft]]/INDEX(CPI!$A$3:$C$31,MATCH(Table28[[#This Row],[start_year]],CPI!$A$3:$A$31,0),3)</f>
        <v>0.50824116135027364</v>
      </c>
      <c r="X291" s="282"/>
      <c r="Y291" s="282" t="s">
        <v>217</v>
      </c>
      <c r="Z291" s="282" t="s">
        <v>4840</v>
      </c>
      <c r="AA291" s="282">
        <v>12.59328358</v>
      </c>
      <c r="AB291" s="55" t="s">
        <v>72</v>
      </c>
      <c r="AC291" t="s">
        <v>71</v>
      </c>
    </row>
    <row r="292" spans="1:29" x14ac:dyDescent="0.2">
      <c r="A292" s="282">
        <v>5123</v>
      </c>
      <c r="B292" s="282">
        <v>12747</v>
      </c>
      <c r="C292" s="282" t="s">
        <v>3410</v>
      </c>
      <c r="D292" s="282" t="str">
        <f>IF(Table28[[#This Row],[% Leakage Reduction (Calculated)]]&gt;0.4, "Greater than 40% Air Reduction", "Less than 40% Air Reduction")</f>
        <v>Less than 40% Air Reduction</v>
      </c>
      <c r="E292" s="282" t="s">
        <v>4831</v>
      </c>
      <c r="F292" s="282" t="s">
        <v>4832</v>
      </c>
      <c r="G292" s="282" t="s">
        <v>4833</v>
      </c>
      <c r="H292" s="282" t="s">
        <v>4838</v>
      </c>
      <c r="I292" s="282">
        <v>2727</v>
      </c>
      <c r="J292" s="282" t="s">
        <v>4852</v>
      </c>
      <c r="K292" s="282">
        <v>2011</v>
      </c>
      <c r="L292" s="282" t="s">
        <v>4853</v>
      </c>
      <c r="M292" s="283">
        <f t="shared" si="8"/>
        <v>0.26255958929226259</v>
      </c>
      <c r="N292" s="282">
        <v>1400</v>
      </c>
      <c r="O292" s="282"/>
      <c r="P292" s="282">
        <v>1976</v>
      </c>
      <c r="Q292" s="282">
        <f>2023-Table28[[#This Row],[year_built]]</f>
        <v>47</v>
      </c>
      <c r="R292" s="282">
        <v>601.09</v>
      </c>
      <c r="S292" s="282" t="s">
        <v>4994</v>
      </c>
      <c r="T292" s="282" t="s">
        <v>4979</v>
      </c>
      <c r="U292" s="282">
        <v>2019</v>
      </c>
      <c r="V292" s="284">
        <f t="shared" si="9"/>
        <v>0.42935000000000001</v>
      </c>
      <c r="W292" s="292">
        <f>Table28[[#This Row],[$/sqft]]/INDEX(CPI!$A$3:$C$31,MATCH(Table28[[#This Row],[start_year]],CPI!$A$3:$A$31,0),3)</f>
        <v>0.51061922174423158</v>
      </c>
      <c r="X292" s="282" t="s">
        <v>4844</v>
      </c>
      <c r="Y292" s="282"/>
      <c r="Z292" s="282" t="s">
        <v>4840</v>
      </c>
      <c r="AA292" s="282">
        <v>26.255958929999998</v>
      </c>
      <c r="AB292" s="55" t="s">
        <v>72</v>
      </c>
      <c r="AC292" t="s">
        <v>71</v>
      </c>
    </row>
    <row r="293" spans="1:29" x14ac:dyDescent="0.2">
      <c r="A293" s="282">
        <v>5221</v>
      </c>
      <c r="B293" s="282">
        <v>13316</v>
      </c>
      <c r="C293" s="282" t="s">
        <v>3410</v>
      </c>
      <c r="D293" s="282" t="str">
        <f>IF(Table28[[#This Row],[% Leakage Reduction (Calculated)]]&gt;0.4, "Greater than 40% Air Reduction", "Less than 40% Air Reduction")</f>
        <v>Less than 40% Air Reduction</v>
      </c>
      <c r="E293" s="282" t="s">
        <v>4831</v>
      </c>
      <c r="F293" s="282" t="s">
        <v>4832</v>
      </c>
      <c r="G293" s="282" t="s">
        <v>4833</v>
      </c>
      <c r="H293" s="282" t="s">
        <v>4972</v>
      </c>
      <c r="I293" s="282">
        <v>2853</v>
      </c>
      <c r="J293" s="282" t="s">
        <v>4852</v>
      </c>
      <c r="K293" s="282">
        <v>2199</v>
      </c>
      <c r="L293" s="282" t="s">
        <v>4853</v>
      </c>
      <c r="M293" s="283">
        <f t="shared" si="8"/>
        <v>0.22923238696109358</v>
      </c>
      <c r="N293" s="282">
        <v>1357</v>
      </c>
      <c r="O293" s="282"/>
      <c r="P293" s="282">
        <v>1998</v>
      </c>
      <c r="Q293" s="282">
        <f>2023-Table28[[#This Row],[year_built]]</f>
        <v>25</v>
      </c>
      <c r="R293" s="282">
        <v>572.76</v>
      </c>
      <c r="S293" s="282" t="s">
        <v>4987</v>
      </c>
      <c r="T293" s="282" t="s">
        <v>4979</v>
      </c>
      <c r="U293" s="282">
        <v>2018</v>
      </c>
      <c r="V293" s="284">
        <f t="shared" si="9"/>
        <v>0.42207811348563007</v>
      </c>
      <c r="W293" s="292">
        <f>Table28[[#This Row],[$/sqft]]/INDEX(CPI!$A$3:$C$31,MATCH(Table28[[#This Row],[start_year]],CPI!$A$3:$A$31,0),3)</f>
        <v>0.51116668383504626</v>
      </c>
      <c r="X293" s="282" t="s">
        <v>4844</v>
      </c>
      <c r="Y293" s="282"/>
      <c r="Z293" s="282" t="s">
        <v>4840</v>
      </c>
      <c r="AA293" s="282">
        <v>22.923238699999999</v>
      </c>
      <c r="AB293" s="55" t="s">
        <v>72</v>
      </c>
      <c r="AC293" t="s">
        <v>71</v>
      </c>
    </row>
    <row r="294" spans="1:29" x14ac:dyDescent="0.2">
      <c r="A294" s="282">
        <v>5212</v>
      </c>
      <c r="B294" s="282">
        <v>13267</v>
      </c>
      <c r="C294" s="282" t="s">
        <v>3410</v>
      </c>
      <c r="D294" s="282" t="str">
        <f>IF(Table28[[#This Row],[% Leakage Reduction (Calculated)]]&gt;0.4, "Greater than 40% Air Reduction", "Less than 40% Air Reduction")</f>
        <v>Less than 40% Air Reduction</v>
      </c>
      <c r="E294" s="282" t="s">
        <v>4831</v>
      </c>
      <c r="F294" s="282" t="s">
        <v>4832</v>
      </c>
      <c r="G294" s="282" t="s">
        <v>4833</v>
      </c>
      <c r="H294" s="282" t="s">
        <v>4972</v>
      </c>
      <c r="I294" s="282">
        <v>2953</v>
      </c>
      <c r="J294" s="282" t="s">
        <v>4852</v>
      </c>
      <c r="K294" s="282">
        <v>2592</v>
      </c>
      <c r="L294" s="282" t="s">
        <v>4853</v>
      </c>
      <c r="M294" s="283">
        <f t="shared" si="8"/>
        <v>0.12224856078564172</v>
      </c>
      <c r="N294" s="282">
        <v>2181</v>
      </c>
      <c r="O294" s="282"/>
      <c r="P294" s="282">
        <v>1998</v>
      </c>
      <c r="Q294" s="282">
        <f>2023-Table28[[#This Row],[year_built]]</f>
        <v>25</v>
      </c>
      <c r="R294" s="282">
        <v>921.28</v>
      </c>
      <c r="S294" s="282" t="s">
        <v>4982</v>
      </c>
      <c r="T294" s="282" t="s">
        <v>4979</v>
      </c>
      <c r="U294" s="282">
        <v>2018</v>
      </c>
      <c r="V294" s="284">
        <f t="shared" si="9"/>
        <v>0.42241173773498392</v>
      </c>
      <c r="W294" s="292">
        <f>Table28[[#This Row],[$/sqft]]/INDEX(CPI!$A$3:$C$31,MATCH(Table28[[#This Row],[start_year]],CPI!$A$3:$A$31,0),3)</f>
        <v>0.51157072658386549</v>
      </c>
      <c r="X294" s="282" t="s">
        <v>4844</v>
      </c>
      <c r="Y294" s="282"/>
      <c r="Z294" s="282" t="s">
        <v>4840</v>
      </c>
      <c r="AA294" s="282">
        <v>12.22485608</v>
      </c>
      <c r="AB294" s="55" t="s">
        <v>72</v>
      </c>
      <c r="AC294" t="s">
        <v>71</v>
      </c>
    </row>
    <row r="295" spans="1:29" x14ac:dyDescent="0.2">
      <c r="A295" s="282">
        <v>5038</v>
      </c>
      <c r="B295" s="282">
        <v>12234</v>
      </c>
      <c r="C295" s="282" t="s">
        <v>3410</v>
      </c>
      <c r="D295" s="282" t="str">
        <f>IF(Table28[[#This Row],[% Leakage Reduction (Calculated)]]&gt;0.4, "Greater than 40% Air Reduction", "Less than 40% Air Reduction")</f>
        <v>Less than 40% Air Reduction</v>
      </c>
      <c r="E295" s="282" t="s">
        <v>4831</v>
      </c>
      <c r="F295" s="282" t="s">
        <v>4832</v>
      </c>
      <c r="G295" s="282" t="s">
        <v>4833</v>
      </c>
      <c r="H295" s="282" t="s">
        <v>4838</v>
      </c>
      <c r="I295" s="282">
        <v>7422</v>
      </c>
      <c r="J295" s="282" t="s">
        <v>4852</v>
      </c>
      <c r="K295" s="282">
        <v>5317</v>
      </c>
      <c r="L295" s="282" t="s">
        <v>4853</v>
      </c>
      <c r="M295" s="283">
        <f t="shared" si="8"/>
        <v>0.28361627593640526</v>
      </c>
      <c r="N295" s="282">
        <v>1700</v>
      </c>
      <c r="O295" s="282"/>
      <c r="P295" s="282">
        <v>1985</v>
      </c>
      <c r="Q295" s="282">
        <f>2023-Table28[[#This Row],[year_built]]</f>
        <v>38</v>
      </c>
      <c r="R295" s="282">
        <v>733.65</v>
      </c>
      <c r="S295" s="282" t="s">
        <v>4900</v>
      </c>
      <c r="T295" s="282" t="s">
        <v>4979</v>
      </c>
      <c r="U295" s="282">
        <v>2019</v>
      </c>
      <c r="V295" s="284">
        <f t="shared" si="9"/>
        <v>0.43155882352941177</v>
      </c>
      <c r="W295" s="292">
        <f>Table28[[#This Row],[$/sqft]]/INDEX(CPI!$A$3:$C$31,MATCH(Table28[[#This Row],[start_year]],CPI!$A$3:$A$31,0),3)</f>
        <v>0.51324614092801768</v>
      </c>
      <c r="X295" s="282" t="s">
        <v>1241</v>
      </c>
      <c r="Y295" s="282"/>
      <c r="Z295" s="282" t="s">
        <v>4840</v>
      </c>
      <c r="AA295" s="282">
        <v>28.361627590000001</v>
      </c>
      <c r="AB295" s="55" t="s">
        <v>72</v>
      </c>
      <c r="AC295" t="s">
        <v>71</v>
      </c>
    </row>
    <row r="296" spans="1:29" x14ac:dyDescent="0.2">
      <c r="A296" s="282">
        <v>3014</v>
      </c>
      <c r="B296" s="282">
        <v>9071</v>
      </c>
      <c r="C296" s="282" t="s">
        <v>3410</v>
      </c>
      <c r="D296" s="282" t="str">
        <f>IF(Table28[[#This Row],[% Leakage Reduction (Calculated)]]&gt;0.4, "Greater than 40% Air Reduction", "Less than 40% Air Reduction")</f>
        <v>Less than 40% Air Reduction</v>
      </c>
      <c r="E296" s="282" t="s">
        <v>4831</v>
      </c>
      <c r="F296" s="282" t="s">
        <v>4832</v>
      </c>
      <c r="G296" s="282" t="s">
        <v>4833</v>
      </c>
      <c r="H296" s="282" t="s">
        <v>4838</v>
      </c>
      <c r="I296" s="282">
        <v>9.98</v>
      </c>
      <c r="J296" s="282" t="s">
        <v>4834</v>
      </c>
      <c r="K296" s="282">
        <v>6.77</v>
      </c>
      <c r="L296" s="282" t="s">
        <v>4835</v>
      </c>
      <c r="M296" s="283">
        <f t="shared" si="8"/>
        <v>0.32164328657314639</v>
      </c>
      <c r="N296" s="282">
        <v>2184</v>
      </c>
      <c r="O296" s="282">
        <v>2</v>
      </c>
      <c r="P296" s="282">
        <v>2005</v>
      </c>
      <c r="Q296" s="282">
        <f>2023-Table28[[#This Row],[year_built]]</f>
        <v>18</v>
      </c>
      <c r="R296" s="282">
        <v>925.8</v>
      </c>
      <c r="S296" s="282" t="s">
        <v>4915</v>
      </c>
      <c r="T296" s="282" t="s">
        <v>4906</v>
      </c>
      <c r="U296" s="282">
        <v>2018</v>
      </c>
      <c r="V296" s="284">
        <f t="shared" si="9"/>
        <v>0.42390109890109889</v>
      </c>
      <c r="W296" s="292">
        <f>Table28[[#This Row],[$/sqft]]/INDEX(CPI!$A$3:$C$31,MATCH(Table28[[#This Row],[start_year]],CPI!$A$3:$A$31,0),3)</f>
        <v>0.51337444912713737</v>
      </c>
      <c r="X296" s="282"/>
      <c r="Y296" s="282" t="s">
        <v>217</v>
      </c>
      <c r="Z296" s="282" t="s">
        <v>4907</v>
      </c>
      <c r="AA296" s="282">
        <v>32.164328660000002</v>
      </c>
      <c r="AB296" s="55" t="s">
        <v>72</v>
      </c>
      <c r="AC296" t="s">
        <v>71</v>
      </c>
    </row>
    <row r="297" spans="1:29" x14ac:dyDescent="0.2">
      <c r="A297" s="282">
        <v>5079</v>
      </c>
      <c r="B297" s="282">
        <v>12480</v>
      </c>
      <c r="C297" s="282" t="s">
        <v>3410</v>
      </c>
      <c r="D297" s="282" t="str">
        <f>IF(Table28[[#This Row],[% Leakage Reduction (Calculated)]]&gt;0.4, "Greater than 40% Air Reduction", "Less than 40% Air Reduction")</f>
        <v>Less than 40% Air Reduction</v>
      </c>
      <c r="E297" s="282" t="s">
        <v>4831</v>
      </c>
      <c r="F297" s="282" t="s">
        <v>4832</v>
      </c>
      <c r="G297" s="282" t="s">
        <v>4833</v>
      </c>
      <c r="H297" s="282" t="s">
        <v>4838</v>
      </c>
      <c r="I297" s="282">
        <v>7129</v>
      </c>
      <c r="J297" s="282" t="s">
        <v>4852</v>
      </c>
      <c r="K297" s="282">
        <v>5151</v>
      </c>
      <c r="L297" s="282" t="s">
        <v>4853</v>
      </c>
      <c r="M297" s="283">
        <f t="shared" si="8"/>
        <v>0.27745826904194137</v>
      </c>
      <c r="N297" s="282">
        <v>3900</v>
      </c>
      <c r="O297" s="282"/>
      <c r="P297" s="282">
        <v>1983</v>
      </c>
      <c r="Q297" s="282">
        <f>2023-Table28[[#This Row],[year_built]]</f>
        <v>40</v>
      </c>
      <c r="R297" s="282">
        <v>1657.19</v>
      </c>
      <c r="S297" s="282" t="s">
        <v>4987</v>
      </c>
      <c r="T297" s="282" t="s">
        <v>4979</v>
      </c>
      <c r="U297" s="282">
        <v>2018</v>
      </c>
      <c r="V297" s="284">
        <f t="shared" si="9"/>
        <v>0.42492051282051285</v>
      </c>
      <c r="W297" s="292">
        <f>Table28[[#This Row],[$/sqft]]/INDEX(CPI!$A$3:$C$31,MATCH(Table28[[#This Row],[start_year]],CPI!$A$3:$A$31,0),3)</f>
        <v>0.51460903205383501</v>
      </c>
      <c r="X297" s="282" t="s">
        <v>4844</v>
      </c>
      <c r="Y297" s="282"/>
      <c r="Z297" s="282" t="s">
        <v>4840</v>
      </c>
      <c r="AA297" s="282">
        <v>27.745826900000001</v>
      </c>
      <c r="AB297" s="55" t="s">
        <v>72</v>
      </c>
      <c r="AC297" t="s">
        <v>71</v>
      </c>
    </row>
    <row r="298" spans="1:29" x14ac:dyDescent="0.2">
      <c r="A298" s="282">
        <v>5156</v>
      </c>
      <c r="B298" s="282">
        <v>12952</v>
      </c>
      <c r="C298" s="282" t="s">
        <v>3410</v>
      </c>
      <c r="D298" s="282" t="str">
        <f>IF(Table28[[#This Row],[% Leakage Reduction (Calculated)]]&gt;0.4, "Greater than 40% Air Reduction", "Less than 40% Air Reduction")</f>
        <v>Less than 40% Air Reduction</v>
      </c>
      <c r="E298" s="282" t="s">
        <v>4831</v>
      </c>
      <c r="F298" s="282" t="s">
        <v>4832</v>
      </c>
      <c r="G298" s="282" t="s">
        <v>4833</v>
      </c>
      <c r="H298" s="282" t="s">
        <v>4838</v>
      </c>
      <c r="I298" s="282">
        <v>3449</v>
      </c>
      <c r="J298" s="282" t="s">
        <v>4852</v>
      </c>
      <c r="K298" s="282">
        <v>2619</v>
      </c>
      <c r="L298" s="282" t="s">
        <v>4853</v>
      </c>
      <c r="M298" s="283">
        <f t="shared" si="8"/>
        <v>0.24064946361264133</v>
      </c>
      <c r="N298" s="282">
        <v>2000</v>
      </c>
      <c r="O298" s="282"/>
      <c r="P298" s="282">
        <v>1974</v>
      </c>
      <c r="Q298" s="282">
        <f>2023-Table28[[#This Row],[year_built]]</f>
        <v>49</v>
      </c>
      <c r="R298" s="282">
        <v>869</v>
      </c>
      <c r="S298" s="282" t="s">
        <v>4997</v>
      </c>
      <c r="T298" s="282" t="s">
        <v>4979</v>
      </c>
      <c r="U298" s="282">
        <v>2019</v>
      </c>
      <c r="V298" s="284">
        <f t="shared" si="9"/>
        <v>0.4345</v>
      </c>
      <c r="W298" s="292">
        <f>Table28[[#This Row],[$/sqft]]/INDEX(CPI!$A$3:$C$31,MATCH(Table28[[#This Row],[start_year]],CPI!$A$3:$A$31,0),3)</f>
        <v>0.51674403597966367</v>
      </c>
      <c r="X298" s="282" t="s">
        <v>4844</v>
      </c>
      <c r="Y298" s="282"/>
      <c r="Z298" s="282" t="s">
        <v>4840</v>
      </c>
      <c r="AA298" s="282">
        <v>24.06494636</v>
      </c>
      <c r="AB298" s="55" t="s">
        <v>72</v>
      </c>
      <c r="AC298" t="s">
        <v>71</v>
      </c>
    </row>
    <row r="299" spans="1:29" x14ac:dyDescent="0.2">
      <c r="A299" s="282">
        <v>5003</v>
      </c>
      <c r="B299" s="282">
        <v>12017</v>
      </c>
      <c r="C299" s="282" t="s">
        <v>3410</v>
      </c>
      <c r="D299" s="282" t="str">
        <f>IF(Table28[[#This Row],[% Leakage Reduction (Calculated)]]&gt;0.4, "Greater than 40% Air Reduction", "Less than 40% Air Reduction")</f>
        <v>Less than 40% Air Reduction</v>
      </c>
      <c r="E299" s="282" t="s">
        <v>4831</v>
      </c>
      <c r="F299" s="282" t="s">
        <v>4832</v>
      </c>
      <c r="G299" s="282" t="s">
        <v>4833</v>
      </c>
      <c r="H299" s="282" t="s">
        <v>4972</v>
      </c>
      <c r="I299" s="282">
        <v>2946</v>
      </c>
      <c r="J299" s="282" t="s">
        <v>4852</v>
      </c>
      <c r="K299" s="282">
        <v>2031</v>
      </c>
      <c r="L299" s="282" t="s">
        <v>4853</v>
      </c>
      <c r="M299" s="283">
        <f t="shared" si="8"/>
        <v>0.31059063136456211</v>
      </c>
      <c r="N299" s="282">
        <v>1560</v>
      </c>
      <c r="O299" s="282"/>
      <c r="P299" s="282">
        <v>2000</v>
      </c>
      <c r="Q299" s="282">
        <f>2023-Table28[[#This Row],[year_built]]</f>
        <v>23</v>
      </c>
      <c r="R299" s="282">
        <v>650.5</v>
      </c>
      <c r="S299" s="282" t="s">
        <v>4981</v>
      </c>
      <c r="T299" s="282" t="s">
        <v>4979</v>
      </c>
      <c r="U299" s="282">
        <v>2017</v>
      </c>
      <c r="V299" s="284">
        <f t="shared" si="9"/>
        <v>0.4169871794871795</v>
      </c>
      <c r="W299" s="292">
        <f>Table28[[#This Row],[$/sqft]]/INDEX(CPI!$A$3:$C$31,MATCH(Table28[[#This Row],[start_year]],CPI!$A$3:$A$31,0),3)</f>
        <v>0.51736353032252669</v>
      </c>
      <c r="X299" s="282" t="s">
        <v>4844</v>
      </c>
      <c r="Y299" s="282"/>
      <c r="Z299" s="282" t="s">
        <v>4840</v>
      </c>
      <c r="AA299" s="282">
        <v>31.059063139999999</v>
      </c>
      <c r="AB299" s="55" t="s">
        <v>72</v>
      </c>
      <c r="AC299" t="s">
        <v>71</v>
      </c>
    </row>
    <row r="300" spans="1:29" x14ac:dyDescent="0.2">
      <c r="A300" s="282">
        <v>5171</v>
      </c>
      <c r="B300" s="282">
        <v>13043</v>
      </c>
      <c r="C300" s="282" t="s">
        <v>3410</v>
      </c>
      <c r="D300" s="282" t="str">
        <f>IF(Table28[[#This Row],[% Leakage Reduction (Calculated)]]&gt;0.4, "Greater than 40% Air Reduction", "Less than 40% Air Reduction")</f>
        <v>Less than 40% Air Reduction</v>
      </c>
      <c r="E300" s="282" t="s">
        <v>4831</v>
      </c>
      <c r="F300" s="282" t="s">
        <v>4832</v>
      </c>
      <c r="G300" s="282" t="s">
        <v>4833</v>
      </c>
      <c r="H300" s="282" t="s">
        <v>4972</v>
      </c>
      <c r="I300" s="282">
        <v>3063</v>
      </c>
      <c r="J300" s="282" t="s">
        <v>4852</v>
      </c>
      <c r="K300" s="282">
        <v>2739</v>
      </c>
      <c r="L300" s="282" t="s">
        <v>4853</v>
      </c>
      <c r="M300" s="283">
        <f t="shared" si="8"/>
        <v>0.10577864838393732</v>
      </c>
      <c r="N300" s="282">
        <v>1500</v>
      </c>
      <c r="O300" s="282"/>
      <c r="P300" s="282">
        <v>2000</v>
      </c>
      <c r="Q300" s="282">
        <f>2023-Table28[[#This Row],[year_built]]</f>
        <v>23</v>
      </c>
      <c r="R300" s="282">
        <v>640.85</v>
      </c>
      <c r="S300" s="282" t="s">
        <v>4997</v>
      </c>
      <c r="T300" s="282" t="s">
        <v>4979</v>
      </c>
      <c r="U300" s="282">
        <v>2018</v>
      </c>
      <c r="V300" s="284">
        <f t="shared" si="9"/>
        <v>0.42723333333333335</v>
      </c>
      <c r="W300" s="292">
        <f>Table28[[#This Row],[$/sqft]]/INDEX(CPI!$A$3:$C$31,MATCH(Table28[[#This Row],[start_year]],CPI!$A$3:$A$31,0),3)</f>
        <v>0.51741002256737034</v>
      </c>
      <c r="X300" s="282" t="s">
        <v>4844</v>
      </c>
      <c r="Y300" s="282"/>
      <c r="Z300" s="282" t="s">
        <v>4840</v>
      </c>
      <c r="AA300" s="282">
        <v>10.57786484</v>
      </c>
      <c r="AB300" s="55" t="s">
        <v>72</v>
      </c>
      <c r="AC300" t="s">
        <v>71</v>
      </c>
    </row>
    <row r="301" spans="1:29" x14ac:dyDescent="0.2">
      <c r="A301" s="282">
        <v>3198</v>
      </c>
      <c r="B301" s="282">
        <v>9768</v>
      </c>
      <c r="C301" s="282" t="s">
        <v>3410</v>
      </c>
      <c r="D301" s="282" t="str">
        <f>IF(Table28[[#This Row],[% Leakage Reduction (Calculated)]]&gt;0.4, "Greater than 40% Air Reduction", "Less than 40% Air Reduction")</f>
        <v>Less than 40% Air Reduction</v>
      </c>
      <c r="E301" s="282" t="s">
        <v>4831</v>
      </c>
      <c r="F301" s="282" t="s">
        <v>4832</v>
      </c>
      <c r="G301" s="282" t="s">
        <v>4833</v>
      </c>
      <c r="H301" s="282" t="s">
        <v>4838</v>
      </c>
      <c r="I301" s="282">
        <v>14.22</v>
      </c>
      <c r="J301" s="282" t="s">
        <v>4834</v>
      </c>
      <c r="K301" s="282">
        <v>11.49</v>
      </c>
      <c r="L301" s="282" t="s">
        <v>4835</v>
      </c>
      <c r="M301" s="283">
        <f t="shared" si="8"/>
        <v>0.19198312236286921</v>
      </c>
      <c r="N301" s="282">
        <v>2270</v>
      </c>
      <c r="O301" s="282">
        <v>1</v>
      </c>
      <c r="P301" s="282">
        <v>1962</v>
      </c>
      <c r="Q301" s="282">
        <f>2023-Table28[[#This Row],[year_built]]</f>
        <v>61</v>
      </c>
      <c r="R301" s="282">
        <v>1000</v>
      </c>
      <c r="S301" s="282" t="s">
        <v>4947</v>
      </c>
      <c r="T301" s="282" t="s">
        <v>4906</v>
      </c>
      <c r="U301" s="282">
        <v>2020</v>
      </c>
      <c r="V301" s="284">
        <f t="shared" si="9"/>
        <v>0.44052863436123346</v>
      </c>
      <c r="W301" s="292">
        <f>Table28[[#This Row],[$/sqft]]/INDEX(CPI!$A$3:$C$31,MATCH(Table28[[#This Row],[start_year]],CPI!$A$3:$A$31,0),3)</f>
        <v>0.51763816734641077</v>
      </c>
      <c r="X301" s="282"/>
      <c r="Y301" s="282" t="s">
        <v>4872</v>
      </c>
      <c r="Z301" s="282" t="s">
        <v>4840</v>
      </c>
      <c r="AA301" s="282">
        <v>19.19831224</v>
      </c>
      <c r="AB301" s="55" t="s">
        <v>72</v>
      </c>
      <c r="AC301" t="s">
        <v>71</v>
      </c>
    </row>
    <row r="302" spans="1:29" x14ac:dyDescent="0.2">
      <c r="A302" s="282">
        <v>5140</v>
      </c>
      <c r="B302" s="282">
        <v>12853</v>
      </c>
      <c r="C302" s="282" t="s">
        <v>3410</v>
      </c>
      <c r="D302" s="282" t="str">
        <f>IF(Table28[[#This Row],[% Leakage Reduction (Calculated)]]&gt;0.4, "Greater than 40% Air Reduction", "Less than 40% Air Reduction")</f>
        <v>Greater than 40% Air Reduction</v>
      </c>
      <c r="E302" s="282" t="s">
        <v>4831</v>
      </c>
      <c r="F302" s="282" t="s">
        <v>4832</v>
      </c>
      <c r="G302" s="282" t="s">
        <v>4833</v>
      </c>
      <c r="H302" s="282" t="s">
        <v>4838</v>
      </c>
      <c r="I302" s="282">
        <v>2625</v>
      </c>
      <c r="J302" s="282" t="s">
        <v>4852</v>
      </c>
      <c r="K302" s="282">
        <v>1376</v>
      </c>
      <c r="L302" s="282" t="s">
        <v>4853</v>
      </c>
      <c r="M302" s="283">
        <f t="shared" si="8"/>
        <v>0.47580952380952379</v>
      </c>
      <c r="N302" s="282">
        <v>2100</v>
      </c>
      <c r="O302" s="282"/>
      <c r="P302" s="282">
        <v>1976</v>
      </c>
      <c r="Q302" s="282">
        <f>2023-Table28[[#This Row],[year_built]]</f>
        <v>47</v>
      </c>
      <c r="R302" s="282">
        <v>916.05</v>
      </c>
      <c r="S302" s="282" t="s">
        <v>4988</v>
      </c>
      <c r="T302" s="282" t="s">
        <v>4979</v>
      </c>
      <c r="U302" s="282">
        <v>2019</v>
      </c>
      <c r="V302" s="284">
        <f t="shared" si="9"/>
        <v>0.43621428571428567</v>
      </c>
      <c r="W302" s="292">
        <f>Table28[[#This Row],[$/sqft]]/INDEX(CPI!$A$3:$C$31,MATCH(Table28[[#This Row],[start_year]],CPI!$A$3:$A$31,0),3)</f>
        <v>0.51878280909548014</v>
      </c>
      <c r="X302" s="282" t="s">
        <v>4844</v>
      </c>
      <c r="Y302" s="282"/>
      <c r="Z302" s="282" t="s">
        <v>4840</v>
      </c>
      <c r="AA302" s="282">
        <v>47.580952379999999</v>
      </c>
      <c r="AB302" s="55" t="s">
        <v>72</v>
      </c>
      <c r="AC302" t="s">
        <v>71</v>
      </c>
    </row>
    <row r="303" spans="1:29" x14ac:dyDescent="0.2">
      <c r="A303" s="282">
        <v>5224</v>
      </c>
      <c r="B303" s="282">
        <v>13332</v>
      </c>
      <c r="C303" s="282" t="s">
        <v>3410</v>
      </c>
      <c r="D303" s="282" t="str">
        <f>IF(Table28[[#This Row],[% Leakage Reduction (Calculated)]]&gt;0.4, "Greater than 40% Air Reduction", "Less than 40% Air Reduction")</f>
        <v>Less than 40% Air Reduction</v>
      </c>
      <c r="E303" s="282" t="s">
        <v>4831</v>
      </c>
      <c r="F303" s="282" t="s">
        <v>4832</v>
      </c>
      <c r="G303" s="282" t="s">
        <v>4833</v>
      </c>
      <c r="H303" s="282" t="s">
        <v>4838</v>
      </c>
      <c r="I303" s="282">
        <v>3562</v>
      </c>
      <c r="J303" s="282" t="s">
        <v>4852</v>
      </c>
      <c r="K303" s="282">
        <v>2397</v>
      </c>
      <c r="L303" s="282" t="s">
        <v>4853</v>
      </c>
      <c r="M303" s="283">
        <f t="shared" si="8"/>
        <v>0.3270634475014037</v>
      </c>
      <c r="N303" s="282">
        <v>1500</v>
      </c>
      <c r="O303" s="282"/>
      <c r="P303" s="282">
        <v>1975</v>
      </c>
      <c r="Q303" s="282">
        <f>2023-Table28[[#This Row],[year_built]]</f>
        <v>48</v>
      </c>
      <c r="R303" s="282">
        <v>643.87</v>
      </c>
      <c r="S303" s="282" t="s">
        <v>4988</v>
      </c>
      <c r="T303" s="282" t="s">
        <v>4979</v>
      </c>
      <c r="U303" s="282">
        <v>2018</v>
      </c>
      <c r="V303" s="284">
        <f t="shared" si="9"/>
        <v>0.42924666666666667</v>
      </c>
      <c r="W303" s="292">
        <f>Table28[[#This Row],[$/sqft]]/INDEX(CPI!$A$3:$C$31,MATCH(Table28[[#This Row],[start_year]],CPI!$A$3:$A$31,0),3)</f>
        <v>0.51984831275720167</v>
      </c>
      <c r="X303" s="282" t="s">
        <v>1241</v>
      </c>
      <c r="Y303" s="282"/>
      <c r="Z303" s="282" t="s">
        <v>4840</v>
      </c>
      <c r="AA303" s="282">
        <v>32.70634475</v>
      </c>
      <c r="AB303" s="55" t="s">
        <v>72</v>
      </c>
      <c r="AC303" t="s">
        <v>71</v>
      </c>
    </row>
    <row r="304" spans="1:29" x14ac:dyDescent="0.2">
      <c r="A304" s="282">
        <v>3275</v>
      </c>
      <c r="B304" s="282">
        <v>10019</v>
      </c>
      <c r="C304" s="282" t="s">
        <v>3410</v>
      </c>
      <c r="D304" s="282" t="str">
        <f>IF(Table28[[#This Row],[% Leakage Reduction (Calculated)]]&gt;0.4, "Greater than 40% Air Reduction", "Less than 40% Air Reduction")</f>
        <v>Less than 40% Air Reduction</v>
      </c>
      <c r="E304" s="282" t="s">
        <v>4831</v>
      </c>
      <c r="F304" s="282" t="s">
        <v>4832</v>
      </c>
      <c r="G304" s="282" t="s">
        <v>4833</v>
      </c>
      <c r="H304" s="282" t="s">
        <v>4838</v>
      </c>
      <c r="I304" s="282">
        <v>18.52</v>
      </c>
      <c r="J304" s="282" t="s">
        <v>4834</v>
      </c>
      <c r="K304" s="282">
        <v>15.66</v>
      </c>
      <c r="L304" s="282" t="s">
        <v>4835</v>
      </c>
      <c r="M304" s="283">
        <f t="shared" si="8"/>
        <v>0.1544276457883369</v>
      </c>
      <c r="N304" s="282">
        <v>1800</v>
      </c>
      <c r="O304" s="282">
        <v>1</v>
      </c>
      <c r="P304" s="282">
        <v>1973</v>
      </c>
      <c r="Q304" s="282">
        <f>2023-Table28[[#This Row],[year_built]]</f>
        <v>50</v>
      </c>
      <c r="R304" s="282">
        <v>800</v>
      </c>
      <c r="S304" s="282" t="s">
        <v>4928</v>
      </c>
      <c r="T304" s="282" t="s">
        <v>4906</v>
      </c>
      <c r="U304" s="282">
        <v>2020</v>
      </c>
      <c r="V304" s="284">
        <f t="shared" si="9"/>
        <v>0.44444444444444442</v>
      </c>
      <c r="W304" s="292">
        <f>Table28[[#This Row],[$/sqft]]/INDEX(CPI!$A$3:$C$31,MATCH(Table28[[#This Row],[start_year]],CPI!$A$3:$A$31,0),3)</f>
        <v>0.52223939550060106</v>
      </c>
      <c r="X304" s="282"/>
      <c r="Y304" s="282" t="s">
        <v>217</v>
      </c>
      <c r="Z304" s="282" t="s">
        <v>4907</v>
      </c>
      <c r="AA304" s="282">
        <v>15.44276458</v>
      </c>
      <c r="AB304" s="55" t="s">
        <v>72</v>
      </c>
      <c r="AC304" t="s">
        <v>71</v>
      </c>
    </row>
    <row r="305" spans="1:29" x14ac:dyDescent="0.2">
      <c r="A305" s="282">
        <v>5067</v>
      </c>
      <c r="B305" s="282">
        <v>12409</v>
      </c>
      <c r="C305" s="282" t="s">
        <v>3410</v>
      </c>
      <c r="D305" s="282" t="str">
        <f>IF(Table28[[#This Row],[% Leakage Reduction (Calculated)]]&gt;0.4, "Greater than 40% Air Reduction", "Less than 40% Air Reduction")</f>
        <v>Less than 40% Air Reduction</v>
      </c>
      <c r="E305" s="282" t="s">
        <v>4831</v>
      </c>
      <c r="F305" s="282" t="s">
        <v>4832</v>
      </c>
      <c r="G305" s="282" t="s">
        <v>4833</v>
      </c>
      <c r="H305" s="282" t="s">
        <v>4972</v>
      </c>
      <c r="I305" s="282">
        <v>7754</v>
      </c>
      <c r="J305" s="282" t="s">
        <v>4852</v>
      </c>
      <c r="K305" s="282">
        <v>4977</v>
      </c>
      <c r="L305" s="282" t="s">
        <v>4853</v>
      </c>
      <c r="M305" s="283">
        <f t="shared" si="8"/>
        <v>0.35813773536239363</v>
      </c>
      <c r="N305" s="282">
        <v>1800</v>
      </c>
      <c r="O305" s="282"/>
      <c r="P305" s="282">
        <v>1992</v>
      </c>
      <c r="Q305" s="282">
        <f>2023-Table28[[#This Row],[year_built]]</f>
        <v>31</v>
      </c>
      <c r="R305" s="282">
        <v>791.1</v>
      </c>
      <c r="S305" s="282" t="s">
        <v>4981</v>
      </c>
      <c r="T305" s="282" t="s">
        <v>4979</v>
      </c>
      <c r="U305" s="282">
        <v>2019</v>
      </c>
      <c r="V305" s="284">
        <f t="shared" si="9"/>
        <v>0.4395</v>
      </c>
      <c r="W305" s="292">
        <f>Table28[[#This Row],[$/sqft]]/INDEX(CPI!$A$3:$C$31,MATCH(Table28[[#This Row],[start_year]],CPI!$A$3:$A$31,0),3)</f>
        <v>0.52269045756746191</v>
      </c>
      <c r="X305" s="282" t="s">
        <v>4844</v>
      </c>
      <c r="Y305" s="282"/>
      <c r="Z305" s="282" t="s">
        <v>4840</v>
      </c>
      <c r="AA305" s="282">
        <v>35.81377354</v>
      </c>
      <c r="AB305" s="55" t="s">
        <v>72</v>
      </c>
      <c r="AC305" t="s">
        <v>71</v>
      </c>
    </row>
    <row r="306" spans="1:29" x14ac:dyDescent="0.2">
      <c r="A306" s="282">
        <v>3038</v>
      </c>
      <c r="B306" s="282">
        <v>9185</v>
      </c>
      <c r="C306" s="282" t="s">
        <v>3410</v>
      </c>
      <c r="D306" s="282" t="str">
        <f>IF(Table28[[#This Row],[% Leakage Reduction (Calculated)]]&gt;0.4, "Greater than 40% Air Reduction", "Less than 40% Air Reduction")</f>
        <v>Greater than 40% Air Reduction</v>
      </c>
      <c r="E306" s="282" t="s">
        <v>4831</v>
      </c>
      <c r="F306" s="282" t="s">
        <v>4832</v>
      </c>
      <c r="G306" s="282" t="s">
        <v>4833</v>
      </c>
      <c r="H306" s="282" t="s">
        <v>4838</v>
      </c>
      <c r="I306" s="282">
        <v>9.4600000000000009</v>
      </c>
      <c r="J306" s="282" t="s">
        <v>4834</v>
      </c>
      <c r="K306" s="282">
        <v>5.46</v>
      </c>
      <c r="L306" s="282" t="s">
        <v>4835</v>
      </c>
      <c r="M306" s="283">
        <f t="shared" si="8"/>
        <v>0.42283298097251593</v>
      </c>
      <c r="N306" s="282">
        <v>2798</v>
      </c>
      <c r="O306" s="282">
        <v>1.66</v>
      </c>
      <c r="P306" s="282">
        <v>1973</v>
      </c>
      <c r="Q306" s="282">
        <f>2023-Table28[[#This Row],[year_built]]</f>
        <v>50</v>
      </c>
      <c r="R306" s="282">
        <v>1212.3</v>
      </c>
      <c r="S306" s="282" t="s">
        <v>4927</v>
      </c>
      <c r="T306" s="282" t="s">
        <v>4906</v>
      </c>
      <c r="U306" s="282">
        <v>2018</v>
      </c>
      <c r="V306" s="284">
        <f t="shared" si="9"/>
        <v>0.43327376697641173</v>
      </c>
      <c r="W306" s="292">
        <f>Table28[[#This Row],[$/sqft]]/INDEX(CPI!$A$3:$C$31,MATCH(Table28[[#This Row],[start_year]],CPI!$A$3:$A$31,0),3)</f>
        <v>0.52472541830954533</v>
      </c>
      <c r="X306" s="282"/>
      <c r="Y306" s="282" t="s">
        <v>4872</v>
      </c>
      <c r="Z306" s="282" t="s">
        <v>4907</v>
      </c>
      <c r="AA306" s="282">
        <v>42.283298100000003</v>
      </c>
      <c r="AB306" s="55" t="s">
        <v>72</v>
      </c>
      <c r="AC306" t="s">
        <v>71</v>
      </c>
    </row>
    <row r="307" spans="1:29" x14ac:dyDescent="0.2">
      <c r="A307" s="282">
        <v>5085</v>
      </c>
      <c r="B307" s="282">
        <v>12515</v>
      </c>
      <c r="C307" s="282" t="s">
        <v>3410</v>
      </c>
      <c r="D307" s="282" t="str">
        <f>IF(Table28[[#This Row],[% Leakage Reduction (Calculated)]]&gt;0.4, "Greater than 40% Air Reduction", "Less than 40% Air Reduction")</f>
        <v>Less than 40% Air Reduction</v>
      </c>
      <c r="E307" s="282" t="s">
        <v>4831</v>
      </c>
      <c r="F307" s="282" t="s">
        <v>4832</v>
      </c>
      <c r="G307" s="282" t="s">
        <v>4833</v>
      </c>
      <c r="H307" s="282" t="s">
        <v>4838</v>
      </c>
      <c r="I307" s="282">
        <v>5783</v>
      </c>
      <c r="J307" s="282" t="s">
        <v>4852</v>
      </c>
      <c r="K307" s="282">
        <v>4748</v>
      </c>
      <c r="L307" s="282" t="s">
        <v>4853</v>
      </c>
      <c r="M307" s="283">
        <f t="shared" si="8"/>
        <v>0.17897285146117931</v>
      </c>
      <c r="N307" s="282">
        <v>1890</v>
      </c>
      <c r="O307" s="282"/>
      <c r="P307" s="282">
        <v>1890</v>
      </c>
      <c r="Q307" s="282">
        <f>2023-Table28[[#This Row],[year_built]]</f>
        <v>133</v>
      </c>
      <c r="R307" s="282">
        <v>838.5</v>
      </c>
      <c r="S307" s="282" t="s">
        <v>4991</v>
      </c>
      <c r="T307" s="282" t="s">
        <v>4979</v>
      </c>
      <c r="U307" s="282">
        <v>2019</v>
      </c>
      <c r="V307" s="284">
        <f t="shared" si="9"/>
        <v>0.44365079365079363</v>
      </c>
      <c r="W307" s="292">
        <f>Table28[[#This Row],[$/sqft]]/INDEX(CPI!$A$3:$C$31,MATCH(Table28[[#This Row],[start_year]],CPI!$A$3:$A$31,0),3)</f>
        <v>0.52762693136177685</v>
      </c>
      <c r="X307" s="282" t="s">
        <v>4844</v>
      </c>
      <c r="Y307" s="282"/>
      <c r="Z307" s="282" t="s">
        <v>4840</v>
      </c>
      <c r="AA307" s="282">
        <v>17.897285149999998</v>
      </c>
      <c r="AB307" s="55" t="s">
        <v>72</v>
      </c>
      <c r="AC307" t="s">
        <v>71</v>
      </c>
    </row>
    <row r="308" spans="1:29" x14ac:dyDescent="0.2">
      <c r="A308" s="282">
        <v>3033</v>
      </c>
      <c r="B308" s="282">
        <v>9159</v>
      </c>
      <c r="C308" s="282" t="s">
        <v>3410</v>
      </c>
      <c r="D308" s="282" t="str">
        <f>IF(Table28[[#This Row],[% Leakage Reduction (Calculated)]]&gt;0.4, "Greater than 40% Air Reduction", "Less than 40% Air Reduction")</f>
        <v>Less than 40% Air Reduction</v>
      </c>
      <c r="E308" s="282" t="s">
        <v>4831</v>
      </c>
      <c r="F308" s="282" t="s">
        <v>4832</v>
      </c>
      <c r="G308" s="282" t="s">
        <v>4833</v>
      </c>
      <c r="H308" s="282" t="s">
        <v>4838</v>
      </c>
      <c r="I308" s="282">
        <v>11.15</v>
      </c>
      <c r="J308" s="282" t="s">
        <v>4834</v>
      </c>
      <c r="K308" s="282">
        <v>7.42</v>
      </c>
      <c r="L308" s="282" t="s">
        <v>4835</v>
      </c>
      <c r="M308" s="283">
        <f t="shared" si="8"/>
        <v>0.33452914798206279</v>
      </c>
      <c r="N308" s="282">
        <v>2291</v>
      </c>
      <c r="O308" s="282">
        <v>2.6</v>
      </c>
      <c r="P308" s="282">
        <v>1900</v>
      </c>
      <c r="Q308" s="282">
        <f>2023-Table28[[#This Row],[year_built]]</f>
        <v>123</v>
      </c>
      <c r="R308" s="282">
        <v>1000</v>
      </c>
      <c r="S308" s="282" t="s">
        <v>4926</v>
      </c>
      <c r="T308" s="282" t="s">
        <v>4906</v>
      </c>
      <c r="U308" s="282">
        <v>2018</v>
      </c>
      <c r="V308" s="284">
        <f t="shared" si="9"/>
        <v>0.43649061545176776</v>
      </c>
      <c r="W308" s="292">
        <f>Table28[[#This Row],[$/sqft]]/INDEX(CPI!$A$3:$C$31,MATCH(Table28[[#This Row],[start_year]],CPI!$A$3:$A$31,0),3)</f>
        <v>0.52862125113055591</v>
      </c>
      <c r="X308" s="282"/>
      <c r="Y308" s="282" t="s">
        <v>4917</v>
      </c>
      <c r="Z308" s="282" t="s">
        <v>4907</v>
      </c>
      <c r="AA308" s="282">
        <v>33.452914800000002</v>
      </c>
      <c r="AB308" s="55" t="s">
        <v>72</v>
      </c>
      <c r="AC308" t="s">
        <v>71</v>
      </c>
    </row>
    <row r="309" spans="1:29" x14ac:dyDescent="0.2">
      <c r="A309" s="282">
        <v>5095</v>
      </c>
      <c r="B309" s="282">
        <v>12571</v>
      </c>
      <c r="C309" s="282" t="s">
        <v>3410</v>
      </c>
      <c r="D309" s="282" t="str">
        <f>IF(Table28[[#This Row],[% Leakage Reduction (Calculated)]]&gt;0.4, "Greater than 40% Air Reduction", "Less than 40% Air Reduction")</f>
        <v>Less than 40% Air Reduction</v>
      </c>
      <c r="E309" s="282" t="s">
        <v>4831</v>
      </c>
      <c r="F309" s="282" t="s">
        <v>4832</v>
      </c>
      <c r="G309" s="282" t="s">
        <v>4833</v>
      </c>
      <c r="H309" s="282" t="s">
        <v>4838</v>
      </c>
      <c r="I309" s="282">
        <v>5303</v>
      </c>
      <c r="J309" s="282" t="s">
        <v>4852</v>
      </c>
      <c r="K309" s="282">
        <v>4243</v>
      </c>
      <c r="L309" s="282" t="s">
        <v>4853</v>
      </c>
      <c r="M309" s="283">
        <f t="shared" si="8"/>
        <v>0.19988685649632285</v>
      </c>
      <c r="N309" s="282">
        <v>1100</v>
      </c>
      <c r="O309" s="282"/>
      <c r="P309" s="282">
        <v>1978</v>
      </c>
      <c r="Q309" s="282">
        <f>2023-Table28[[#This Row],[year_built]]</f>
        <v>45</v>
      </c>
      <c r="R309" s="282">
        <v>492.56</v>
      </c>
      <c r="S309" s="282" t="s">
        <v>4993</v>
      </c>
      <c r="T309" s="282" t="s">
        <v>4979</v>
      </c>
      <c r="U309" s="282">
        <v>2019</v>
      </c>
      <c r="V309" s="284">
        <f t="shared" si="9"/>
        <v>0.44778181818181817</v>
      </c>
      <c r="W309" s="292">
        <f>Table28[[#This Row],[$/sqft]]/INDEX(CPI!$A$3:$C$31,MATCH(Table28[[#This Row],[start_year]],CPI!$A$3:$A$31,0),3)</f>
        <v>0.53253989405197855</v>
      </c>
      <c r="X309" s="282" t="s">
        <v>4844</v>
      </c>
      <c r="Y309" s="282"/>
      <c r="Z309" s="282" t="s">
        <v>4840</v>
      </c>
      <c r="AA309" s="282">
        <v>19.988685650000001</v>
      </c>
      <c r="AB309" s="55" t="s">
        <v>72</v>
      </c>
      <c r="AC309" t="s">
        <v>71</v>
      </c>
    </row>
    <row r="310" spans="1:29" x14ac:dyDescent="0.2">
      <c r="A310" s="282">
        <v>5009</v>
      </c>
      <c r="B310" s="282">
        <v>12057</v>
      </c>
      <c r="C310" s="282" t="s">
        <v>3410</v>
      </c>
      <c r="D310" s="282" t="str">
        <f>IF(Table28[[#This Row],[% Leakage Reduction (Calculated)]]&gt;0.4, "Greater than 40% Air Reduction", "Less than 40% Air Reduction")</f>
        <v>Less than 40% Air Reduction</v>
      </c>
      <c r="E310" s="282" t="s">
        <v>4831</v>
      </c>
      <c r="F310" s="282" t="s">
        <v>4832</v>
      </c>
      <c r="G310" s="282" t="s">
        <v>4833</v>
      </c>
      <c r="H310" s="282" t="s">
        <v>4972</v>
      </c>
      <c r="I310" s="282">
        <v>2499</v>
      </c>
      <c r="J310" s="282" t="s">
        <v>4852</v>
      </c>
      <c r="K310" s="282">
        <v>2153</v>
      </c>
      <c r="L310" s="282" t="s">
        <v>4853</v>
      </c>
      <c r="M310" s="283">
        <f t="shared" si="8"/>
        <v>0.13845538215286116</v>
      </c>
      <c r="N310" s="282">
        <v>1248</v>
      </c>
      <c r="O310" s="282"/>
      <c r="P310" s="282">
        <v>1997</v>
      </c>
      <c r="Q310" s="282">
        <f>2023-Table28[[#This Row],[year_built]]</f>
        <v>26</v>
      </c>
      <c r="R310" s="282">
        <v>538</v>
      </c>
      <c r="S310" s="282" t="s">
        <v>4900</v>
      </c>
      <c r="T310" s="282" t="s">
        <v>4979</v>
      </c>
      <c r="U310" s="282">
        <v>2017</v>
      </c>
      <c r="V310" s="284">
        <f t="shared" si="9"/>
        <v>0.43108974358974361</v>
      </c>
      <c r="W310" s="292">
        <f>Table28[[#This Row],[$/sqft]]/INDEX(CPI!$A$3:$C$31,MATCH(Table28[[#This Row],[start_year]],CPI!$A$3:$A$31,0),3)</f>
        <v>0.53486083649792349</v>
      </c>
      <c r="X310" s="282" t="s">
        <v>4844</v>
      </c>
      <c r="Y310" s="282"/>
      <c r="Z310" s="282" t="s">
        <v>4840</v>
      </c>
      <c r="AA310" s="282">
        <v>13.84553822</v>
      </c>
      <c r="AB310" s="55" t="s">
        <v>72</v>
      </c>
      <c r="AC310" t="s">
        <v>71</v>
      </c>
    </row>
    <row r="311" spans="1:29" x14ac:dyDescent="0.2">
      <c r="A311" s="282">
        <v>3130</v>
      </c>
      <c r="B311" s="282">
        <v>9557</v>
      </c>
      <c r="C311" s="282" t="s">
        <v>3410</v>
      </c>
      <c r="D311" s="282" t="str">
        <f>IF(Table28[[#This Row],[% Leakage Reduction (Calculated)]]&gt;0.4, "Greater than 40% Air Reduction", "Less than 40% Air Reduction")</f>
        <v>Less than 40% Air Reduction</v>
      </c>
      <c r="E311" s="282" t="s">
        <v>4831</v>
      </c>
      <c r="F311" s="282" t="s">
        <v>4832</v>
      </c>
      <c r="G311" s="282" t="s">
        <v>4833</v>
      </c>
      <c r="H311" s="282" t="s">
        <v>4838</v>
      </c>
      <c r="I311" s="282">
        <v>21.81</v>
      </c>
      <c r="J311" s="282" t="s">
        <v>4834</v>
      </c>
      <c r="K311" s="282">
        <v>15.87</v>
      </c>
      <c r="L311" s="282" t="s">
        <v>4835</v>
      </c>
      <c r="M311" s="283">
        <f t="shared" si="8"/>
        <v>0.27235213204951858</v>
      </c>
      <c r="N311" s="282">
        <v>1108</v>
      </c>
      <c r="O311" s="282">
        <v>1.8</v>
      </c>
      <c r="P311" s="282">
        <v>1895</v>
      </c>
      <c r="Q311" s="282">
        <f>2023-Table28[[#This Row],[year_built]]</f>
        <v>128</v>
      </c>
      <c r="R311" s="282">
        <v>500</v>
      </c>
      <c r="S311" s="282" t="s">
        <v>4938</v>
      </c>
      <c r="T311" s="282" t="s">
        <v>4906</v>
      </c>
      <c r="U311" s="282">
        <v>2019</v>
      </c>
      <c r="V311" s="284">
        <f t="shared" si="9"/>
        <v>0.45126353790613716</v>
      </c>
      <c r="W311" s="292">
        <f>Table28[[#This Row],[$/sqft]]/INDEX(CPI!$A$3:$C$31,MATCH(Table28[[#This Row],[start_year]],CPI!$A$3:$A$31,0),3)</f>
        <v>0.53668064871824916</v>
      </c>
      <c r="X311" s="282"/>
      <c r="Y311" s="282" t="s">
        <v>217</v>
      </c>
      <c r="Z311" s="282" t="s">
        <v>4840</v>
      </c>
      <c r="AA311" s="282">
        <v>27.2352132</v>
      </c>
      <c r="AB311" s="55" t="s">
        <v>72</v>
      </c>
      <c r="AC311" t="s">
        <v>71</v>
      </c>
    </row>
    <row r="312" spans="1:29" x14ac:dyDescent="0.2">
      <c r="A312" s="282">
        <v>5262</v>
      </c>
      <c r="B312" s="282">
        <v>13543</v>
      </c>
      <c r="C312" s="282" t="s">
        <v>3410</v>
      </c>
      <c r="D312" s="282" t="str">
        <f>IF(Table28[[#This Row],[% Leakage Reduction (Calculated)]]&gt;0.4, "Greater than 40% Air Reduction", "Less than 40% Air Reduction")</f>
        <v>Less than 40% Air Reduction</v>
      </c>
      <c r="E312" s="282" t="s">
        <v>4831</v>
      </c>
      <c r="F312" s="282" t="s">
        <v>4832</v>
      </c>
      <c r="G312" s="282" t="s">
        <v>4833</v>
      </c>
      <c r="H312" s="282" t="s">
        <v>4838</v>
      </c>
      <c r="I312" s="282">
        <v>1214</v>
      </c>
      <c r="J312" s="282" t="s">
        <v>4852</v>
      </c>
      <c r="K312" s="282">
        <v>1013</v>
      </c>
      <c r="L312" s="282" t="s">
        <v>4853</v>
      </c>
      <c r="M312" s="283">
        <f t="shared" si="8"/>
        <v>0.16556836902800659</v>
      </c>
      <c r="N312" s="282">
        <v>925</v>
      </c>
      <c r="O312" s="282"/>
      <c r="P312" s="282">
        <v>1989</v>
      </c>
      <c r="Q312" s="282">
        <f>2023-Table28[[#This Row],[year_built]]</f>
        <v>34</v>
      </c>
      <c r="R312" s="282">
        <v>410.29</v>
      </c>
      <c r="S312" s="282" t="s">
        <v>4983</v>
      </c>
      <c r="T312" s="282" t="s">
        <v>4979</v>
      </c>
      <c r="U312" s="282">
        <v>2018</v>
      </c>
      <c r="V312" s="284">
        <f t="shared" si="9"/>
        <v>0.44355675675675676</v>
      </c>
      <c r="W312" s="292">
        <f>Table28[[#This Row],[$/sqft]]/INDEX(CPI!$A$3:$C$31,MATCH(Table28[[#This Row],[start_year]],CPI!$A$3:$A$31,0),3)</f>
        <v>0.53717885197024984</v>
      </c>
      <c r="X312" s="282" t="s">
        <v>1241</v>
      </c>
      <c r="Y312" s="282"/>
      <c r="Z312" s="282" t="s">
        <v>4840</v>
      </c>
      <c r="AA312" s="282">
        <v>16.5568369</v>
      </c>
      <c r="AB312" s="55" t="s">
        <v>72</v>
      </c>
      <c r="AC312" t="s">
        <v>71</v>
      </c>
    </row>
    <row r="313" spans="1:29" x14ac:dyDescent="0.2">
      <c r="A313" s="282">
        <v>5059</v>
      </c>
      <c r="B313" s="282">
        <v>12364</v>
      </c>
      <c r="C313" s="282" t="s">
        <v>3410</v>
      </c>
      <c r="D313" s="282" t="str">
        <f>IF(Table28[[#This Row],[% Leakage Reduction (Calculated)]]&gt;0.4, "Greater than 40% Air Reduction", "Less than 40% Air Reduction")</f>
        <v>Less than 40% Air Reduction</v>
      </c>
      <c r="E313" s="282" t="s">
        <v>4831</v>
      </c>
      <c r="F313" s="282" t="s">
        <v>4832</v>
      </c>
      <c r="G313" s="282" t="s">
        <v>4833</v>
      </c>
      <c r="H313" s="282" t="s">
        <v>4972</v>
      </c>
      <c r="I313" s="282">
        <v>3229</v>
      </c>
      <c r="J313" s="282" t="s">
        <v>4852</v>
      </c>
      <c r="K313" s="282">
        <v>2213</v>
      </c>
      <c r="L313" s="282" t="s">
        <v>4853</v>
      </c>
      <c r="M313" s="283">
        <f t="shared" si="8"/>
        <v>0.3146484979869929</v>
      </c>
      <c r="N313" s="282">
        <v>1820</v>
      </c>
      <c r="O313" s="282"/>
      <c r="P313" s="282">
        <v>1998</v>
      </c>
      <c r="Q313" s="282">
        <f>2023-Table28[[#This Row],[year_built]]</f>
        <v>25</v>
      </c>
      <c r="R313" s="282">
        <v>790.5</v>
      </c>
      <c r="S313" s="282" t="s">
        <v>4986</v>
      </c>
      <c r="T313" s="282" t="s">
        <v>4979</v>
      </c>
      <c r="U313" s="282">
        <v>2017</v>
      </c>
      <c r="V313" s="284">
        <f t="shared" si="9"/>
        <v>0.43434065934065935</v>
      </c>
      <c r="W313" s="292">
        <f>Table28[[#This Row],[$/sqft]]/INDEX(CPI!$A$3:$C$31,MATCH(Table28[[#This Row],[start_year]],CPI!$A$3:$A$31,0),3)</f>
        <v>0.53889430642796621</v>
      </c>
      <c r="X313" s="282" t="s">
        <v>4844</v>
      </c>
      <c r="Y313" s="282"/>
      <c r="Z313" s="282" t="s">
        <v>4840</v>
      </c>
      <c r="AA313" s="282">
        <v>31.4648498</v>
      </c>
      <c r="AB313" s="55" t="s">
        <v>72</v>
      </c>
      <c r="AC313" t="s">
        <v>71</v>
      </c>
    </row>
    <row r="314" spans="1:29" x14ac:dyDescent="0.2">
      <c r="A314" s="282">
        <v>5216</v>
      </c>
      <c r="B314" s="282">
        <v>13288</v>
      </c>
      <c r="C314" s="282" t="s">
        <v>3410</v>
      </c>
      <c r="D314" s="282" t="str">
        <f>IF(Table28[[#This Row],[% Leakage Reduction (Calculated)]]&gt;0.4, "Greater than 40% Air Reduction", "Less than 40% Air Reduction")</f>
        <v>Greater than 40% Air Reduction</v>
      </c>
      <c r="E314" s="282" t="s">
        <v>4831</v>
      </c>
      <c r="F314" s="282" t="s">
        <v>4832</v>
      </c>
      <c r="G314" s="282" t="s">
        <v>4833</v>
      </c>
      <c r="H314" s="282" t="s">
        <v>4838</v>
      </c>
      <c r="I314" s="282">
        <v>2922</v>
      </c>
      <c r="J314" s="282" t="s">
        <v>4852</v>
      </c>
      <c r="K314" s="282">
        <v>1564</v>
      </c>
      <c r="L314" s="282" t="s">
        <v>4853</v>
      </c>
      <c r="M314" s="283">
        <f t="shared" si="8"/>
        <v>0.46475017111567418</v>
      </c>
      <c r="N314" s="282">
        <v>2236</v>
      </c>
      <c r="O314" s="282"/>
      <c r="P314" s="282">
        <v>1998</v>
      </c>
      <c r="Q314" s="282">
        <f>2023-Table28[[#This Row],[year_built]]</f>
        <v>25</v>
      </c>
      <c r="R314" s="282">
        <v>999.75</v>
      </c>
      <c r="S314" s="282" t="s">
        <v>4993</v>
      </c>
      <c r="T314" s="282" t="s">
        <v>4979</v>
      </c>
      <c r="U314" s="282">
        <v>2018</v>
      </c>
      <c r="V314" s="284">
        <f t="shared" si="9"/>
        <v>0.44711538461538464</v>
      </c>
      <c r="W314" s="292">
        <f>Table28[[#This Row],[$/sqft]]/INDEX(CPI!$A$3:$C$31,MATCH(Table28[[#This Row],[start_year]],CPI!$A$3:$A$31,0),3)</f>
        <v>0.5414886039886041</v>
      </c>
      <c r="X314" s="282" t="s">
        <v>4844</v>
      </c>
      <c r="Y314" s="282"/>
      <c r="Z314" s="282" t="s">
        <v>4840</v>
      </c>
      <c r="AA314" s="282">
        <v>46.475017110000003</v>
      </c>
      <c r="AB314" s="55" t="s">
        <v>72</v>
      </c>
      <c r="AC314" t="s">
        <v>71</v>
      </c>
    </row>
    <row r="315" spans="1:29" x14ac:dyDescent="0.2">
      <c r="A315" s="282">
        <v>4028</v>
      </c>
      <c r="B315" s="282">
        <v>11117</v>
      </c>
      <c r="C315" s="282" t="s">
        <v>3410</v>
      </c>
      <c r="D315" s="282" t="str">
        <f>IF(Table28[[#This Row],[% Leakage Reduction (Calculated)]]&gt;0.4, "Greater than 40% Air Reduction", "Less than 40% Air Reduction")</f>
        <v>Less than 40% Air Reduction</v>
      </c>
      <c r="E315" s="282" t="s">
        <v>4831</v>
      </c>
      <c r="F315" s="282" t="s">
        <v>4832</v>
      </c>
      <c r="G315" s="282" t="s">
        <v>4833</v>
      </c>
      <c r="H315" s="282" t="s">
        <v>4838</v>
      </c>
      <c r="I315" s="282">
        <v>3673</v>
      </c>
      <c r="J315" s="282" t="s">
        <v>4852</v>
      </c>
      <c r="K315" s="282">
        <v>2315</v>
      </c>
      <c r="L315" s="282" t="s">
        <v>4853</v>
      </c>
      <c r="M315" s="283">
        <f t="shared" si="8"/>
        <v>0.3697250204192758</v>
      </c>
      <c r="N315" s="282">
        <v>1722</v>
      </c>
      <c r="O315" s="282"/>
      <c r="P315" s="282">
        <v>1988</v>
      </c>
      <c r="Q315" s="282">
        <f>2023-Table28[[#This Row],[year_built]]</f>
        <v>35</v>
      </c>
      <c r="R315" s="282">
        <v>789.38</v>
      </c>
      <c r="S315" s="282" t="s">
        <v>4971</v>
      </c>
      <c r="T315" s="282" t="s">
        <v>4969</v>
      </c>
      <c r="U315" s="282">
        <v>2019</v>
      </c>
      <c r="V315" s="284">
        <f t="shared" si="9"/>
        <v>0.4584088269454123</v>
      </c>
      <c r="W315" s="292">
        <f>Table28[[#This Row],[$/sqft]]/INDEX(CPI!$A$3:$C$31,MATCH(Table28[[#This Row],[start_year]],CPI!$A$3:$A$31,0),3)</f>
        <v>0.5451784289170899</v>
      </c>
      <c r="X315" s="282" t="s">
        <v>1241</v>
      </c>
      <c r="Y315" s="282"/>
      <c r="Z315" s="282" t="s">
        <v>4840</v>
      </c>
      <c r="AA315" s="282">
        <v>36.972502040000002</v>
      </c>
      <c r="AB315" s="55" t="s">
        <v>72</v>
      </c>
      <c r="AC315" t="s">
        <v>71</v>
      </c>
    </row>
    <row r="316" spans="1:29" x14ac:dyDescent="0.2">
      <c r="A316" s="282">
        <v>5141</v>
      </c>
      <c r="B316" s="282">
        <v>12862</v>
      </c>
      <c r="C316" s="282" t="s">
        <v>3410</v>
      </c>
      <c r="D316" s="282" t="str">
        <f>IF(Table28[[#This Row],[% Leakage Reduction (Calculated)]]&gt;0.4, "Greater than 40% Air Reduction", "Less than 40% Air Reduction")</f>
        <v>Less than 40% Air Reduction</v>
      </c>
      <c r="E316" s="282" t="s">
        <v>4831</v>
      </c>
      <c r="F316" s="282" t="s">
        <v>4832</v>
      </c>
      <c r="G316" s="282" t="s">
        <v>4833</v>
      </c>
      <c r="H316" s="282" t="s">
        <v>4972</v>
      </c>
      <c r="I316" s="282">
        <v>4038</v>
      </c>
      <c r="J316" s="282" t="s">
        <v>4852</v>
      </c>
      <c r="K316" s="282">
        <v>3350</v>
      </c>
      <c r="L316" s="282" t="s">
        <v>4853</v>
      </c>
      <c r="M316" s="283">
        <f t="shared" si="8"/>
        <v>0.17038137691926697</v>
      </c>
      <c r="N316" s="282">
        <v>1792</v>
      </c>
      <c r="O316" s="282"/>
      <c r="P316" s="282">
        <v>1993</v>
      </c>
      <c r="Q316" s="282">
        <f>2023-Table28[[#This Row],[year_built]]</f>
        <v>30</v>
      </c>
      <c r="R316" s="282">
        <v>807.93</v>
      </c>
      <c r="S316" s="282" t="s">
        <v>4988</v>
      </c>
      <c r="T316" s="282" t="s">
        <v>4979</v>
      </c>
      <c r="U316" s="282">
        <v>2018</v>
      </c>
      <c r="V316" s="284">
        <f t="shared" si="9"/>
        <v>0.45085379464285713</v>
      </c>
      <c r="W316" s="292">
        <f>Table28[[#This Row],[$/sqft]]/INDEX(CPI!$A$3:$C$31,MATCH(Table28[[#This Row],[start_year]],CPI!$A$3:$A$31,0),3)</f>
        <v>0.54601608502944188</v>
      </c>
      <c r="X316" s="282" t="s">
        <v>4844</v>
      </c>
      <c r="Y316" s="282"/>
      <c r="Z316" s="282" t="s">
        <v>4840</v>
      </c>
      <c r="AA316" s="282">
        <v>17.038137689999999</v>
      </c>
      <c r="AB316" s="55" t="s">
        <v>72</v>
      </c>
      <c r="AC316" t="s">
        <v>71</v>
      </c>
    </row>
    <row r="317" spans="1:29" x14ac:dyDescent="0.2">
      <c r="A317" s="282">
        <v>5260</v>
      </c>
      <c r="B317" s="282">
        <v>13532</v>
      </c>
      <c r="C317" s="282" t="s">
        <v>3410</v>
      </c>
      <c r="D317" s="282" t="str">
        <f>IF(Table28[[#This Row],[% Leakage Reduction (Calculated)]]&gt;0.4, "Greater than 40% Air Reduction", "Less than 40% Air Reduction")</f>
        <v>Less than 40% Air Reduction</v>
      </c>
      <c r="E317" s="282" t="s">
        <v>4831</v>
      </c>
      <c r="F317" s="282" t="s">
        <v>4832</v>
      </c>
      <c r="G317" s="282" t="s">
        <v>4833</v>
      </c>
      <c r="H317" s="282" t="s">
        <v>4972</v>
      </c>
      <c r="I317" s="282">
        <v>2274</v>
      </c>
      <c r="J317" s="282" t="s">
        <v>4852</v>
      </c>
      <c r="K317" s="282">
        <v>1769</v>
      </c>
      <c r="L317" s="282" t="s">
        <v>4853</v>
      </c>
      <c r="M317" s="283">
        <f t="shared" si="8"/>
        <v>0.22207563764291996</v>
      </c>
      <c r="N317" s="282">
        <v>1200</v>
      </c>
      <c r="O317" s="282"/>
      <c r="P317" s="282">
        <v>2004</v>
      </c>
      <c r="Q317" s="282">
        <f>2023-Table28[[#This Row],[year_built]]</f>
        <v>19</v>
      </c>
      <c r="R317" s="282">
        <v>541.28</v>
      </c>
      <c r="S317" s="282" t="s">
        <v>4988</v>
      </c>
      <c r="T317" s="282" t="s">
        <v>4979</v>
      </c>
      <c r="U317" s="282">
        <v>2018</v>
      </c>
      <c r="V317" s="284">
        <f t="shared" si="9"/>
        <v>0.45106666666666667</v>
      </c>
      <c r="W317" s="292">
        <f>Table28[[#This Row],[$/sqft]]/INDEX(CPI!$A$3:$C$31,MATCH(Table28[[#This Row],[start_year]],CPI!$A$3:$A$31,0),3)</f>
        <v>0.54627388822514278</v>
      </c>
      <c r="X317" s="282" t="s">
        <v>4844</v>
      </c>
      <c r="Y317" s="282"/>
      <c r="Z317" s="282" t="s">
        <v>4840</v>
      </c>
      <c r="AA317" s="282">
        <v>22.207563759999999</v>
      </c>
      <c r="AB317" s="55" t="s">
        <v>72</v>
      </c>
      <c r="AC317" t="s">
        <v>71</v>
      </c>
    </row>
    <row r="318" spans="1:29" x14ac:dyDescent="0.2">
      <c r="A318" s="282">
        <v>5255</v>
      </c>
      <c r="B318" s="282">
        <v>13505</v>
      </c>
      <c r="C318" s="282" t="s">
        <v>3410</v>
      </c>
      <c r="D318" s="282" t="str">
        <f>IF(Table28[[#This Row],[% Leakage Reduction (Calculated)]]&gt;0.4, "Greater than 40% Air Reduction", "Less than 40% Air Reduction")</f>
        <v>Less than 40% Air Reduction</v>
      </c>
      <c r="E318" s="282" t="s">
        <v>4831</v>
      </c>
      <c r="F318" s="282" t="s">
        <v>4832</v>
      </c>
      <c r="G318" s="282" t="s">
        <v>4833</v>
      </c>
      <c r="H318" s="282" t="s">
        <v>4838</v>
      </c>
      <c r="I318" s="282">
        <v>2044</v>
      </c>
      <c r="J318" s="282" t="s">
        <v>4852</v>
      </c>
      <c r="K318" s="282">
        <v>1656</v>
      </c>
      <c r="L318" s="282" t="s">
        <v>4853</v>
      </c>
      <c r="M318" s="283">
        <f t="shared" si="8"/>
        <v>0.18982387475538159</v>
      </c>
      <c r="N318" s="282">
        <v>1005</v>
      </c>
      <c r="O318" s="282"/>
      <c r="P318" s="282">
        <v>1973</v>
      </c>
      <c r="Q318" s="282">
        <f>2023-Table28[[#This Row],[year_built]]</f>
        <v>50</v>
      </c>
      <c r="R318" s="282">
        <v>453.85</v>
      </c>
      <c r="S318" s="282" t="s">
        <v>4987</v>
      </c>
      <c r="T318" s="282" t="s">
        <v>4979</v>
      </c>
      <c r="U318" s="282">
        <v>2018</v>
      </c>
      <c r="V318" s="284">
        <f t="shared" si="9"/>
        <v>0.45159203980099505</v>
      </c>
      <c r="W318" s="292">
        <f>Table28[[#This Row],[$/sqft]]/INDEX(CPI!$A$3:$C$31,MATCH(Table28[[#This Row],[start_year]],CPI!$A$3:$A$31,0),3)</f>
        <v>0.54691015254274233</v>
      </c>
      <c r="X318" s="282" t="s">
        <v>4844</v>
      </c>
      <c r="Y318" s="282"/>
      <c r="Z318" s="282" t="s">
        <v>4840</v>
      </c>
      <c r="AA318" s="282">
        <v>18.98238748</v>
      </c>
      <c r="AB318" s="55" t="s">
        <v>72</v>
      </c>
      <c r="AC318" t="s">
        <v>71</v>
      </c>
    </row>
    <row r="319" spans="1:29" x14ac:dyDescent="0.2">
      <c r="A319" s="282">
        <v>5049</v>
      </c>
      <c r="B319" s="282">
        <v>12303</v>
      </c>
      <c r="C319" s="282" t="s">
        <v>3410</v>
      </c>
      <c r="D319" s="282" t="str">
        <f>IF(Table28[[#This Row],[% Leakage Reduction (Calculated)]]&gt;0.4, "Greater than 40% Air Reduction", "Less than 40% Air Reduction")</f>
        <v>Less than 40% Air Reduction</v>
      </c>
      <c r="E319" s="282" t="s">
        <v>4831</v>
      </c>
      <c r="F319" s="282" t="s">
        <v>4832</v>
      </c>
      <c r="G319" s="282" t="s">
        <v>4833</v>
      </c>
      <c r="H319" s="282" t="s">
        <v>4838</v>
      </c>
      <c r="I319" s="282">
        <v>3748</v>
      </c>
      <c r="J319" s="282" t="s">
        <v>4852</v>
      </c>
      <c r="K319" s="282">
        <v>2607</v>
      </c>
      <c r="L319" s="282" t="s">
        <v>4853</v>
      </c>
      <c r="M319" s="283">
        <f t="shared" si="8"/>
        <v>0.30442902881536821</v>
      </c>
      <c r="N319" s="282">
        <v>1800</v>
      </c>
      <c r="O319" s="282"/>
      <c r="P319" s="282">
        <v>1980</v>
      </c>
      <c r="Q319" s="282">
        <f>2023-Table28[[#This Row],[year_built]]</f>
        <v>43</v>
      </c>
      <c r="R319" s="282">
        <v>828.4</v>
      </c>
      <c r="S319" s="282" t="s">
        <v>4989</v>
      </c>
      <c r="T319" s="282" t="s">
        <v>4979</v>
      </c>
      <c r="U319" s="282">
        <v>2019</v>
      </c>
      <c r="V319" s="284">
        <f t="shared" si="9"/>
        <v>0.4602222222222222</v>
      </c>
      <c r="W319" s="292">
        <f>Table28[[#This Row],[$/sqft]]/INDEX(CPI!$A$3:$C$31,MATCH(Table28[[#This Row],[start_year]],CPI!$A$3:$A$31,0),3)</f>
        <v>0.54733507148133664</v>
      </c>
      <c r="X319" s="282" t="s">
        <v>4844</v>
      </c>
      <c r="Y319" s="282"/>
      <c r="Z319" s="282" t="s">
        <v>4840</v>
      </c>
      <c r="AA319" s="282">
        <v>30.442902879999998</v>
      </c>
      <c r="AB319" s="55" t="s">
        <v>72</v>
      </c>
      <c r="AC319" t="s">
        <v>71</v>
      </c>
    </row>
    <row r="320" spans="1:29" x14ac:dyDescent="0.2">
      <c r="A320" s="282">
        <v>1289</v>
      </c>
      <c r="B320" s="282">
        <v>3690</v>
      </c>
      <c r="C320" s="282" t="s">
        <v>3410</v>
      </c>
      <c r="D320" s="282" t="str">
        <f>IF(Table28[[#This Row],[% Leakage Reduction (Calculated)]]&gt;0.4, "Greater than 40% Air Reduction", "Less than 40% Air Reduction")</f>
        <v>Less than 40% Air Reduction</v>
      </c>
      <c r="E320" s="282" t="s">
        <v>4831</v>
      </c>
      <c r="F320" s="282" t="s">
        <v>4832</v>
      </c>
      <c r="G320" s="282" t="s">
        <v>4833</v>
      </c>
      <c r="H320" s="282" t="s">
        <v>4838</v>
      </c>
      <c r="I320" s="282">
        <v>2379</v>
      </c>
      <c r="J320" s="282" t="s">
        <v>4852</v>
      </c>
      <c r="K320" s="282">
        <v>2028</v>
      </c>
      <c r="L320" s="282" t="s">
        <v>4853</v>
      </c>
      <c r="M320" s="283">
        <f t="shared" si="8"/>
        <v>0.14754098360655737</v>
      </c>
      <c r="N320" s="282">
        <v>2050</v>
      </c>
      <c r="O320" s="282">
        <v>2</v>
      </c>
      <c r="P320" s="282">
        <v>1970</v>
      </c>
      <c r="Q320" s="282">
        <f>2023-Table28[[#This Row],[year_built]]</f>
        <v>53</v>
      </c>
      <c r="R320" s="282">
        <v>890</v>
      </c>
      <c r="S320" s="282" t="s">
        <v>4858</v>
      </c>
      <c r="T320" s="282" t="s">
        <v>4859</v>
      </c>
      <c r="U320" s="282">
        <v>2016</v>
      </c>
      <c r="V320" s="284">
        <f t="shared" si="9"/>
        <v>0.43414634146341463</v>
      </c>
      <c r="W320" s="292">
        <f>Table28[[#This Row],[$/sqft]]/INDEX(CPI!$A$3:$C$31,MATCH(Table28[[#This Row],[start_year]],CPI!$A$3:$A$31,0),3)</f>
        <v>0.550083549392411</v>
      </c>
      <c r="X320" s="282" t="s">
        <v>4844</v>
      </c>
      <c r="Y320" s="282" t="s">
        <v>4863</v>
      </c>
      <c r="Z320" s="282" t="s">
        <v>4861</v>
      </c>
      <c r="AA320" s="282">
        <v>14.75409836</v>
      </c>
      <c r="AB320" s="55" t="s">
        <v>72</v>
      </c>
      <c r="AC320" t="s">
        <v>72</v>
      </c>
    </row>
    <row r="321" spans="1:29" x14ac:dyDescent="0.2">
      <c r="A321" s="282">
        <v>3001</v>
      </c>
      <c r="B321" s="282">
        <v>9005</v>
      </c>
      <c r="C321" s="282" t="s">
        <v>3410</v>
      </c>
      <c r="D321" s="282" t="str">
        <f>IF(Table28[[#This Row],[% Leakage Reduction (Calculated)]]&gt;0.4, "Greater than 40% Air Reduction", "Less than 40% Air Reduction")</f>
        <v>Less than 40% Air Reduction</v>
      </c>
      <c r="E321" s="282" t="s">
        <v>4831</v>
      </c>
      <c r="F321" s="282" t="s">
        <v>4832</v>
      </c>
      <c r="G321" s="282" t="s">
        <v>4833</v>
      </c>
      <c r="H321" s="282" t="s">
        <v>4838</v>
      </c>
      <c r="I321" s="282">
        <v>11.25</v>
      </c>
      <c r="J321" s="282" t="s">
        <v>4834</v>
      </c>
      <c r="K321" s="282">
        <v>9.42</v>
      </c>
      <c r="L321" s="282" t="s">
        <v>4835</v>
      </c>
      <c r="M321" s="283">
        <f t="shared" si="8"/>
        <v>0.16266666666666668</v>
      </c>
      <c r="N321" s="282">
        <v>3260</v>
      </c>
      <c r="O321" s="282">
        <v>1</v>
      </c>
      <c r="P321" s="282">
        <v>1955</v>
      </c>
      <c r="Q321" s="282">
        <f>2023-Table28[[#This Row],[year_built]]</f>
        <v>68</v>
      </c>
      <c r="R321" s="282">
        <v>1481.12</v>
      </c>
      <c r="S321" s="282" t="s">
        <v>4905</v>
      </c>
      <c r="T321" s="282" t="s">
        <v>4906</v>
      </c>
      <c r="U321" s="282">
        <v>2018</v>
      </c>
      <c r="V321" s="284">
        <f t="shared" si="9"/>
        <v>0.45433128834355824</v>
      </c>
      <c r="W321" s="292">
        <f>Table28[[#This Row],[$/sqft]]/INDEX(CPI!$A$3:$C$31,MATCH(Table28[[#This Row],[start_year]],CPI!$A$3:$A$31,0),3)</f>
        <v>0.55022757779878961</v>
      </c>
      <c r="X321" s="282"/>
      <c r="Y321" s="282" t="s">
        <v>4872</v>
      </c>
      <c r="Z321" s="282" t="s">
        <v>4907</v>
      </c>
      <c r="AA321" s="282">
        <v>16.266666669999999</v>
      </c>
      <c r="AB321" s="55" t="s">
        <v>72</v>
      </c>
      <c r="AC321" t="s">
        <v>71</v>
      </c>
    </row>
    <row r="322" spans="1:29" x14ac:dyDescent="0.2">
      <c r="A322" s="282">
        <v>1258</v>
      </c>
      <c r="B322" s="282">
        <v>3335</v>
      </c>
      <c r="C322" s="282" t="s">
        <v>3410</v>
      </c>
      <c r="D322" s="282" t="str">
        <f>IF(Table28[[#This Row],[% Leakage Reduction (Calculated)]]&gt;0.4, "Greater than 40% Air Reduction", "Less than 40% Air Reduction")</f>
        <v>Less than 40% Air Reduction</v>
      </c>
      <c r="E322" s="282" t="s">
        <v>4831</v>
      </c>
      <c r="F322" s="282" t="s">
        <v>4832</v>
      </c>
      <c r="G322" s="282" t="s">
        <v>4833</v>
      </c>
      <c r="H322" s="282" t="s">
        <v>4838</v>
      </c>
      <c r="I322" s="282">
        <v>12</v>
      </c>
      <c r="J322" s="282" t="s">
        <v>4834</v>
      </c>
      <c r="K322" s="282">
        <v>9.36</v>
      </c>
      <c r="L322" s="282" t="s">
        <v>4835</v>
      </c>
      <c r="M322" s="283">
        <f t="shared" si="8"/>
        <v>0.22000000000000006</v>
      </c>
      <c r="N322" s="282">
        <v>1512</v>
      </c>
      <c r="O322" s="282">
        <v>1</v>
      </c>
      <c r="P322" s="282">
        <v>1970</v>
      </c>
      <c r="Q322" s="282">
        <f>2023-Table28[[#This Row],[year_built]]</f>
        <v>53</v>
      </c>
      <c r="R322" s="282">
        <v>600</v>
      </c>
      <c r="S322" s="282" t="s">
        <v>4848</v>
      </c>
      <c r="T322" s="282" t="s">
        <v>4837</v>
      </c>
      <c r="U322" s="282">
        <v>2010</v>
      </c>
      <c r="V322" s="284">
        <f t="shared" si="9"/>
        <v>0.3968253968253968</v>
      </c>
      <c r="W322" s="292">
        <f>Table28[[#This Row],[$/sqft]]/INDEX(CPI!$A$3:$C$31,MATCH(Table28[[#This Row],[start_year]],CPI!$A$3:$A$31,0),3)</f>
        <v>0.55341106493104142</v>
      </c>
      <c r="X322" s="282" t="s">
        <v>4844</v>
      </c>
      <c r="Y322" s="282" t="s">
        <v>4839</v>
      </c>
      <c r="Z322" s="282" t="s">
        <v>4840</v>
      </c>
      <c r="AA322" s="282">
        <v>22</v>
      </c>
      <c r="AB322" s="55" t="s">
        <v>72</v>
      </c>
      <c r="AC322" t="s">
        <v>71</v>
      </c>
    </row>
    <row r="323" spans="1:29" x14ac:dyDescent="0.2">
      <c r="A323" s="282">
        <v>3005</v>
      </c>
      <c r="B323" s="282">
        <v>9032</v>
      </c>
      <c r="C323" s="282" t="s">
        <v>3410</v>
      </c>
      <c r="D323" s="282" t="str">
        <f>IF(Table28[[#This Row],[% Leakage Reduction (Calculated)]]&gt;0.4, "Greater than 40% Air Reduction", "Less than 40% Air Reduction")</f>
        <v>Less than 40% Air Reduction</v>
      </c>
      <c r="E323" s="282" t="s">
        <v>4831</v>
      </c>
      <c r="F323" s="282" t="s">
        <v>4832</v>
      </c>
      <c r="G323" s="282" t="s">
        <v>4833</v>
      </c>
      <c r="H323" s="282" t="s">
        <v>4838</v>
      </c>
      <c r="I323" s="282">
        <v>3.49</v>
      </c>
      <c r="J323" s="282" t="s">
        <v>4834</v>
      </c>
      <c r="K323" s="282">
        <v>3.1</v>
      </c>
      <c r="L323" s="282" t="s">
        <v>4835</v>
      </c>
      <c r="M323" s="283">
        <f t="shared" si="8"/>
        <v>0.11174785100286536</v>
      </c>
      <c r="N323" s="282">
        <v>2188</v>
      </c>
      <c r="O323" s="282">
        <v>1.75</v>
      </c>
      <c r="P323" s="282">
        <v>2010</v>
      </c>
      <c r="Q323" s="282">
        <f>2023-Table28[[#This Row],[year_built]]</f>
        <v>13</v>
      </c>
      <c r="R323" s="282">
        <v>1000</v>
      </c>
      <c r="S323" s="282" t="s">
        <v>4910</v>
      </c>
      <c r="T323" s="282" t="s">
        <v>4906</v>
      </c>
      <c r="U323" s="282">
        <v>2018</v>
      </c>
      <c r="V323" s="284">
        <f t="shared" si="9"/>
        <v>0.45703839122486289</v>
      </c>
      <c r="W323" s="292">
        <f>Table28[[#This Row],[$/sqft]]/INDEX(CPI!$A$3:$C$31,MATCH(Table28[[#This Row],[start_year]],CPI!$A$3:$A$31,0),3)</f>
        <v>0.55350607236750626</v>
      </c>
      <c r="X323" s="282"/>
      <c r="Y323" s="282" t="s">
        <v>217</v>
      </c>
      <c r="Z323" s="282" t="s">
        <v>4907</v>
      </c>
      <c r="AA323" s="282">
        <v>11.174785099999999</v>
      </c>
      <c r="AB323" s="55" t="s">
        <v>72</v>
      </c>
      <c r="AC323" t="s">
        <v>71</v>
      </c>
    </row>
    <row r="324" spans="1:29" x14ac:dyDescent="0.2">
      <c r="A324" s="282">
        <v>3075</v>
      </c>
      <c r="B324" s="282">
        <v>9331</v>
      </c>
      <c r="C324" s="282" t="s">
        <v>3410</v>
      </c>
      <c r="D324" s="282" t="str">
        <f>IF(Table28[[#This Row],[% Leakage Reduction (Calculated)]]&gt;0.4, "Greater than 40% Air Reduction", "Less than 40% Air Reduction")</f>
        <v>Less than 40% Air Reduction</v>
      </c>
      <c r="E324" s="282" t="s">
        <v>4831</v>
      </c>
      <c r="F324" s="282" t="s">
        <v>4832</v>
      </c>
      <c r="G324" s="282" t="s">
        <v>4833</v>
      </c>
      <c r="H324" s="282" t="s">
        <v>4838</v>
      </c>
      <c r="I324" s="282">
        <v>9.07</v>
      </c>
      <c r="J324" s="282" t="s">
        <v>4834</v>
      </c>
      <c r="K324" s="282">
        <v>6.82</v>
      </c>
      <c r="L324" s="282" t="s">
        <v>4835</v>
      </c>
      <c r="M324" s="283">
        <f t="shared" ref="M324:M387" si="10">ABS((I324-K324)/I324)</f>
        <v>0.24807056229327451</v>
      </c>
      <c r="N324" s="282">
        <v>3196</v>
      </c>
      <c r="O324" s="282">
        <v>2.1</v>
      </c>
      <c r="P324" s="282">
        <v>1998</v>
      </c>
      <c r="Q324" s="282">
        <f>2023-Table28[[#This Row],[year_built]]</f>
        <v>25</v>
      </c>
      <c r="R324" s="282">
        <v>1488</v>
      </c>
      <c r="S324" s="282" t="s">
        <v>4940</v>
      </c>
      <c r="T324" s="282" t="s">
        <v>4906</v>
      </c>
      <c r="U324" s="282">
        <v>2019</v>
      </c>
      <c r="V324" s="284">
        <f t="shared" ref="V324:V387" si="11">IFERROR(IF(R324/N324&lt;&gt;0, R324/N324, ""), "")</f>
        <v>0.46558197747183983</v>
      </c>
      <c r="W324" s="292">
        <f>Table28[[#This Row],[$/sqft]]/INDEX(CPI!$A$3:$C$31,MATCH(Table28[[#This Row],[start_year]],CPI!$A$3:$A$31,0),3)</f>
        <v>0.55370934434566488</v>
      </c>
      <c r="X324" s="282"/>
      <c r="Y324" s="282" t="s">
        <v>217</v>
      </c>
      <c r="Z324" s="282" t="s">
        <v>4840</v>
      </c>
      <c r="AA324" s="282">
        <v>24.807056230000001</v>
      </c>
      <c r="AB324" s="55" t="s">
        <v>72</v>
      </c>
      <c r="AC324" t="s">
        <v>71</v>
      </c>
    </row>
    <row r="325" spans="1:29" x14ac:dyDescent="0.2">
      <c r="A325" s="282">
        <v>3360</v>
      </c>
      <c r="B325" s="282">
        <v>10252</v>
      </c>
      <c r="C325" s="282" t="s">
        <v>3410</v>
      </c>
      <c r="D325" s="282" t="str">
        <f>IF(Table28[[#This Row],[% Leakage Reduction (Calculated)]]&gt;0.4, "Greater than 40% Air Reduction", "Less than 40% Air Reduction")</f>
        <v>Less than 40% Air Reduction</v>
      </c>
      <c r="E325" s="282" t="s">
        <v>4831</v>
      </c>
      <c r="F325" s="282" t="s">
        <v>4832</v>
      </c>
      <c r="G325" s="282" t="s">
        <v>4833</v>
      </c>
      <c r="H325" s="282" t="s">
        <v>4838</v>
      </c>
      <c r="I325" s="282">
        <v>11.36</v>
      </c>
      <c r="J325" s="282" t="s">
        <v>4834</v>
      </c>
      <c r="K325" s="282">
        <v>6.83</v>
      </c>
      <c r="L325" s="282" t="s">
        <v>4835</v>
      </c>
      <c r="M325" s="283">
        <f t="shared" si="10"/>
        <v>0.39876760563380276</v>
      </c>
      <c r="N325" s="282">
        <v>3176</v>
      </c>
      <c r="O325" s="282">
        <v>1.85</v>
      </c>
      <c r="P325" s="282">
        <v>1988</v>
      </c>
      <c r="Q325" s="282">
        <f>2023-Table28[[#This Row],[year_built]]</f>
        <v>35</v>
      </c>
      <c r="R325" s="282">
        <v>1500</v>
      </c>
      <c r="S325" s="282" t="s">
        <v>4956</v>
      </c>
      <c r="T325" s="282" t="s">
        <v>4906</v>
      </c>
      <c r="U325" s="282">
        <v>2020</v>
      </c>
      <c r="V325" s="284">
        <f t="shared" si="11"/>
        <v>0.47229219143576828</v>
      </c>
      <c r="W325" s="292">
        <f>Table28[[#This Row],[$/sqft]]/INDEX(CPI!$A$3:$C$31,MATCH(Table28[[#This Row],[start_year]],CPI!$A$3:$A$31,0),3)</f>
        <v>0.55496157424890702</v>
      </c>
      <c r="X325" s="282"/>
      <c r="Y325" s="282" t="s">
        <v>217</v>
      </c>
      <c r="Z325" s="282" t="s">
        <v>4840</v>
      </c>
      <c r="AA325" s="282">
        <v>39.876760560000001</v>
      </c>
      <c r="AB325" s="55" t="s">
        <v>72</v>
      </c>
      <c r="AC325" t="s">
        <v>71</v>
      </c>
    </row>
    <row r="326" spans="1:29" x14ac:dyDescent="0.2">
      <c r="A326" s="282">
        <v>3068</v>
      </c>
      <c r="B326" s="282">
        <v>9304</v>
      </c>
      <c r="C326" s="282" t="s">
        <v>3410</v>
      </c>
      <c r="D326" s="282" t="str">
        <f>IF(Table28[[#This Row],[% Leakage Reduction (Calculated)]]&gt;0.4, "Greater than 40% Air Reduction", "Less than 40% Air Reduction")</f>
        <v>Less than 40% Air Reduction</v>
      </c>
      <c r="E326" s="282" t="s">
        <v>4831</v>
      </c>
      <c r="F326" s="282" t="s">
        <v>4832</v>
      </c>
      <c r="G326" s="282" t="s">
        <v>4833</v>
      </c>
      <c r="H326" s="282" t="s">
        <v>4838</v>
      </c>
      <c r="I326" s="282">
        <v>9.6</v>
      </c>
      <c r="J326" s="282" t="s">
        <v>4834</v>
      </c>
      <c r="K326" s="282">
        <v>7.15</v>
      </c>
      <c r="L326" s="282" t="s">
        <v>4835</v>
      </c>
      <c r="M326" s="283">
        <f t="shared" si="10"/>
        <v>0.25520833333333326</v>
      </c>
      <c r="N326" s="282">
        <v>2388</v>
      </c>
      <c r="O326" s="282">
        <v>1</v>
      </c>
      <c r="P326" s="282">
        <v>1972</v>
      </c>
      <c r="Q326" s="282">
        <f>2023-Table28[[#This Row],[year_built]]</f>
        <v>51</v>
      </c>
      <c r="R326" s="282">
        <v>1116</v>
      </c>
      <c r="S326" s="282" t="s">
        <v>4936</v>
      </c>
      <c r="T326" s="282" t="s">
        <v>4906</v>
      </c>
      <c r="U326" s="282">
        <v>2019</v>
      </c>
      <c r="V326" s="284">
        <f t="shared" si="11"/>
        <v>0.46733668341708545</v>
      </c>
      <c r="W326" s="292">
        <f>Table28[[#This Row],[$/sqft]]/INDEX(CPI!$A$3:$C$31,MATCH(Table28[[#This Row],[start_year]],CPI!$A$3:$A$31,0),3)</f>
        <v>0.55579618860827418</v>
      </c>
      <c r="X326" s="282"/>
      <c r="Y326" s="282" t="s">
        <v>217</v>
      </c>
      <c r="Z326" s="282" t="s">
        <v>4840</v>
      </c>
      <c r="AA326" s="282">
        <v>25.520833329999999</v>
      </c>
      <c r="AB326" s="55" t="s">
        <v>72</v>
      </c>
      <c r="AC326" t="s">
        <v>71</v>
      </c>
    </row>
    <row r="327" spans="1:29" x14ac:dyDescent="0.2">
      <c r="A327" s="282">
        <v>5106</v>
      </c>
      <c r="B327" s="282">
        <v>12642</v>
      </c>
      <c r="C327" s="282" t="s">
        <v>3410</v>
      </c>
      <c r="D327" s="282" t="str">
        <f>IF(Table28[[#This Row],[% Leakage Reduction (Calculated)]]&gt;0.4, "Greater than 40% Air Reduction", "Less than 40% Air Reduction")</f>
        <v>Less than 40% Air Reduction</v>
      </c>
      <c r="E327" s="282" t="s">
        <v>4831</v>
      </c>
      <c r="F327" s="282" t="s">
        <v>4832</v>
      </c>
      <c r="G327" s="282" t="s">
        <v>4833</v>
      </c>
      <c r="H327" s="282" t="s">
        <v>4838</v>
      </c>
      <c r="I327" s="282">
        <v>1517</v>
      </c>
      <c r="J327" s="282" t="s">
        <v>4852</v>
      </c>
      <c r="K327" s="282">
        <v>1082</v>
      </c>
      <c r="L327" s="282" t="s">
        <v>4853</v>
      </c>
      <c r="M327" s="283">
        <f t="shared" si="10"/>
        <v>0.28675016479894527</v>
      </c>
      <c r="N327" s="282">
        <v>900</v>
      </c>
      <c r="O327" s="282"/>
      <c r="P327" s="282">
        <v>1967</v>
      </c>
      <c r="Q327" s="282">
        <f>2023-Table28[[#This Row],[year_built]]</f>
        <v>56</v>
      </c>
      <c r="R327" s="282">
        <v>421.08</v>
      </c>
      <c r="S327" s="282" t="s">
        <v>4900</v>
      </c>
      <c r="T327" s="282" t="s">
        <v>4979</v>
      </c>
      <c r="U327" s="282">
        <v>2019</v>
      </c>
      <c r="V327" s="284">
        <f t="shared" si="11"/>
        <v>0.46786666666666665</v>
      </c>
      <c r="W327" s="292">
        <f>Table28[[#This Row],[$/sqft]]/INDEX(CPI!$A$3:$C$31,MATCH(Table28[[#This Row],[start_year]],CPI!$A$3:$A$31,0),3)</f>
        <v>0.55642648937557038</v>
      </c>
      <c r="X327" s="282" t="s">
        <v>4844</v>
      </c>
      <c r="Y327" s="282"/>
      <c r="Z327" s="282" t="s">
        <v>4840</v>
      </c>
      <c r="AA327" s="282">
        <v>28.67501648</v>
      </c>
      <c r="AB327" s="55" t="s">
        <v>72</v>
      </c>
      <c r="AC327" t="s">
        <v>71</v>
      </c>
    </row>
    <row r="328" spans="1:29" x14ac:dyDescent="0.2">
      <c r="A328" s="282">
        <v>5159</v>
      </c>
      <c r="B328" s="282">
        <v>12970</v>
      </c>
      <c r="C328" s="282" t="s">
        <v>3410</v>
      </c>
      <c r="D328" s="282" t="str">
        <f>IF(Table28[[#This Row],[% Leakage Reduction (Calculated)]]&gt;0.4, "Greater than 40% Air Reduction", "Less than 40% Air Reduction")</f>
        <v>Less than 40% Air Reduction</v>
      </c>
      <c r="E328" s="282" t="s">
        <v>4831</v>
      </c>
      <c r="F328" s="282" t="s">
        <v>4832</v>
      </c>
      <c r="G328" s="282" t="s">
        <v>4833</v>
      </c>
      <c r="H328" s="282" t="s">
        <v>4972</v>
      </c>
      <c r="I328" s="282">
        <v>3894</v>
      </c>
      <c r="J328" s="282" t="s">
        <v>4852</v>
      </c>
      <c r="K328" s="282">
        <v>2551</v>
      </c>
      <c r="L328" s="282" t="s">
        <v>4853</v>
      </c>
      <c r="M328" s="283">
        <f t="shared" si="10"/>
        <v>0.344889573703133</v>
      </c>
      <c r="N328" s="282">
        <v>2128</v>
      </c>
      <c r="O328" s="282"/>
      <c r="P328" s="282">
        <v>1999</v>
      </c>
      <c r="Q328" s="282">
        <f>2023-Table28[[#This Row],[year_built]]</f>
        <v>24</v>
      </c>
      <c r="R328" s="282">
        <v>962</v>
      </c>
      <c r="S328" s="282" t="s">
        <v>4997</v>
      </c>
      <c r="T328" s="282" t="s">
        <v>4979</v>
      </c>
      <c r="U328" s="282">
        <v>2017</v>
      </c>
      <c r="V328" s="284">
        <f t="shared" si="11"/>
        <v>0.45206766917293234</v>
      </c>
      <c r="W328" s="292">
        <f>Table28[[#This Row],[$/sqft]]/INDEX(CPI!$A$3:$C$31,MATCH(Table28[[#This Row],[start_year]],CPI!$A$3:$A$31,0),3)</f>
        <v>0.56088852792937061</v>
      </c>
      <c r="X328" s="282" t="s">
        <v>4844</v>
      </c>
      <c r="Y328" s="282"/>
      <c r="Z328" s="282" t="s">
        <v>4840</v>
      </c>
      <c r="AA328" s="282">
        <v>34.488957370000001</v>
      </c>
      <c r="AB328" s="55" t="s">
        <v>72</v>
      </c>
      <c r="AC328" t="s">
        <v>71</v>
      </c>
    </row>
    <row r="329" spans="1:29" x14ac:dyDescent="0.2">
      <c r="A329" s="282">
        <v>5022</v>
      </c>
      <c r="B329" s="282">
        <v>12132</v>
      </c>
      <c r="C329" s="282" t="s">
        <v>3410</v>
      </c>
      <c r="D329" s="282" t="str">
        <f>IF(Table28[[#This Row],[% Leakage Reduction (Calculated)]]&gt;0.4, "Greater than 40% Air Reduction", "Less than 40% Air Reduction")</f>
        <v>Less than 40% Air Reduction</v>
      </c>
      <c r="E329" s="282" t="s">
        <v>4831</v>
      </c>
      <c r="F329" s="282" t="s">
        <v>4832</v>
      </c>
      <c r="G329" s="282" t="s">
        <v>4833</v>
      </c>
      <c r="H329" s="282" t="s">
        <v>4838</v>
      </c>
      <c r="I329" s="282">
        <v>2791</v>
      </c>
      <c r="J329" s="282" t="s">
        <v>4852</v>
      </c>
      <c r="K329" s="282">
        <v>2491</v>
      </c>
      <c r="L329" s="282" t="s">
        <v>4853</v>
      </c>
      <c r="M329" s="283">
        <f t="shared" si="10"/>
        <v>0.10748835542816194</v>
      </c>
      <c r="N329" s="282">
        <v>1830</v>
      </c>
      <c r="O329" s="282"/>
      <c r="P329" s="282">
        <v>1995</v>
      </c>
      <c r="Q329" s="282">
        <f>2023-Table28[[#This Row],[year_built]]</f>
        <v>28</v>
      </c>
      <c r="R329" s="282">
        <v>872.27</v>
      </c>
      <c r="S329" s="282" t="s">
        <v>4982</v>
      </c>
      <c r="T329" s="282" t="s">
        <v>4979</v>
      </c>
      <c r="U329" s="282">
        <v>2019</v>
      </c>
      <c r="V329" s="284">
        <f t="shared" si="11"/>
        <v>0.47665027322404369</v>
      </c>
      <c r="W329" s="292">
        <f>Table28[[#This Row],[$/sqft]]/INDEX(CPI!$A$3:$C$31,MATCH(Table28[[#This Row],[start_year]],CPI!$A$3:$A$31,0),3)</f>
        <v>0.56687269490587289</v>
      </c>
      <c r="X329" s="282" t="s">
        <v>1241</v>
      </c>
      <c r="Y329" s="282"/>
      <c r="Z329" s="282" t="s">
        <v>4840</v>
      </c>
      <c r="AA329" s="282">
        <v>10.74883554</v>
      </c>
      <c r="AB329" s="55" t="s">
        <v>72</v>
      </c>
      <c r="AC329" t="s">
        <v>71</v>
      </c>
    </row>
    <row r="330" spans="1:29" x14ac:dyDescent="0.2">
      <c r="A330" s="282">
        <v>5045</v>
      </c>
      <c r="B330" s="282">
        <v>12277</v>
      </c>
      <c r="C330" s="282" t="s">
        <v>3410</v>
      </c>
      <c r="D330" s="282" t="str">
        <f>IF(Table28[[#This Row],[% Leakage Reduction (Calculated)]]&gt;0.4, "Greater than 40% Air Reduction", "Less than 40% Air Reduction")</f>
        <v>Less than 40% Air Reduction</v>
      </c>
      <c r="E330" s="282" t="s">
        <v>4831</v>
      </c>
      <c r="F330" s="282" t="s">
        <v>4832</v>
      </c>
      <c r="G330" s="282" t="s">
        <v>4833</v>
      </c>
      <c r="H330" s="282" t="s">
        <v>4972</v>
      </c>
      <c r="I330" s="282">
        <v>2780</v>
      </c>
      <c r="J330" s="282" t="s">
        <v>4852</v>
      </c>
      <c r="K330" s="282">
        <v>1769</v>
      </c>
      <c r="L330" s="282" t="s">
        <v>4853</v>
      </c>
      <c r="M330" s="283">
        <f t="shared" si="10"/>
        <v>0.36366906474820143</v>
      </c>
      <c r="N330" s="282">
        <v>1625</v>
      </c>
      <c r="O330" s="282"/>
      <c r="P330" s="282">
        <v>1989</v>
      </c>
      <c r="Q330" s="282">
        <f>2023-Table28[[#This Row],[year_built]]</f>
        <v>34</v>
      </c>
      <c r="R330" s="282">
        <v>747</v>
      </c>
      <c r="S330" s="282" t="s">
        <v>4988</v>
      </c>
      <c r="T330" s="282" t="s">
        <v>4979</v>
      </c>
      <c r="U330" s="282">
        <v>2017</v>
      </c>
      <c r="V330" s="284">
        <f t="shared" si="11"/>
        <v>0.45969230769230768</v>
      </c>
      <c r="W330" s="292">
        <f>Table28[[#This Row],[$/sqft]]/INDEX(CPI!$A$3:$C$31,MATCH(Table28[[#This Row],[start_year]],CPI!$A$3:$A$31,0),3)</f>
        <v>0.57034855475002355</v>
      </c>
      <c r="X330" s="282" t="s">
        <v>4844</v>
      </c>
      <c r="Y330" s="282"/>
      <c r="Z330" s="282" t="s">
        <v>4840</v>
      </c>
      <c r="AA330" s="282">
        <v>36.366906470000004</v>
      </c>
      <c r="AB330" s="55" t="s">
        <v>72</v>
      </c>
      <c r="AC330" t="s">
        <v>71</v>
      </c>
    </row>
    <row r="331" spans="1:29" x14ac:dyDescent="0.2">
      <c r="A331" s="282">
        <v>3154</v>
      </c>
      <c r="B331" s="282">
        <v>9630</v>
      </c>
      <c r="C331" s="282" t="s">
        <v>3410</v>
      </c>
      <c r="D331" s="282" t="str">
        <f>IF(Table28[[#This Row],[% Leakage Reduction (Calculated)]]&gt;0.4, "Greater than 40% Air Reduction", "Less than 40% Air Reduction")</f>
        <v>Less than 40% Air Reduction</v>
      </c>
      <c r="E331" s="282" t="s">
        <v>4831</v>
      </c>
      <c r="F331" s="282" t="s">
        <v>4832</v>
      </c>
      <c r="G331" s="282" t="s">
        <v>4833</v>
      </c>
      <c r="H331" s="282" t="s">
        <v>4838</v>
      </c>
      <c r="I331" s="282">
        <v>10.96</v>
      </c>
      <c r="J331" s="282" t="s">
        <v>4834</v>
      </c>
      <c r="K331" s="282">
        <v>8.1999999999999993</v>
      </c>
      <c r="L331" s="282" t="s">
        <v>4835</v>
      </c>
      <c r="M331" s="283">
        <f t="shared" si="10"/>
        <v>0.25182481751824831</v>
      </c>
      <c r="N331" s="282">
        <v>2082</v>
      </c>
      <c r="O331" s="282">
        <v>2</v>
      </c>
      <c r="P331" s="282">
        <v>1953</v>
      </c>
      <c r="Q331" s="282">
        <f>2023-Table28[[#This Row],[year_built]]</f>
        <v>70</v>
      </c>
      <c r="R331" s="282">
        <v>1000</v>
      </c>
      <c r="S331" s="282" t="s">
        <v>4953</v>
      </c>
      <c r="T331" s="282" t="s">
        <v>4906</v>
      </c>
      <c r="U331" s="282">
        <v>2019</v>
      </c>
      <c r="V331" s="284">
        <f t="shared" si="11"/>
        <v>0.48030739673390971</v>
      </c>
      <c r="W331" s="292">
        <f>Table28[[#This Row],[$/sqft]]/INDEX(CPI!$A$3:$C$31,MATCH(Table28[[#This Row],[start_year]],CPI!$A$3:$A$31,0),3)</f>
        <v>0.57122205454353525</v>
      </c>
      <c r="X331" s="282"/>
      <c r="Y331" s="282" t="s">
        <v>217</v>
      </c>
      <c r="Z331" s="282" t="s">
        <v>4907</v>
      </c>
      <c r="AA331" s="282">
        <v>25.182481750000001</v>
      </c>
      <c r="AB331" s="55" t="s">
        <v>72</v>
      </c>
      <c r="AC331" t="s">
        <v>71</v>
      </c>
    </row>
    <row r="332" spans="1:29" x14ac:dyDescent="0.2">
      <c r="A332" s="282">
        <v>5200</v>
      </c>
      <c r="B332" s="282">
        <v>13201</v>
      </c>
      <c r="C332" s="282" t="s">
        <v>3410</v>
      </c>
      <c r="D332" s="282" t="str">
        <f>IF(Table28[[#This Row],[% Leakage Reduction (Calculated)]]&gt;0.4, "Greater than 40% Air Reduction", "Less than 40% Air Reduction")</f>
        <v>Less than 40% Air Reduction</v>
      </c>
      <c r="E332" s="282" t="s">
        <v>4831</v>
      </c>
      <c r="F332" s="282" t="s">
        <v>4832</v>
      </c>
      <c r="G332" s="282" t="s">
        <v>4833</v>
      </c>
      <c r="H332" s="282" t="s">
        <v>4972</v>
      </c>
      <c r="I332" s="282">
        <v>1428</v>
      </c>
      <c r="J332" s="282" t="s">
        <v>4852</v>
      </c>
      <c r="K332" s="282">
        <v>1220</v>
      </c>
      <c r="L332" s="282" t="s">
        <v>4853</v>
      </c>
      <c r="M332" s="283">
        <f t="shared" si="10"/>
        <v>0.14565826330532214</v>
      </c>
      <c r="N332" s="282">
        <v>850</v>
      </c>
      <c r="O332" s="282"/>
      <c r="P332" s="282">
        <v>1996</v>
      </c>
      <c r="Q332" s="282">
        <f>2023-Table28[[#This Row],[year_built]]</f>
        <v>27</v>
      </c>
      <c r="R332" s="282">
        <v>402</v>
      </c>
      <c r="S332" s="282" t="s">
        <v>4980</v>
      </c>
      <c r="T332" s="282" t="s">
        <v>4979</v>
      </c>
      <c r="U332" s="282">
        <v>2018</v>
      </c>
      <c r="V332" s="284">
        <f t="shared" si="11"/>
        <v>0.47294117647058825</v>
      </c>
      <c r="W332" s="292">
        <f>Table28[[#This Row],[$/sqft]]/INDEX(CPI!$A$3:$C$31,MATCH(Table28[[#This Row],[start_year]],CPI!$A$3:$A$31,0),3)</f>
        <v>0.57276547895143726</v>
      </c>
      <c r="X332" s="282" t="s">
        <v>4844</v>
      </c>
      <c r="Y332" s="282"/>
      <c r="Z332" s="282" t="s">
        <v>4840</v>
      </c>
      <c r="AA332" s="282">
        <v>14.56582633</v>
      </c>
      <c r="AB332" s="55" t="s">
        <v>72</v>
      </c>
      <c r="AC332" t="s">
        <v>71</v>
      </c>
    </row>
    <row r="333" spans="1:29" x14ac:dyDescent="0.2">
      <c r="A333" s="282">
        <v>5036</v>
      </c>
      <c r="B333" s="282">
        <v>12222</v>
      </c>
      <c r="C333" s="282" t="s">
        <v>3410</v>
      </c>
      <c r="D333" s="282" t="str">
        <f>IF(Table28[[#This Row],[% Leakage Reduction (Calculated)]]&gt;0.4, "Greater than 40% Air Reduction", "Less than 40% Air Reduction")</f>
        <v>Less than 40% Air Reduction</v>
      </c>
      <c r="E333" s="282" t="s">
        <v>4831</v>
      </c>
      <c r="F333" s="282" t="s">
        <v>4832</v>
      </c>
      <c r="G333" s="282" t="s">
        <v>4833</v>
      </c>
      <c r="H333" s="282" t="s">
        <v>4972</v>
      </c>
      <c r="I333" s="282">
        <v>1680</v>
      </c>
      <c r="J333" s="282" t="s">
        <v>4852</v>
      </c>
      <c r="K333" s="282">
        <v>1463</v>
      </c>
      <c r="L333" s="282" t="s">
        <v>4853</v>
      </c>
      <c r="M333" s="283">
        <f t="shared" si="10"/>
        <v>0.12916666666666668</v>
      </c>
      <c r="N333" s="282">
        <v>1200</v>
      </c>
      <c r="O333" s="282"/>
      <c r="P333" s="282">
        <v>2005</v>
      </c>
      <c r="Q333" s="282">
        <f>2023-Table28[[#This Row],[year_built]]</f>
        <v>18</v>
      </c>
      <c r="R333" s="282">
        <v>570.54999999999995</v>
      </c>
      <c r="S333" s="282" t="s">
        <v>4980</v>
      </c>
      <c r="T333" s="282" t="s">
        <v>4979</v>
      </c>
      <c r="U333" s="282">
        <v>2018</v>
      </c>
      <c r="V333" s="284">
        <f t="shared" si="11"/>
        <v>0.47545833333333332</v>
      </c>
      <c r="W333" s="292">
        <f>Table28[[#This Row],[$/sqft]]/INDEX(CPI!$A$3:$C$31,MATCH(Table28[[#This Row],[start_year]],CPI!$A$3:$A$31,0),3)</f>
        <v>0.5758139353511218</v>
      </c>
      <c r="X333" s="282" t="s">
        <v>1241</v>
      </c>
      <c r="Y333" s="282"/>
      <c r="Z333" s="282" t="s">
        <v>4840</v>
      </c>
      <c r="AA333" s="282">
        <v>12.91666667</v>
      </c>
      <c r="AB333" s="55" t="s">
        <v>72</v>
      </c>
      <c r="AC333" t="s">
        <v>71</v>
      </c>
    </row>
    <row r="334" spans="1:29" x14ac:dyDescent="0.2">
      <c r="A334" s="282">
        <v>5257</v>
      </c>
      <c r="B334" s="282">
        <v>13517</v>
      </c>
      <c r="C334" s="282" t="s">
        <v>3410</v>
      </c>
      <c r="D334" s="282" t="str">
        <f>IF(Table28[[#This Row],[% Leakage Reduction (Calculated)]]&gt;0.4, "Greater than 40% Air Reduction", "Less than 40% Air Reduction")</f>
        <v>Less than 40% Air Reduction</v>
      </c>
      <c r="E334" s="282" t="s">
        <v>4831</v>
      </c>
      <c r="F334" s="282" t="s">
        <v>4832</v>
      </c>
      <c r="G334" s="282" t="s">
        <v>4833</v>
      </c>
      <c r="H334" s="282" t="s">
        <v>4972</v>
      </c>
      <c r="I334" s="282">
        <v>3180</v>
      </c>
      <c r="J334" s="282" t="s">
        <v>4852</v>
      </c>
      <c r="K334" s="282">
        <v>2678</v>
      </c>
      <c r="L334" s="282" t="s">
        <v>4853</v>
      </c>
      <c r="M334" s="283">
        <f t="shared" si="10"/>
        <v>0.15786163522012578</v>
      </c>
      <c r="N334" s="282">
        <v>1000</v>
      </c>
      <c r="O334" s="282"/>
      <c r="P334" s="282">
        <v>1987</v>
      </c>
      <c r="Q334" s="282">
        <f>2023-Table28[[#This Row],[year_built]]</f>
        <v>36</v>
      </c>
      <c r="R334" s="282">
        <v>476.45</v>
      </c>
      <c r="S334" s="282" t="s">
        <v>4984</v>
      </c>
      <c r="T334" s="282" t="s">
        <v>4979</v>
      </c>
      <c r="U334" s="282">
        <v>2018</v>
      </c>
      <c r="V334" s="284">
        <f t="shared" si="11"/>
        <v>0.47644999999999998</v>
      </c>
      <c r="W334" s="292">
        <f>Table28[[#This Row],[$/sqft]]/INDEX(CPI!$A$3:$C$31,MATCH(Table28[[#This Row],[start_year]],CPI!$A$3:$A$31,0),3)</f>
        <v>0.57701491437674235</v>
      </c>
      <c r="X334" s="282" t="s">
        <v>4844</v>
      </c>
      <c r="Y334" s="282"/>
      <c r="Z334" s="282" t="s">
        <v>4840</v>
      </c>
      <c r="AA334" s="282">
        <v>15.786163520000001</v>
      </c>
      <c r="AB334" s="55" t="s">
        <v>72</v>
      </c>
      <c r="AC334" t="s">
        <v>71</v>
      </c>
    </row>
    <row r="335" spans="1:29" x14ac:dyDescent="0.2">
      <c r="A335" s="282">
        <v>3070</v>
      </c>
      <c r="B335" s="282">
        <v>9313</v>
      </c>
      <c r="C335" s="282" t="s">
        <v>3410</v>
      </c>
      <c r="D335" s="282" t="str">
        <f>IF(Table28[[#This Row],[% Leakage Reduction (Calculated)]]&gt;0.4, "Greater than 40% Air Reduction", "Less than 40% Air Reduction")</f>
        <v>Less than 40% Air Reduction</v>
      </c>
      <c r="E335" s="282" t="s">
        <v>4831</v>
      </c>
      <c r="F335" s="282" t="s">
        <v>4832</v>
      </c>
      <c r="G335" s="282" t="s">
        <v>4833</v>
      </c>
      <c r="H335" s="282" t="s">
        <v>4838</v>
      </c>
      <c r="I335" s="282">
        <v>8.92</v>
      </c>
      <c r="J335" s="282" t="s">
        <v>4834</v>
      </c>
      <c r="K335" s="282">
        <v>7.34</v>
      </c>
      <c r="L335" s="282" t="s">
        <v>4835</v>
      </c>
      <c r="M335" s="283">
        <f t="shared" si="10"/>
        <v>0.17713004484304934</v>
      </c>
      <c r="N335" s="282">
        <v>2280</v>
      </c>
      <c r="O335" s="282">
        <v>1</v>
      </c>
      <c r="P335" s="282">
        <v>1963</v>
      </c>
      <c r="Q335" s="282">
        <f>2023-Table28[[#This Row],[year_built]]</f>
        <v>60</v>
      </c>
      <c r="R335" s="282">
        <v>1116</v>
      </c>
      <c r="S335" s="282" t="s">
        <v>4936</v>
      </c>
      <c r="T335" s="282" t="s">
        <v>4906</v>
      </c>
      <c r="U335" s="282">
        <v>2019</v>
      </c>
      <c r="V335" s="284">
        <f t="shared" si="11"/>
        <v>0.48947368421052634</v>
      </c>
      <c r="W335" s="292">
        <f>Table28[[#This Row],[$/sqft]]/INDEX(CPI!$A$3:$C$31,MATCH(Table28[[#This Row],[start_year]],CPI!$A$3:$A$31,0),3)</f>
        <v>0.58212337648971868</v>
      </c>
      <c r="X335" s="282"/>
      <c r="Y335" s="282" t="s">
        <v>217</v>
      </c>
      <c r="Z335" s="282" t="s">
        <v>4907</v>
      </c>
      <c r="AA335" s="282">
        <v>17.713004479999999</v>
      </c>
      <c r="AB335" s="55" t="s">
        <v>72</v>
      </c>
      <c r="AC335" t="s">
        <v>71</v>
      </c>
    </row>
    <row r="336" spans="1:29" x14ac:dyDescent="0.2">
      <c r="A336" s="282">
        <v>5238</v>
      </c>
      <c r="B336" s="282">
        <v>13409</v>
      </c>
      <c r="C336" s="282" t="s">
        <v>3410</v>
      </c>
      <c r="D336" s="282" t="str">
        <f>IF(Table28[[#This Row],[% Leakage Reduction (Calculated)]]&gt;0.4, "Greater than 40% Air Reduction", "Less than 40% Air Reduction")</f>
        <v>Greater than 40% Air Reduction</v>
      </c>
      <c r="E336" s="282" t="s">
        <v>4831</v>
      </c>
      <c r="F336" s="282" t="s">
        <v>4832</v>
      </c>
      <c r="G336" s="282" t="s">
        <v>4833</v>
      </c>
      <c r="H336" s="282" t="s">
        <v>4972</v>
      </c>
      <c r="I336" s="282">
        <v>4817</v>
      </c>
      <c r="J336" s="282" t="s">
        <v>4852</v>
      </c>
      <c r="K336" s="282">
        <v>2084</v>
      </c>
      <c r="L336" s="282" t="s">
        <v>4853</v>
      </c>
      <c r="M336" s="283">
        <f t="shared" si="10"/>
        <v>0.56736558023666184</v>
      </c>
      <c r="N336" s="282">
        <v>1755</v>
      </c>
      <c r="O336" s="282"/>
      <c r="P336" s="282">
        <v>1997</v>
      </c>
      <c r="Q336" s="282">
        <f>2023-Table28[[#This Row],[year_built]]</f>
        <v>26</v>
      </c>
      <c r="R336" s="282">
        <v>827.7</v>
      </c>
      <c r="S336" s="282" t="s">
        <v>4998</v>
      </c>
      <c r="T336" s="282" t="s">
        <v>4979</v>
      </c>
      <c r="U336" s="282">
        <v>2017</v>
      </c>
      <c r="V336" s="284">
        <f t="shared" si="11"/>
        <v>0.47162393162393162</v>
      </c>
      <c r="W336" s="292">
        <f>Table28[[#This Row],[$/sqft]]/INDEX(CPI!$A$3:$C$31,MATCH(Table28[[#This Row],[start_year]],CPI!$A$3:$A$31,0),3)</f>
        <v>0.58515233621720775</v>
      </c>
      <c r="X336" s="282" t="s">
        <v>1241</v>
      </c>
      <c r="Y336" s="282"/>
      <c r="Z336" s="282" t="s">
        <v>4840</v>
      </c>
      <c r="AA336" s="282">
        <v>56.736558019999997</v>
      </c>
      <c r="AB336" s="55" t="s">
        <v>72</v>
      </c>
      <c r="AC336" t="s">
        <v>71</v>
      </c>
    </row>
    <row r="337" spans="1:29" x14ac:dyDescent="0.2">
      <c r="A337" s="282">
        <v>5197</v>
      </c>
      <c r="B337" s="282">
        <v>13189</v>
      </c>
      <c r="C337" s="282" t="s">
        <v>3410</v>
      </c>
      <c r="D337" s="282" t="str">
        <f>IF(Table28[[#This Row],[% Leakage Reduction (Calculated)]]&gt;0.4, "Greater than 40% Air Reduction", "Less than 40% Air Reduction")</f>
        <v>Less than 40% Air Reduction</v>
      </c>
      <c r="E337" s="282" t="s">
        <v>4831</v>
      </c>
      <c r="F337" s="282" t="s">
        <v>4832</v>
      </c>
      <c r="G337" s="282" t="s">
        <v>4833</v>
      </c>
      <c r="H337" s="282" t="s">
        <v>4972</v>
      </c>
      <c r="I337" s="282">
        <v>2339</v>
      </c>
      <c r="J337" s="282" t="s">
        <v>4852</v>
      </c>
      <c r="K337" s="282">
        <v>1760</v>
      </c>
      <c r="L337" s="282" t="s">
        <v>4853</v>
      </c>
      <c r="M337" s="283">
        <f t="shared" si="10"/>
        <v>0.24754168448054725</v>
      </c>
      <c r="N337" s="282">
        <v>1431</v>
      </c>
      <c r="O337" s="282"/>
      <c r="P337" s="282">
        <v>2003</v>
      </c>
      <c r="Q337" s="282">
        <f>2023-Table28[[#This Row],[year_built]]</f>
        <v>20</v>
      </c>
      <c r="R337" s="282">
        <v>691.65</v>
      </c>
      <c r="S337" s="282" t="s">
        <v>4900</v>
      </c>
      <c r="T337" s="282" t="s">
        <v>4979</v>
      </c>
      <c r="U337" s="282">
        <v>2018</v>
      </c>
      <c r="V337" s="284">
        <f t="shared" si="11"/>
        <v>0.48333333333333334</v>
      </c>
      <c r="W337" s="292">
        <f>Table28[[#This Row],[$/sqft]]/INDEX(CPI!$A$3:$C$31,MATCH(Table28[[#This Row],[start_year]],CPI!$A$3:$A$31,0),3)</f>
        <v>0.58535112173105008</v>
      </c>
      <c r="X337" s="282" t="s">
        <v>4844</v>
      </c>
      <c r="Y337" s="282"/>
      <c r="Z337" s="282" t="s">
        <v>4840</v>
      </c>
      <c r="AA337" s="282">
        <v>24.754168450000002</v>
      </c>
      <c r="AB337" s="55" t="s">
        <v>72</v>
      </c>
      <c r="AC337" t="s">
        <v>71</v>
      </c>
    </row>
    <row r="338" spans="1:29" x14ac:dyDescent="0.2">
      <c r="A338" s="282">
        <v>5048</v>
      </c>
      <c r="B338" s="282">
        <v>12295</v>
      </c>
      <c r="C338" s="282" t="s">
        <v>3410</v>
      </c>
      <c r="D338" s="282" t="str">
        <f>IF(Table28[[#This Row],[% Leakage Reduction (Calculated)]]&gt;0.4, "Greater than 40% Air Reduction", "Less than 40% Air Reduction")</f>
        <v>Less than 40% Air Reduction</v>
      </c>
      <c r="E338" s="282" t="s">
        <v>4831</v>
      </c>
      <c r="F338" s="282" t="s">
        <v>4832</v>
      </c>
      <c r="G338" s="282" t="s">
        <v>4833</v>
      </c>
      <c r="H338" s="282" t="s">
        <v>4838</v>
      </c>
      <c r="I338" s="282">
        <v>2202</v>
      </c>
      <c r="J338" s="282" t="s">
        <v>4852</v>
      </c>
      <c r="K338" s="282">
        <v>1747</v>
      </c>
      <c r="L338" s="282" t="s">
        <v>4853</v>
      </c>
      <c r="M338" s="283">
        <f t="shared" si="10"/>
        <v>0.20663033605812897</v>
      </c>
      <c r="N338" s="282">
        <v>1260</v>
      </c>
      <c r="O338" s="282"/>
      <c r="P338" s="282">
        <v>1966</v>
      </c>
      <c r="Q338" s="282">
        <f>2023-Table28[[#This Row],[year_built]]</f>
        <v>57</v>
      </c>
      <c r="R338" s="282">
        <v>622.83000000000004</v>
      </c>
      <c r="S338" s="282" t="s">
        <v>4981</v>
      </c>
      <c r="T338" s="282" t="s">
        <v>4979</v>
      </c>
      <c r="U338" s="282">
        <v>2019</v>
      </c>
      <c r="V338" s="284">
        <f t="shared" si="11"/>
        <v>0.49430952380952387</v>
      </c>
      <c r="W338" s="292">
        <f>Table28[[#This Row],[$/sqft]]/INDEX(CPI!$A$3:$C$31,MATCH(Table28[[#This Row],[start_year]],CPI!$A$3:$A$31,0),3)</f>
        <v>0.58787456468704036</v>
      </c>
      <c r="X338" s="282" t="s">
        <v>4844</v>
      </c>
      <c r="Y338" s="282"/>
      <c r="Z338" s="282" t="s">
        <v>4840</v>
      </c>
      <c r="AA338" s="282">
        <v>20.663033609999999</v>
      </c>
      <c r="AB338" s="55" t="s">
        <v>72</v>
      </c>
      <c r="AC338" t="s">
        <v>71</v>
      </c>
    </row>
    <row r="339" spans="1:29" x14ac:dyDescent="0.2">
      <c r="A339" s="282">
        <v>5107</v>
      </c>
      <c r="B339" s="282">
        <v>12650</v>
      </c>
      <c r="C339" s="282" t="s">
        <v>3410</v>
      </c>
      <c r="D339" s="282" t="str">
        <f>IF(Table28[[#This Row],[% Leakage Reduction (Calculated)]]&gt;0.4, "Greater than 40% Air Reduction", "Less than 40% Air Reduction")</f>
        <v>Less than 40% Air Reduction</v>
      </c>
      <c r="E339" s="282" t="s">
        <v>4831</v>
      </c>
      <c r="F339" s="282" t="s">
        <v>4832</v>
      </c>
      <c r="G339" s="282" t="s">
        <v>4833</v>
      </c>
      <c r="H339" s="282" t="s">
        <v>4838</v>
      </c>
      <c r="I339" s="282">
        <v>2613</v>
      </c>
      <c r="J339" s="282" t="s">
        <v>4852</v>
      </c>
      <c r="K339" s="282">
        <v>2050</v>
      </c>
      <c r="L339" s="282" t="s">
        <v>4853</v>
      </c>
      <c r="M339" s="283">
        <f t="shared" si="10"/>
        <v>0.21546115575966321</v>
      </c>
      <c r="N339" s="282">
        <v>1800</v>
      </c>
      <c r="O339" s="282"/>
      <c r="P339" s="282">
        <v>1975</v>
      </c>
      <c r="Q339" s="282">
        <f>2023-Table28[[#This Row],[year_built]]</f>
        <v>48</v>
      </c>
      <c r="R339" s="282">
        <v>877.12</v>
      </c>
      <c r="S339" s="282" t="s">
        <v>4900</v>
      </c>
      <c r="T339" s="282" t="s">
        <v>4979</v>
      </c>
      <c r="U339" s="282">
        <v>2018</v>
      </c>
      <c r="V339" s="284">
        <f t="shared" si="11"/>
        <v>0.48728888888888888</v>
      </c>
      <c r="W339" s="292">
        <f>Table28[[#This Row],[$/sqft]]/INDEX(CPI!$A$3:$C$31,MATCH(Table28[[#This Row],[start_year]],CPI!$A$3:$A$31,0),3)</f>
        <v>0.59014158148590645</v>
      </c>
      <c r="X339" s="282" t="s">
        <v>1241</v>
      </c>
      <c r="Y339" s="282"/>
      <c r="Z339" s="282" t="s">
        <v>4840</v>
      </c>
      <c r="AA339" s="282">
        <v>21.546115579999999</v>
      </c>
      <c r="AB339" s="55" t="s">
        <v>72</v>
      </c>
      <c r="AC339" t="s">
        <v>71</v>
      </c>
    </row>
    <row r="340" spans="1:29" x14ac:dyDescent="0.2">
      <c r="A340" s="282">
        <v>3043</v>
      </c>
      <c r="B340" s="282">
        <v>9203</v>
      </c>
      <c r="C340" s="282" t="s">
        <v>3410</v>
      </c>
      <c r="D340" s="282" t="str">
        <f>IF(Table28[[#This Row],[% Leakage Reduction (Calculated)]]&gt;0.4, "Greater than 40% Air Reduction", "Less than 40% Air Reduction")</f>
        <v>Less than 40% Air Reduction</v>
      </c>
      <c r="E340" s="282" t="s">
        <v>4831</v>
      </c>
      <c r="F340" s="282" t="s">
        <v>4832</v>
      </c>
      <c r="G340" s="282" t="s">
        <v>4833</v>
      </c>
      <c r="H340" s="282" t="s">
        <v>4838</v>
      </c>
      <c r="I340" s="282">
        <v>27.25</v>
      </c>
      <c r="J340" s="282" t="s">
        <v>4834</v>
      </c>
      <c r="K340" s="282">
        <v>19.600000000000001</v>
      </c>
      <c r="L340" s="282" t="s">
        <v>4835</v>
      </c>
      <c r="M340" s="283">
        <f t="shared" si="10"/>
        <v>0.2807339449541284</v>
      </c>
      <c r="N340" s="282">
        <v>720</v>
      </c>
      <c r="O340" s="282">
        <v>1</v>
      </c>
      <c r="P340" s="282">
        <v>1910</v>
      </c>
      <c r="Q340" s="282">
        <f>2023-Table28[[#This Row],[year_built]]</f>
        <v>113</v>
      </c>
      <c r="R340" s="282">
        <v>351.4</v>
      </c>
      <c r="S340" s="282" t="s">
        <v>4928</v>
      </c>
      <c r="T340" s="282" t="s">
        <v>4906</v>
      </c>
      <c r="U340" s="282">
        <v>2018</v>
      </c>
      <c r="V340" s="284">
        <f t="shared" si="11"/>
        <v>0.48805555555555552</v>
      </c>
      <c r="W340" s="292">
        <f>Table28[[#This Row],[$/sqft]]/INDEX(CPI!$A$3:$C$31,MATCH(Table28[[#This Row],[start_year]],CPI!$A$3:$A$31,0),3)</f>
        <v>0.5910700694721005</v>
      </c>
      <c r="X340" s="282"/>
      <c r="Y340" s="282" t="s">
        <v>217</v>
      </c>
      <c r="Z340" s="282" t="s">
        <v>4840</v>
      </c>
      <c r="AA340" s="282">
        <v>28.073394499999999</v>
      </c>
      <c r="AB340" s="55" t="s">
        <v>72</v>
      </c>
      <c r="AC340" t="s">
        <v>71</v>
      </c>
    </row>
    <row r="341" spans="1:29" x14ac:dyDescent="0.2">
      <c r="A341" s="282">
        <v>5137</v>
      </c>
      <c r="B341" s="282">
        <v>12834</v>
      </c>
      <c r="C341" s="282" t="s">
        <v>3410</v>
      </c>
      <c r="D341" s="282" t="str">
        <f>IF(Table28[[#This Row],[% Leakage Reduction (Calculated)]]&gt;0.4, "Greater than 40% Air Reduction", "Less than 40% Air Reduction")</f>
        <v>Less than 40% Air Reduction</v>
      </c>
      <c r="E341" s="282" t="s">
        <v>4831</v>
      </c>
      <c r="F341" s="282" t="s">
        <v>4832</v>
      </c>
      <c r="G341" s="282" t="s">
        <v>4833</v>
      </c>
      <c r="H341" s="282" t="s">
        <v>4972</v>
      </c>
      <c r="I341" s="282">
        <v>2550</v>
      </c>
      <c r="J341" s="282" t="s">
        <v>4852</v>
      </c>
      <c r="K341" s="282">
        <v>1877</v>
      </c>
      <c r="L341" s="282" t="s">
        <v>4853</v>
      </c>
      <c r="M341" s="283">
        <f t="shared" si="10"/>
        <v>0.26392156862745098</v>
      </c>
      <c r="N341" s="282">
        <v>1620</v>
      </c>
      <c r="O341" s="282"/>
      <c r="P341" s="282">
        <v>1995</v>
      </c>
      <c r="Q341" s="282">
        <f>2023-Table28[[#This Row],[year_built]]</f>
        <v>28</v>
      </c>
      <c r="R341" s="282">
        <v>795.19</v>
      </c>
      <c r="S341" s="282" t="s">
        <v>4900</v>
      </c>
      <c r="T341" s="282" t="s">
        <v>4979</v>
      </c>
      <c r="U341" s="282">
        <v>2018</v>
      </c>
      <c r="V341" s="284">
        <f t="shared" si="11"/>
        <v>0.49085802469135809</v>
      </c>
      <c r="W341" s="292">
        <f>Table28[[#This Row],[$/sqft]]/INDEX(CPI!$A$3:$C$31,MATCH(Table28[[#This Row],[start_year]],CPI!$A$3:$A$31,0),3)</f>
        <v>0.59446405937332536</v>
      </c>
      <c r="X341" s="282" t="s">
        <v>1241</v>
      </c>
      <c r="Y341" s="282"/>
      <c r="Z341" s="282" t="s">
        <v>4840</v>
      </c>
      <c r="AA341" s="282">
        <v>26.39215686</v>
      </c>
      <c r="AB341" s="55" t="s">
        <v>72</v>
      </c>
      <c r="AC341" t="s">
        <v>71</v>
      </c>
    </row>
    <row r="342" spans="1:29" x14ac:dyDescent="0.2">
      <c r="A342" s="282">
        <v>5218</v>
      </c>
      <c r="B342" s="282">
        <v>13299</v>
      </c>
      <c r="C342" s="282" t="s">
        <v>3410</v>
      </c>
      <c r="D342" s="282" t="str">
        <f>IF(Table28[[#This Row],[% Leakage Reduction (Calculated)]]&gt;0.4, "Greater than 40% Air Reduction", "Less than 40% Air Reduction")</f>
        <v>Less than 40% Air Reduction</v>
      </c>
      <c r="E342" s="282" t="s">
        <v>4831</v>
      </c>
      <c r="F342" s="282" t="s">
        <v>4832</v>
      </c>
      <c r="G342" s="282" t="s">
        <v>4833</v>
      </c>
      <c r="H342" s="282" t="s">
        <v>4838</v>
      </c>
      <c r="I342" s="282">
        <v>4058</v>
      </c>
      <c r="J342" s="282" t="s">
        <v>4852</v>
      </c>
      <c r="K342" s="282">
        <v>2916</v>
      </c>
      <c r="L342" s="282" t="s">
        <v>4853</v>
      </c>
      <c r="M342" s="283">
        <f t="shared" si="10"/>
        <v>0.2814194184327255</v>
      </c>
      <c r="N342" s="282">
        <v>1768</v>
      </c>
      <c r="O342" s="282"/>
      <c r="P342" s="282">
        <v>1978</v>
      </c>
      <c r="Q342" s="282">
        <f>2023-Table28[[#This Row],[year_built]]</f>
        <v>45</v>
      </c>
      <c r="R342" s="282">
        <v>868.42</v>
      </c>
      <c r="S342" s="282" t="s">
        <v>4985</v>
      </c>
      <c r="T342" s="282" t="s">
        <v>4979</v>
      </c>
      <c r="U342" s="282">
        <v>2018</v>
      </c>
      <c r="V342" s="284">
        <f t="shared" si="11"/>
        <v>0.49118778280542985</v>
      </c>
      <c r="W342" s="292">
        <f>Table28[[#This Row],[$/sqft]]/INDEX(CPI!$A$3:$C$31,MATCH(Table28[[#This Row],[start_year]],CPI!$A$3:$A$31,0),3)</f>
        <v>0.59486341995671532</v>
      </c>
      <c r="X342" s="282" t="s">
        <v>4844</v>
      </c>
      <c r="Y342" s="282"/>
      <c r="Z342" s="282" t="s">
        <v>4840</v>
      </c>
      <c r="AA342" s="282">
        <v>28.141941840000001</v>
      </c>
      <c r="AB342" s="55" t="s">
        <v>72</v>
      </c>
      <c r="AC342" t="s">
        <v>71</v>
      </c>
    </row>
    <row r="343" spans="1:29" x14ac:dyDescent="0.2">
      <c r="A343" s="282">
        <v>5037</v>
      </c>
      <c r="B343" s="282">
        <v>12229</v>
      </c>
      <c r="C343" s="282" t="s">
        <v>3410</v>
      </c>
      <c r="D343" s="282" t="str">
        <f>IF(Table28[[#This Row],[% Leakage Reduction (Calculated)]]&gt;0.4, "Greater than 40% Air Reduction", "Less than 40% Air Reduction")</f>
        <v>Less than 40% Air Reduction</v>
      </c>
      <c r="E343" s="282" t="s">
        <v>4831</v>
      </c>
      <c r="F343" s="282" t="s">
        <v>4832</v>
      </c>
      <c r="G343" s="282" t="s">
        <v>4833</v>
      </c>
      <c r="H343" s="282" t="s">
        <v>4838</v>
      </c>
      <c r="I343" s="282">
        <v>2727</v>
      </c>
      <c r="J343" s="282" t="s">
        <v>4852</v>
      </c>
      <c r="K343" s="282">
        <v>2177</v>
      </c>
      <c r="L343" s="282" t="s">
        <v>4853</v>
      </c>
      <c r="M343" s="283">
        <f t="shared" si="10"/>
        <v>0.20168683535020168</v>
      </c>
      <c r="N343" s="282">
        <v>1100</v>
      </c>
      <c r="O343" s="282"/>
      <c r="P343" s="282">
        <v>1960</v>
      </c>
      <c r="Q343" s="282">
        <f>2023-Table28[[#This Row],[year_built]]</f>
        <v>63</v>
      </c>
      <c r="R343" s="282">
        <v>551.54999999999995</v>
      </c>
      <c r="S343" s="282" t="s">
        <v>4900</v>
      </c>
      <c r="T343" s="282" t="s">
        <v>4979</v>
      </c>
      <c r="U343" s="282">
        <v>2019</v>
      </c>
      <c r="V343" s="284">
        <f t="shared" si="11"/>
        <v>0.50140909090909092</v>
      </c>
      <c r="W343" s="292">
        <f>Table28[[#This Row],[$/sqft]]/INDEX(CPI!$A$3:$C$31,MATCH(Table28[[#This Row],[start_year]],CPI!$A$3:$A$31,0),3)</f>
        <v>0.59631796850001784</v>
      </c>
      <c r="X343" s="282" t="s">
        <v>4844</v>
      </c>
      <c r="Y343" s="282"/>
      <c r="Z343" s="282" t="s">
        <v>4840</v>
      </c>
      <c r="AA343" s="282">
        <v>20.16868354</v>
      </c>
      <c r="AB343" s="55" t="s">
        <v>72</v>
      </c>
      <c r="AC343" t="s">
        <v>71</v>
      </c>
    </row>
    <row r="344" spans="1:29" x14ac:dyDescent="0.2">
      <c r="A344" s="282">
        <v>3072</v>
      </c>
      <c r="B344" s="282">
        <v>9322</v>
      </c>
      <c r="C344" s="282" t="s">
        <v>3410</v>
      </c>
      <c r="D344" s="282" t="str">
        <f>IF(Table28[[#This Row],[% Leakage Reduction (Calculated)]]&gt;0.4, "Greater than 40% Air Reduction", "Less than 40% Air Reduction")</f>
        <v>Less than 40% Air Reduction</v>
      </c>
      <c r="E344" s="282" t="s">
        <v>4831</v>
      </c>
      <c r="F344" s="282" t="s">
        <v>4832</v>
      </c>
      <c r="G344" s="282" t="s">
        <v>4833</v>
      </c>
      <c r="H344" s="282" t="s">
        <v>4838</v>
      </c>
      <c r="I344" s="282">
        <v>20.53</v>
      </c>
      <c r="J344" s="282" t="s">
        <v>4834</v>
      </c>
      <c r="K344" s="282">
        <v>18.25</v>
      </c>
      <c r="L344" s="282" t="s">
        <v>4835</v>
      </c>
      <c r="M344" s="283">
        <f t="shared" si="10"/>
        <v>0.11105698977106677</v>
      </c>
      <c r="N344" s="282">
        <v>1540</v>
      </c>
      <c r="O344" s="282">
        <v>1.77</v>
      </c>
      <c r="P344" s="282">
        <v>1940</v>
      </c>
      <c r="Q344" s="282">
        <f>2023-Table28[[#This Row],[year_built]]</f>
        <v>83</v>
      </c>
      <c r="R344" s="282">
        <v>774</v>
      </c>
      <c r="S344" s="282" t="s">
        <v>4939</v>
      </c>
      <c r="T344" s="282" t="s">
        <v>4906</v>
      </c>
      <c r="U344" s="282">
        <v>2019</v>
      </c>
      <c r="V344" s="284">
        <f t="shared" si="11"/>
        <v>0.5025974025974026</v>
      </c>
      <c r="W344" s="292">
        <f>Table28[[#This Row],[$/sqft]]/INDEX(CPI!$A$3:$C$31,MATCH(Table28[[#This Row],[start_year]],CPI!$A$3:$A$31,0),3)</f>
        <v>0.59773120895529974</v>
      </c>
      <c r="X344" s="282"/>
      <c r="Y344" s="282" t="s">
        <v>4917</v>
      </c>
      <c r="Z344" s="282" t="s">
        <v>4907</v>
      </c>
      <c r="AA344" s="282">
        <v>11.10569898</v>
      </c>
      <c r="AB344" s="55" t="s">
        <v>72</v>
      </c>
      <c r="AC344" t="s">
        <v>71</v>
      </c>
    </row>
    <row r="345" spans="1:29" x14ac:dyDescent="0.2">
      <c r="A345" s="282">
        <v>4033</v>
      </c>
      <c r="B345" s="282">
        <v>11140</v>
      </c>
      <c r="C345" s="282" t="s">
        <v>3410</v>
      </c>
      <c r="D345" s="282" t="str">
        <f>IF(Table28[[#This Row],[% Leakage Reduction (Calculated)]]&gt;0.4, "Greater than 40% Air Reduction", "Less than 40% Air Reduction")</f>
        <v>Less than 40% Air Reduction</v>
      </c>
      <c r="E345" s="282" t="s">
        <v>4831</v>
      </c>
      <c r="F345" s="282" t="s">
        <v>4832</v>
      </c>
      <c r="G345" s="282" t="s">
        <v>4833</v>
      </c>
      <c r="H345" s="282" t="s">
        <v>4972</v>
      </c>
      <c r="I345" s="282">
        <v>2636</v>
      </c>
      <c r="J345" s="282" t="s">
        <v>4852</v>
      </c>
      <c r="K345" s="282">
        <v>1752</v>
      </c>
      <c r="L345" s="282" t="s">
        <v>4853</v>
      </c>
      <c r="M345" s="283">
        <f t="shared" si="10"/>
        <v>0.33535660091047043</v>
      </c>
      <c r="N345" s="282">
        <v>1210</v>
      </c>
      <c r="O345" s="282"/>
      <c r="P345" s="282">
        <v>1997</v>
      </c>
      <c r="Q345" s="282">
        <f>2023-Table28[[#This Row],[year_built]]</f>
        <v>26</v>
      </c>
      <c r="R345" s="282">
        <v>611.08000000000004</v>
      </c>
      <c r="S345" s="282" t="s">
        <v>4976</v>
      </c>
      <c r="T345" s="282" t="s">
        <v>4969</v>
      </c>
      <c r="U345" s="282">
        <v>2019</v>
      </c>
      <c r="V345" s="284">
        <f t="shared" si="11"/>
        <v>0.50502479338842976</v>
      </c>
      <c r="W345" s="292">
        <f>Table28[[#This Row],[$/sqft]]/INDEX(CPI!$A$3:$C$31,MATCH(Table28[[#This Row],[start_year]],CPI!$A$3:$A$31,0),3)</f>
        <v>0.60061806675565699</v>
      </c>
      <c r="X345" s="282" t="s">
        <v>1241</v>
      </c>
      <c r="Y345" s="282"/>
      <c r="Z345" s="282" t="s">
        <v>4840</v>
      </c>
      <c r="AA345" s="282">
        <v>33.53566009</v>
      </c>
      <c r="AB345" s="55" t="s">
        <v>72</v>
      </c>
      <c r="AC345" t="s">
        <v>71</v>
      </c>
    </row>
    <row r="346" spans="1:29" x14ac:dyDescent="0.2">
      <c r="A346" s="282">
        <v>5254</v>
      </c>
      <c r="B346" s="282">
        <v>13499</v>
      </c>
      <c r="C346" s="282" t="s">
        <v>3410</v>
      </c>
      <c r="D346" s="282" t="str">
        <f>IF(Table28[[#This Row],[% Leakage Reduction (Calculated)]]&gt;0.4, "Greater than 40% Air Reduction", "Less than 40% Air Reduction")</f>
        <v>Less than 40% Air Reduction</v>
      </c>
      <c r="E346" s="282" t="s">
        <v>4831</v>
      </c>
      <c r="F346" s="282" t="s">
        <v>4832</v>
      </c>
      <c r="G346" s="282" t="s">
        <v>4833</v>
      </c>
      <c r="H346" s="282" t="s">
        <v>4972</v>
      </c>
      <c r="I346" s="282">
        <v>1729</v>
      </c>
      <c r="J346" s="282" t="s">
        <v>4852</v>
      </c>
      <c r="K346" s="282">
        <v>1175</v>
      </c>
      <c r="L346" s="282" t="s">
        <v>4853</v>
      </c>
      <c r="M346" s="283">
        <f t="shared" si="10"/>
        <v>0.32041642567958356</v>
      </c>
      <c r="N346" s="282">
        <v>890</v>
      </c>
      <c r="O346" s="282"/>
      <c r="P346" s="282">
        <v>2000</v>
      </c>
      <c r="Q346" s="282">
        <f>2023-Table28[[#This Row],[year_built]]</f>
        <v>23</v>
      </c>
      <c r="R346" s="282">
        <v>431.15</v>
      </c>
      <c r="S346" s="282" t="s">
        <v>5000</v>
      </c>
      <c r="T346" s="282" t="s">
        <v>4979</v>
      </c>
      <c r="U346" s="282">
        <v>2017</v>
      </c>
      <c r="V346" s="284">
        <f t="shared" si="11"/>
        <v>0.48443820224719097</v>
      </c>
      <c r="W346" s="292">
        <f>Table28[[#This Row],[$/sqft]]/INDEX(CPI!$A$3:$C$31,MATCH(Table28[[#This Row],[start_year]],CPI!$A$3:$A$31,0),3)</f>
        <v>0.60105123338788569</v>
      </c>
      <c r="X346" s="282" t="s">
        <v>1241</v>
      </c>
      <c r="Y346" s="282"/>
      <c r="Z346" s="282" t="s">
        <v>4840</v>
      </c>
      <c r="AA346" s="282">
        <v>32.04164257</v>
      </c>
      <c r="AB346" s="55" t="s">
        <v>72</v>
      </c>
      <c r="AC346" t="s">
        <v>71</v>
      </c>
    </row>
    <row r="347" spans="1:29" x14ac:dyDescent="0.2">
      <c r="A347" s="282">
        <v>3222</v>
      </c>
      <c r="B347" s="282">
        <v>9853</v>
      </c>
      <c r="C347" s="282" t="s">
        <v>3410</v>
      </c>
      <c r="D347" s="282" t="str">
        <f>IF(Table28[[#This Row],[% Leakage Reduction (Calculated)]]&gt;0.4, "Greater than 40% Air Reduction", "Less than 40% Air Reduction")</f>
        <v>Less than 40% Air Reduction</v>
      </c>
      <c r="E347" s="282" t="s">
        <v>4831</v>
      </c>
      <c r="F347" s="282" t="s">
        <v>4832</v>
      </c>
      <c r="G347" s="282" t="s">
        <v>4833</v>
      </c>
      <c r="H347" s="282" t="s">
        <v>4838</v>
      </c>
      <c r="I347" s="282">
        <v>8.7899999999999991</v>
      </c>
      <c r="J347" s="282" t="s">
        <v>4834</v>
      </c>
      <c r="K347" s="282">
        <v>6.31</v>
      </c>
      <c r="L347" s="282" t="s">
        <v>4835</v>
      </c>
      <c r="M347" s="283">
        <f t="shared" si="10"/>
        <v>0.28213879408418657</v>
      </c>
      <c r="N347" s="282">
        <v>1570</v>
      </c>
      <c r="O347" s="282">
        <v>1</v>
      </c>
      <c r="P347" s="282">
        <v>1965</v>
      </c>
      <c r="Q347" s="282">
        <f>2023-Table28[[#This Row],[year_built]]</f>
        <v>58</v>
      </c>
      <c r="R347" s="282">
        <v>800</v>
      </c>
      <c r="S347" s="282" t="s">
        <v>4940</v>
      </c>
      <c r="T347" s="282" t="s">
        <v>4906</v>
      </c>
      <c r="U347" s="282">
        <v>2019</v>
      </c>
      <c r="V347" s="284">
        <f t="shared" si="11"/>
        <v>0.50955414012738853</v>
      </c>
      <c r="W347" s="292">
        <f>Table28[[#This Row],[$/sqft]]/INDEX(CPI!$A$3:$C$31,MATCH(Table28[[#This Row],[start_year]],CPI!$A$3:$A$31,0),3)</f>
        <v>0.60600474780109059</v>
      </c>
      <c r="X347" s="282"/>
      <c r="Y347" s="282" t="s">
        <v>217</v>
      </c>
      <c r="Z347" s="282" t="s">
        <v>4907</v>
      </c>
      <c r="AA347" s="282">
        <v>28.213879410000001</v>
      </c>
      <c r="AB347" s="55" t="s">
        <v>72</v>
      </c>
      <c r="AC347" t="s">
        <v>71</v>
      </c>
    </row>
    <row r="348" spans="1:29" x14ac:dyDescent="0.2">
      <c r="A348" s="282">
        <v>3200</v>
      </c>
      <c r="B348" s="282">
        <v>9780</v>
      </c>
      <c r="C348" s="282" t="s">
        <v>3410</v>
      </c>
      <c r="D348" s="282" t="str">
        <f>IF(Table28[[#This Row],[% Leakage Reduction (Calculated)]]&gt;0.4, "Greater than 40% Air Reduction", "Less than 40% Air Reduction")</f>
        <v>Less than 40% Air Reduction</v>
      </c>
      <c r="E348" s="282" t="s">
        <v>4831</v>
      </c>
      <c r="F348" s="282" t="s">
        <v>4832</v>
      </c>
      <c r="G348" s="282" t="s">
        <v>4833</v>
      </c>
      <c r="H348" s="282" t="s">
        <v>4838</v>
      </c>
      <c r="I348" s="282">
        <v>14.3</v>
      </c>
      <c r="J348" s="282" t="s">
        <v>4834</v>
      </c>
      <c r="K348" s="282">
        <v>9.14</v>
      </c>
      <c r="L348" s="282" t="s">
        <v>4835</v>
      </c>
      <c r="M348" s="283">
        <f t="shared" si="10"/>
        <v>0.36083916083916084</v>
      </c>
      <c r="N348" s="282">
        <v>1960</v>
      </c>
      <c r="O348" s="282">
        <v>1</v>
      </c>
      <c r="P348" s="282">
        <v>1969</v>
      </c>
      <c r="Q348" s="282">
        <f>2023-Table28[[#This Row],[year_built]]</f>
        <v>54</v>
      </c>
      <c r="R348" s="282">
        <v>1000</v>
      </c>
      <c r="S348" s="282" t="s">
        <v>4940</v>
      </c>
      <c r="T348" s="282" t="s">
        <v>4906</v>
      </c>
      <c r="U348" s="282">
        <v>2019</v>
      </c>
      <c r="V348" s="284">
        <f t="shared" si="11"/>
        <v>0.51020408163265307</v>
      </c>
      <c r="W348" s="292">
        <f>Table28[[#This Row],[$/sqft]]/INDEX(CPI!$A$3:$C$31,MATCH(Table28[[#This Row],[start_year]],CPI!$A$3:$A$31,0),3)</f>
        <v>0.60677771304063277</v>
      </c>
      <c r="X348" s="282"/>
      <c r="Y348" s="282" t="s">
        <v>217</v>
      </c>
      <c r="Z348" s="282" t="s">
        <v>4840</v>
      </c>
      <c r="AA348" s="282">
        <v>36.083916080000002</v>
      </c>
      <c r="AB348" s="55" t="s">
        <v>72</v>
      </c>
      <c r="AC348" t="s">
        <v>71</v>
      </c>
    </row>
    <row r="349" spans="1:29" x14ac:dyDescent="0.2">
      <c r="A349" s="282">
        <v>3212</v>
      </c>
      <c r="B349" s="282">
        <v>9818</v>
      </c>
      <c r="C349" s="282" t="s">
        <v>3410</v>
      </c>
      <c r="D349" s="282" t="str">
        <f>IF(Table28[[#This Row],[% Leakage Reduction (Calculated)]]&gt;0.4, "Greater than 40% Air Reduction", "Less than 40% Air Reduction")</f>
        <v>Less than 40% Air Reduction</v>
      </c>
      <c r="E349" s="282" t="s">
        <v>4831</v>
      </c>
      <c r="F349" s="282" t="s">
        <v>4832</v>
      </c>
      <c r="G349" s="282" t="s">
        <v>4833</v>
      </c>
      <c r="H349" s="282" t="s">
        <v>4838</v>
      </c>
      <c r="I349" s="282">
        <v>13.57</v>
      </c>
      <c r="J349" s="282" t="s">
        <v>4834</v>
      </c>
      <c r="K349" s="282">
        <v>10.42</v>
      </c>
      <c r="L349" s="282" t="s">
        <v>4835</v>
      </c>
      <c r="M349" s="283">
        <f t="shared" si="10"/>
        <v>0.23212969786293297</v>
      </c>
      <c r="N349" s="282">
        <v>2152</v>
      </c>
      <c r="O349" s="282">
        <v>1</v>
      </c>
      <c r="P349" s="282">
        <v>1974</v>
      </c>
      <c r="Q349" s="282">
        <f>2023-Table28[[#This Row],[year_built]]</f>
        <v>49</v>
      </c>
      <c r="R349" s="282">
        <v>1120</v>
      </c>
      <c r="S349" s="282" t="s">
        <v>4940</v>
      </c>
      <c r="T349" s="282" t="s">
        <v>4906</v>
      </c>
      <c r="U349" s="282">
        <v>2020</v>
      </c>
      <c r="V349" s="284">
        <f t="shared" si="11"/>
        <v>0.5204460966542751</v>
      </c>
      <c r="W349" s="292">
        <f>Table28[[#This Row],[$/sqft]]/INDEX(CPI!$A$3:$C$31,MATCH(Table28[[#This Row],[start_year]],CPI!$A$3:$A$31,0),3)</f>
        <v>0.61154427354159602</v>
      </c>
      <c r="X349" s="282"/>
      <c r="Y349" s="282" t="s">
        <v>217</v>
      </c>
      <c r="Z349" s="282" t="s">
        <v>4840</v>
      </c>
      <c r="AA349" s="282">
        <v>23.212969789999999</v>
      </c>
      <c r="AB349" s="55" t="s">
        <v>72</v>
      </c>
      <c r="AC349" t="s">
        <v>71</v>
      </c>
    </row>
    <row r="350" spans="1:29" x14ac:dyDescent="0.2">
      <c r="A350" s="282">
        <v>5056</v>
      </c>
      <c r="B350" s="282">
        <v>12345</v>
      </c>
      <c r="C350" s="282" t="s">
        <v>3410</v>
      </c>
      <c r="D350" s="282" t="str">
        <f>IF(Table28[[#This Row],[% Leakage Reduction (Calculated)]]&gt;0.4, "Greater than 40% Air Reduction", "Less than 40% Air Reduction")</f>
        <v>Greater than 40% Air Reduction</v>
      </c>
      <c r="E350" s="282" t="s">
        <v>4831</v>
      </c>
      <c r="F350" s="282" t="s">
        <v>4832</v>
      </c>
      <c r="G350" s="282" t="s">
        <v>4833</v>
      </c>
      <c r="H350" s="282" t="s">
        <v>4972</v>
      </c>
      <c r="I350" s="282">
        <v>4278</v>
      </c>
      <c r="J350" s="282" t="s">
        <v>4852</v>
      </c>
      <c r="K350" s="282">
        <v>2337</v>
      </c>
      <c r="L350" s="282" t="s">
        <v>4853</v>
      </c>
      <c r="M350" s="283">
        <f t="shared" si="10"/>
        <v>0.45371669004207571</v>
      </c>
      <c r="N350" s="282">
        <v>1500</v>
      </c>
      <c r="O350" s="282"/>
      <c r="P350" s="282">
        <v>1990</v>
      </c>
      <c r="Q350" s="282">
        <f>2023-Table28[[#This Row],[year_built]]</f>
        <v>33</v>
      </c>
      <c r="R350" s="282">
        <v>740</v>
      </c>
      <c r="S350" s="282" t="s">
        <v>4981</v>
      </c>
      <c r="T350" s="282" t="s">
        <v>4979</v>
      </c>
      <c r="U350" s="282">
        <v>2017</v>
      </c>
      <c r="V350" s="284">
        <f t="shared" si="11"/>
        <v>0.49333333333333335</v>
      </c>
      <c r="W350" s="292">
        <f>Table28[[#This Row],[$/sqft]]/INDEX(CPI!$A$3:$C$31,MATCH(Table28[[#This Row],[start_year]],CPI!$A$3:$A$31,0),3)</f>
        <v>0.61208758329933366</v>
      </c>
      <c r="X350" s="282" t="s">
        <v>4844</v>
      </c>
      <c r="Y350" s="282"/>
      <c r="Z350" s="282" t="s">
        <v>4840</v>
      </c>
      <c r="AA350" s="282">
        <v>45.371668999999997</v>
      </c>
      <c r="AB350" s="55" t="s">
        <v>72</v>
      </c>
      <c r="AC350" t="s">
        <v>71</v>
      </c>
    </row>
    <row r="351" spans="1:29" x14ac:dyDescent="0.2">
      <c r="A351" s="282">
        <v>1300</v>
      </c>
      <c r="B351" s="282">
        <v>3819</v>
      </c>
      <c r="C351" s="282" t="s">
        <v>3410</v>
      </c>
      <c r="D351" s="282" t="str">
        <f>IF(Table28[[#This Row],[% Leakage Reduction (Calculated)]]&gt;0.4, "Greater than 40% Air Reduction", "Less than 40% Air Reduction")</f>
        <v>Less than 40% Air Reduction</v>
      </c>
      <c r="E351" s="282" t="s">
        <v>4831</v>
      </c>
      <c r="F351" s="282" t="s">
        <v>4832</v>
      </c>
      <c r="G351" s="282" t="s">
        <v>4833</v>
      </c>
      <c r="H351" s="282" t="s">
        <v>4838</v>
      </c>
      <c r="I351" s="282">
        <v>3048</v>
      </c>
      <c r="J351" s="282" t="s">
        <v>4852</v>
      </c>
      <c r="K351" s="282">
        <v>1891</v>
      </c>
      <c r="L351" s="282" t="s">
        <v>4853</v>
      </c>
      <c r="M351" s="283">
        <f t="shared" si="10"/>
        <v>0.37959317585301838</v>
      </c>
      <c r="N351" s="282">
        <v>4089</v>
      </c>
      <c r="O351" s="282">
        <v>2</v>
      </c>
      <c r="P351" s="282">
        <v>1960</v>
      </c>
      <c r="Q351" s="282">
        <f>2023-Table28[[#This Row],[year_built]]</f>
        <v>63</v>
      </c>
      <c r="R351" s="282">
        <v>2000</v>
      </c>
      <c r="S351" s="282" t="s">
        <v>4875</v>
      </c>
      <c r="T351" s="282" t="s">
        <v>4859</v>
      </c>
      <c r="U351" s="282">
        <v>2016</v>
      </c>
      <c r="V351" s="284">
        <f t="shared" si="11"/>
        <v>0.48911714355588165</v>
      </c>
      <c r="W351" s="292">
        <f>Table28[[#This Row],[$/sqft]]/INDEX(CPI!$A$3:$C$31,MATCH(Table28[[#This Row],[start_year]],CPI!$A$3:$A$31,0),3)</f>
        <v>0.61973410506920057</v>
      </c>
      <c r="X351" s="282" t="s">
        <v>4844</v>
      </c>
      <c r="Y351" s="282" t="s">
        <v>217</v>
      </c>
      <c r="Z351" s="282" t="s">
        <v>4861</v>
      </c>
      <c r="AA351" s="282">
        <v>37.959317589999998</v>
      </c>
      <c r="AB351" s="55" t="s">
        <v>72</v>
      </c>
      <c r="AC351" t="s">
        <v>72</v>
      </c>
    </row>
    <row r="352" spans="1:29" x14ac:dyDescent="0.2">
      <c r="A352" s="282">
        <v>1295</v>
      </c>
      <c r="B352" s="282">
        <v>3764</v>
      </c>
      <c r="C352" s="282" t="s">
        <v>3410</v>
      </c>
      <c r="D352" s="282" t="str">
        <f>IF(Table28[[#This Row],[% Leakage Reduction (Calculated)]]&gt;0.4, "Greater than 40% Air Reduction", "Less than 40% Air Reduction")</f>
        <v>Less than 40% Air Reduction</v>
      </c>
      <c r="E352" s="282" t="s">
        <v>4831</v>
      </c>
      <c r="F352" s="282" t="s">
        <v>4832</v>
      </c>
      <c r="G352" s="282" t="s">
        <v>4833</v>
      </c>
      <c r="H352" s="282" t="s">
        <v>4838</v>
      </c>
      <c r="I352" s="282">
        <v>2863</v>
      </c>
      <c r="J352" s="282" t="s">
        <v>4852</v>
      </c>
      <c r="K352" s="282">
        <v>1739</v>
      </c>
      <c r="L352" s="282" t="s">
        <v>4853</v>
      </c>
      <c r="M352" s="283">
        <f t="shared" si="10"/>
        <v>0.39259517988124343</v>
      </c>
      <c r="N352" s="282">
        <v>2399</v>
      </c>
      <c r="O352" s="282">
        <v>2</v>
      </c>
      <c r="P352" s="282">
        <v>1960</v>
      </c>
      <c r="Q352" s="282">
        <f>2023-Table28[[#This Row],[year_built]]</f>
        <v>63</v>
      </c>
      <c r="R352" s="282">
        <v>1200</v>
      </c>
      <c r="S352" s="282" t="s">
        <v>4869</v>
      </c>
      <c r="T352" s="282" t="s">
        <v>4859</v>
      </c>
      <c r="U352" s="282">
        <v>2016</v>
      </c>
      <c r="V352" s="284">
        <f t="shared" si="11"/>
        <v>0.50020842017507294</v>
      </c>
      <c r="W352" s="292">
        <f>Table28[[#This Row],[$/sqft]]/INDEX(CPI!$A$3:$C$31,MATCH(Table28[[#This Row],[start_year]],CPI!$A$3:$A$31,0),3)</f>
        <v>0.63378726693487974</v>
      </c>
      <c r="X352" s="282" t="s">
        <v>4844</v>
      </c>
      <c r="Y352" s="282" t="s">
        <v>217</v>
      </c>
      <c r="Z352" s="282" t="s">
        <v>4861</v>
      </c>
      <c r="AA352" s="282">
        <v>39.259517989999999</v>
      </c>
      <c r="AB352" s="55" t="s">
        <v>72</v>
      </c>
      <c r="AC352" t="s">
        <v>72</v>
      </c>
    </row>
    <row r="353" spans="1:29" x14ac:dyDescent="0.2">
      <c r="A353" s="282">
        <v>5259</v>
      </c>
      <c r="B353" s="282">
        <v>13528</v>
      </c>
      <c r="C353" s="282" t="s">
        <v>3410</v>
      </c>
      <c r="D353" s="282" t="str">
        <f>IF(Table28[[#This Row],[% Leakage Reduction (Calculated)]]&gt;0.4, "Greater than 40% Air Reduction", "Less than 40% Air Reduction")</f>
        <v>Greater than 40% Air Reduction</v>
      </c>
      <c r="E353" s="282" t="s">
        <v>4831</v>
      </c>
      <c r="F353" s="282" t="s">
        <v>4832</v>
      </c>
      <c r="G353" s="282" t="s">
        <v>4833</v>
      </c>
      <c r="H353" s="282" t="s">
        <v>4972</v>
      </c>
      <c r="I353" s="282">
        <v>1913</v>
      </c>
      <c r="J353" s="282" t="s">
        <v>4852</v>
      </c>
      <c r="K353" s="282">
        <v>1012</v>
      </c>
      <c r="L353" s="282" t="s">
        <v>4853</v>
      </c>
      <c r="M353" s="283">
        <f t="shared" si="10"/>
        <v>0.47098797699947725</v>
      </c>
      <c r="N353" s="282">
        <v>1135</v>
      </c>
      <c r="O353" s="282"/>
      <c r="P353" s="282">
        <v>1999</v>
      </c>
      <c r="Q353" s="282">
        <f>2023-Table28[[#This Row],[year_built]]</f>
        <v>24</v>
      </c>
      <c r="R353" s="282">
        <v>586.95000000000005</v>
      </c>
      <c r="S353" s="282" t="s">
        <v>4984</v>
      </c>
      <c r="T353" s="282" t="s">
        <v>4979</v>
      </c>
      <c r="U353" s="282">
        <v>2017</v>
      </c>
      <c r="V353" s="284">
        <f t="shared" si="11"/>
        <v>0.51713656387665208</v>
      </c>
      <c r="W353" s="292">
        <f>Table28[[#This Row],[$/sqft]]/INDEX(CPI!$A$3:$C$31,MATCH(Table28[[#This Row],[start_year]],CPI!$A$3:$A$31,0),3)</f>
        <v>0.64162068166009756</v>
      </c>
      <c r="X353" s="282" t="s">
        <v>1241</v>
      </c>
      <c r="Y353" s="282"/>
      <c r="Z353" s="282" t="s">
        <v>4840</v>
      </c>
      <c r="AA353" s="282">
        <v>47.098797699999999</v>
      </c>
      <c r="AB353" s="55" t="s">
        <v>72</v>
      </c>
      <c r="AC353" t="s">
        <v>71</v>
      </c>
    </row>
    <row r="354" spans="1:29" x14ac:dyDescent="0.2">
      <c r="A354" s="282">
        <v>3326</v>
      </c>
      <c r="B354" s="282">
        <v>10165</v>
      </c>
      <c r="C354" s="282" t="s">
        <v>3410</v>
      </c>
      <c r="D354" s="282" t="str">
        <f>IF(Table28[[#This Row],[% Leakage Reduction (Calculated)]]&gt;0.4, "Greater than 40% Air Reduction", "Less than 40% Air Reduction")</f>
        <v>Less than 40% Air Reduction</v>
      </c>
      <c r="E354" s="282" t="s">
        <v>4831</v>
      </c>
      <c r="F354" s="282" t="s">
        <v>4832</v>
      </c>
      <c r="G354" s="282" t="s">
        <v>4833</v>
      </c>
      <c r="H354" s="282" t="s">
        <v>4838</v>
      </c>
      <c r="I354" s="282">
        <v>17.04</v>
      </c>
      <c r="J354" s="282" t="s">
        <v>4834</v>
      </c>
      <c r="K354" s="282">
        <v>12.37</v>
      </c>
      <c r="L354" s="282" t="s">
        <v>4835</v>
      </c>
      <c r="M354" s="283">
        <f t="shared" si="10"/>
        <v>0.27406103286384975</v>
      </c>
      <c r="N354" s="282">
        <v>1825</v>
      </c>
      <c r="O354" s="282">
        <v>1.5</v>
      </c>
      <c r="P354" s="282">
        <v>1947</v>
      </c>
      <c r="Q354" s="282">
        <f>2023-Table28[[#This Row],[year_built]]</f>
        <v>76</v>
      </c>
      <c r="R354" s="282">
        <v>1000</v>
      </c>
      <c r="S354" s="282" t="s">
        <v>4915</v>
      </c>
      <c r="T354" s="282" t="s">
        <v>4906</v>
      </c>
      <c r="U354" s="282">
        <v>2020</v>
      </c>
      <c r="V354" s="284">
        <f t="shared" si="11"/>
        <v>0.54794520547945202</v>
      </c>
      <c r="W354" s="292">
        <f>Table28[[#This Row],[$/sqft]]/INDEX(CPI!$A$3:$C$31,MATCH(Table28[[#This Row],[start_year]],CPI!$A$3:$A$31,0),3)</f>
        <v>0.64385678897334375</v>
      </c>
      <c r="X354" s="282"/>
      <c r="Y354" s="282" t="s">
        <v>217</v>
      </c>
      <c r="Z354" s="282" t="s">
        <v>4907</v>
      </c>
      <c r="AA354" s="282">
        <v>27.406103290000001</v>
      </c>
      <c r="AB354" s="55" t="s">
        <v>72</v>
      </c>
      <c r="AC354" t="s">
        <v>71</v>
      </c>
    </row>
    <row r="355" spans="1:29" x14ac:dyDescent="0.2">
      <c r="A355" s="282">
        <v>5019</v>
      </c>
      <c r="B355" s="282">
        <v>12111</v>
      </c>
      <c r="C355" s="282" t="s">
        <v>3410</v>
      </c>
      <c r="D355" s="282" t="str">
        <f>IF(Table28[[#This Row],[% Leakage Reduction (Calculated)]]&gt;0.4, "Greater than 40% Air Reduction", "Less than 40% Air Reduction")</f>
        <v>Less than 40% Air Reduction</v>
      </c>
      <c r="E355" s="282" t="s">
        <v>4831</v>
      </c>
      <c r="F355" s="282" t="s">
        <v>4832</v>
      </c>
      <c r="G355" s="282" t="s">
        <v>4833</v>
      </c>
      <c r="H355" s="282" t="s">
        <v>4838</v>
      </c>
      <c r="I355" s="282">
        <v>4933</v>
      </c>
      <c r="J355" s="282" t="s">
        <v>4852</v>
      </c>
      <c r="K355" s="282">
        <v>3497</v>
      </c>
      <c r="L355" s="282" t="s">
        <v>4853</v>
      </c>
      <c r="M355" s="283">
        <f t="shared" si="10"/>
        <v>0.29110075005067909</v>
      </c>
      <c r="N355" s="282">
        <v>2500</v>
      </c>
      <c r="O355" s="282"/>
      <c r="P355" s="282">
        <v>1960</v>
      </c>
      <c r="Q355" s="282">
        <f>2023-Table28[[#This Row],[year_built]]</f>
        <v>63</v>
      </c>
      <c r="R355" s="282">
        <v>1332.69</v>
      </c>
      <c r="S355" s="282" t="s">
        <v>4980</v>
      </c>
      <c r="T355" s="282" t="s">
        <v>4979</v>
      </c>
      <c r="U355" s="282">
        <v>2018</v>
      </c>
      <c r="V355" s="284">
        <f t="shared" si="11"/>
        <v>0.53307599999999999</v>
      </c>
      <c r="W355" s="292">
        <f>Table28[[#This Row],[$/sqft]]/INDEX(CPI!$A$3:$C$31,MATCH(Table28[[#This Row],[start_year]],CPI!$A$3:$A$31,0),3)</f>
        <v>0.64559303703703708</v>
      </c>
      <c r="X355" s="282" t="s">
        <v>4844</v>
      </c>
      <c r="Y355" s="282"/>
      <c r="Z355" s="282" t="s">
        <v>4840</v>
      </c>
      <c r="AA355" s="282">
        <v>29.110075009999999</v>
      </c>
      <c r="AB355" s="55" t="s">
        <v>72</v>
      </c>
      <c r="AC355" t="s">
        <v>71</v>
      </c>
    </row>
    <row r="356" spans="1:29" x14ac:dyDescent="0.2">
      <c r="A356" s="282">
        <v>5028</v>
      </c>
      <c r="B356" s="282">
        <v>12173</v>
      </c>
      <c r="C356" s="282" t="s">
        <v>3410</v>
      </c>
      <c r="D356" s="282" t="str">
        <f>IF(Table28[[#This Row],[% Leakage Reduction (Calculated)]]&gt;0.4, "Greater than 40% Air Reduction", "Less than 40% Air Reduction")</f>
        <v>Less than 40% Air Reduction</v>
      </c>
      <c r="E356" s="282" t="s">
        <v>4831</v>
      </c>
      <c r="F356" s="282" t="s">
        <v>4832</v>
      </c>
      <c r="G356" s="282" t="s">
        <v>4833</v>
      </c>
      <c r="H356" s="282" t="s">
        <v>4972</v>
      </c>
      <c r="I356" s="282">
        <v>5112</v>
      </c>
      <c r="J356" s="282" t="s">
        <v>4852</v>
      </c>
      <c r="K356" s="282">
        <v>4471</v>
      </c>
      <c r="L356" s="282" t="s">
        <v>4853</v>
      </c>
      <c r="M356" s="283">
        <f t="shared" si="10"/>
        <v>0.12539123630672927</v>
      </c>
      <c r="N356" s="282">
        <v>1200</v>
      </c>
      <c r="O356" s="282"/>
      <c r="P356" s="282">
        <v>1989</v>
      </c>
      <c r="Q356" s="282">
        <f>2023-Table28[[#This Row],[year_built]]</f>
        <v>34</v>
      </c>
      <c r="R356" s="282">
        <v>640.08000000000004</v>
      </c>
      <c r="S356" s="282" t="s">
        <v>4981</v>
      </c>
      <c r="T356" s="282" t="s">
        <v>4979</v>
      </c>
      <c r="U356" s="282">
        <v>2018</v>
      </c>
      <c r="V356" s="284">
        <f t="shared" si="11"/>
        <v>0.53339999999999999</v>
      </c>
      <c r="W356" s="292">
        <f>Table28[[#This Row],[$/sqft]]/INDEX(CPI!$A$3:$C$31,MATCH(Table28[[#This Row],[start_year]],CPI!$A$3:$A$31,0),3)</f>
        <v>0.64598542413381133</v>
      </c>
      <c r="X356" s="282" t="s">
        <v>4844</v>
      </c>
      <c r="Y356" s="282"/>
      <c r="Z356" s="282" t="s">
        <v>4840</v>
      </c>
      <c r="AA356" s="282">
        <v>12.539123630000001</v>
      </c>
      <c r="AB356" s="55" t="s">
        <v>72</v>
      </c>
      <c r="AC356" t="s">
        <v>71</v>
      </c>
    </row>
    <row r="357" spans="1:29" x14ac:dyDescent="0.2">
      <c r="A357" s="282">
        <v>3183</v>
      </c>
      <c r="B357" s="282">
        <v>9724</v>
      </c>
      <c r="C357" s="282" t="s">
        <v>3410</v>
      </c>
      <c r="D357" s="282" t="str">
        <f>IF(Table28[[#This Row],[% Leakage Reduction (Calculated)]]&gt;0.4, "Greater than 40% Air Reduction", "Less than 40% Air Reduction")</f>
        <v>Less than 40% Air Reduction</v>
      </c>
      <c r="E357" s="282" t="s">
        <v>4831</v>
      </c>
      <c r="F357" s="282" t="s">
        <v>4832</v>
      </c>
      <c r="G357" s="282" t="s">
        <v>4833</v>
      </c>
      <c r="H357" s="282" t="s">
        <v>4838</v>
      </c>
      <c r="I357" s="282">
        <v>11.94</v>
      </c>
      <c r="J357" s="282" t="s">
        <v>4834</v>
      </c>
      <c r="K357" s="282">
        <v>10.89</v>
      </c>
      <c r="L357" s="282" t="s">
        <v>4835</v>
      </c>
      <c r="M357" s="283">
        <f t="shared" si="10"/>
        <v>8.793969849246222E-2</v>
      </c>
      <c r="N357" s="282">
        <v>1288</v>
      </c>
      <c r="O357" s="282">
        <v>1</v>
      </c>
      <c r="P357" s="282">
        <v>1956</v>
      </c>
      <c r="Q357" s="282">
        <f>2023-Table28[[#This Row],[year_built]]</f>
        <v>67</v>
      </c>
      <c r="R357" s="282">
        <v>700</v>
      </c>
      <c r="S357" s="282" t="s">
        <v>4945</v>
      </c>
      <c r="T357" s="282" t="s">
        <v>4906</v>
      </c>
      <c r="U357" s="282">
        <v>2019</v>
      </c>
      <c r="V357" s="284">
        <f t="shared" si="11"/>
        <v>0.54347826086956519</v>
      </c>
      <c r="W357" s="292">
        <f>Table28[[#This Row],[$/sqft]]/INDEX(CPI!$A$3:$C$31,MATCH(Table28[[#This Row],[start_year]],CPI!$A$3:$A$31,0),3)</f>
        <v>0.64635017258676097</v>
      </c>
      <c r="X357" s="282"/>
      <c r="Y357" s="282" t="s">
        <v>217</v>
      </c>
      <c r="Z357" s="282" t="s">
        <v>4907</v>
      </c>
      <c r="AA357" s="282">
        <v>8.7939698489999998</v>
      </c>
      <c r="AB357" s="55" t="s">
        <v>72</v>
      </c>
      <c r="AC357" t="s">
        <v>71</v>
      </c>
    </row>
    <row r="358" spans="1:29" x14ac:dyDescent="0.2">
      <c r="A358" s="282">
        <v>5182</v>
      </c>
      <c r="B358" s="282">
        <v>13104</v>
      </c>
      <c r="C358" s="282" t="s">
        <v>3410</v>
      </c>
      <c r="D358" s="282" t="str">
        <f>IF(Table28[[#This Row],[% Leakage Reduction (Calculated)]]&gt;0.4, "Greater than 40% Air Reduction", "Less than 40% Air Reduction")</f>
        <v>Greater than 40% Air Reduction</v>
      </c>
      <c r="E358" s="282" t="s">
        <v>4831</v>
      </c>
      <c r="F358" s="282" t="s">
        <v>4832</v>
      </c>
      <c r="G358" s="282" t="s">
        <v>4833</v>
      </c>
      <c r="H358" s="282" t="s">
        <v>4972</v>
      </c>
      <c r="I358" s="282">
        <v>2889</v>
      </c>
      <c r="J358" s="282" t="s">
        <v>4852</v>
      </c>
      <c r="K358" s="282">
        <v>1371</v>
      </c>
      <c r="L358" s="282" t="s">
        <v>4853</v>
      </c>
      <c r="M358" s="283">
        <f t="shared" si="10"/>
        <v>0.52544132917964692</v>
      </c>
      <c r="N358" s="282">
        <v>1280</v>
      </c>
      <c r="O358" s="282"/>
      <c r="P358" s="282">
        <v>2003</v>
      </c>
      <c r="Q358" s="282">
        <f>2023-Table28[[#This Row],[year_built]]</f>
        <v>20</v>
      </c>
      <c r="R358" s="282">
        <v>667.95</v>
      </c>
      <c r="S358" s="282" t="s">
        <v>4983</v>
      </c>
      <c r="T358" s="282" t="s">
        <v>4979</v>
      </c>
      <c r="U358" s="282">
        <v>2017</v>
      </c>
      <c r="V358" s="284">
        <f t="shared" si="11"/>
        <v>0.52183593750000001</v>
      </c>
      <c r="W358" s="292">
        <f>Table28[[#This Row],[$/sqft]]/INDEX(CPI!$A$3:$C$31,MATCH(Table28[[#This Row],[start_year]],CPI!$A$3:$A$31,0),3)</f>
        <v>0.64745127945226444</v>
      </c>
      <c r="X358" s="282" t="s">
        <v>4844</v>
      </c>
      <c r="Y358" s="282"/>
      <c r="Z358" s="282" t="s">
        <v>4840</v>
      </c>
      <c r="AA358" s="282">
        <v>52.544132920000003</v>
      </c>
      <c r="AB358" s="55" t="s">
        <v>72</v>
      </c>
      <c r="AC358" t="s">
        <v>71</v>
      </c>
    </row>
    <row r="359" spans="1:29" x14ac:dyDescent="0.2">
      <c r="A359" s="282">
        <v>3125</v>
      </c>
      <c r="B359" s="282">
        <v>9538</v>
      </c>
      <c r="C359" s="282" t="s">
        <v>3410</v>
      </c>
      <c r="D359" s="282" t="str">
        <f>IF(Table28[[#This Row],[% Leakage Reduction (Calculated)]]&gt;0.4, "Greater than 40% Air Reduction", "Less than 40% Air Reduction")</f>
        <v>Less than 40% Air Reduction</v>
      </c>
      <c r="E359" s="282" t="s">
        <v>4831</v>
      </c>
      <c r="F359" s="282" t="s">
        <v>4832</v>
      </c>
      <c r="G359" s="282" t="s">
        <v>4833</v>
      </c>
      <c r="H359" s="282" t="s">
        <v>4838</v>
      </c>
      <c r="I359" s="282">
        <v>9.8699999999999992</v>
      </c>
      <c r="J359" s="282" t="s">
        <v>4834</v>
      </c>
      <c r="K359" s="282">
        <v>7.46</v>
      </c>
      <c r="L359" s="282" t="s">
        <v>4835</v>
      </c>
      <c r="M359" s="283">
        <f t="shared" si="10"/>
        <v>0.24417426545086113</v>
      </c>
      <c r="N359" s="282">
        <v>1834</v>
      </c>
      <c r="O359" s="282">
        <v>1</v>
      </c>
      <c r="P359" s="282">
        <v>1995</v>
      </c>
      <c r="Q359" s="282">
        <f>2023-Table28[[#This Row],[year_built]]</f>
        <v>28</v>
      </c>
      <c r="R359" s="282">
        <v>1000</v>
      </c>
      <c r="S359" s="282" t="s">
        <v>4944</v>
      </c>
      <c r="T359" s="282" t="s">
        <v>4906</v>
      </c>
      <c r="U359" s="282">
        <v>2019</v>
      </c>
      <c r="V359" s="284">
        <f t="shared" si="11"/>
        <v>0.54525627044711011</v>
      </c>
      <c r="W359" s="292">
        <f>Table28[[#This Row],[$/sqft]]/INDEX(CPI!$A$3:$C$31,MATCH(Table28[[#This Row],[start_year]],CPI!$A$3:$A$31,0),3)</f>
        <v>0.64846473149380601</v>
      </c>
      <c r="X359" s="282"/>
      <c r="Y359" s="282" t="s">
        <v>217</v>
      </c>
      <c r="Z359" s="282" t="s">
        <v>4840</v>
      </c>
      <c r="AA359" s="282">
        <v>24.417426549999998</v>
      </c>
      <c r="AB359" s="55" t="s">
        <v>72</v>
      </c>
      <c r="AC359" t="s">
        <v>71</v>
      </c>
    </row>
    <row r="360" spans="1:29" x14ac:dyDescent="0.2">
      <c r="A360" s="282">
        <v>5239</v>
      </c>
      <c r="B360" s="282">
        <v>13414</v>
      </c>
      <c r="C360" s="282" t="s">
        <v>3410</v>
      </c>
      <c r="D360" s="282" t="str">
        <f>IF(Table28[[#This Row],[% Leakage Reduction (Calculated)]]&gt;0.4, "Greater than 40% Air Reduction", "Less than 40% Air Reduction")</f>
        <v>Less than 40% Air Reduction</v>
      </c>
      <c r="E360" s="282" t="s">
        <v>4831</v>
      </c>
      <c r="F360" s="282" t="s">
        <v>4832</v>
      </c>
      <c r="G360" s="282" t="s">
        <v>4833</v>
      </c>
      <c r="H360" s="282" t="s">
        <v>4972</v>
      </c>
      <c r="I360" s="282">
        <v>3060</v>
      </c>
      <c r="J360" s="282" t="s">
        <v>4852</v>
      </c>
      <c r="K360" s="282">
        <v>2044</v>
      </c>
      <c r="L360" s="282" t="s">
        <v>4853</v>
      </c>
      <c r="M360" s="283">
        <f t="shared" si="10"/>
        <v>0.33202614379084966</v>
      </c>
      <c r="N360" s="282">
        <v>1040</v>
      </c>
      <c r="O360" s="282"/>
      <c r="P360" s="282">
        <v>1998</v>
      </c>
      <c r="Q360" s="282">
        <f>2023-Table28[[#This Row],[year_built]]</f>
        <v>25</v>
      </c>
      <c r="R360" s="282">
        <v>557.85</v>
      </c>
      <c r="S360" s="282" t="s">
        <v>4978</v>
      </c>
      <c r="T360" s="282" t="s">
        <v>4979</v>
      </c>
      <c r="U360" s="282">
        <v>2018</v>
      </c>
      <c r="V360" s="284">
        <f t="shared" si="11"/>
        <v>0.53639423076923076</v>
      </c>
      <c r="W360" s="292">
        <f>Table28[[#This Row],[$/sqft]]/INDEX(CPI!$A$3:$C$31,MATCH(Table28[[#This Row],[start_year]],CPI!$A$3:$A$31,0),3)</f>
        <v>0.6496116510431027</v>
      </c>
      <c r="X360" s="282" t="s">
        <v>1241</v>
      </c>
      <c r="Y360" s="282"/>
      <c r="Z360" s="282" t="s">
        <v>4840</v>
      </c>
      <c r="AA360" s="282">
        <v>33.20261438</v>
      </c>
      <c r="AB360" s="55" t="s">
        <v>72</v>
      </c>
      <c r="AC360" t="s">
        <v>71</v>
      </c>
    </row>
    <row r="361" spans="1:29" x14ac:dyDescent="0.2">
      <c r="A361" s="282">
        <v>3064</v>
      </c>
      <c r="B361" s="282">
        <v>9287</v>
      </c>
      <c r="C361" s="282" t="s">
        <v>3410</v>
      </c>
      <c r="D361" s="282" t="str">
        <f>IF(Table28[[#This Row],[% Leakage Reduction (Calculated)]]&gt;0.4, "Greater than 40% Air Reduction", "Less than 40% Air Reduction")</f>
        <v>Greater than 40% Air Reduction</v>
      </c>
      <c r="E361" s="282" t="s">
        <v>4831</v>
      </c>
      <c r="F361" s="282" t="s">
        <v>4832</v>
      </c>
      <c r="G361" s="282" t="s">
        <v>4833</v>
      </c>
      <c r="H361" s="282" t="s">
        <v>4838</v>
      </c>
      <c r="I361" s="282">
        <v>19.100000000000001</v>
      </c>
      <c r="J361" s="282" t="s">
        <v>4834</v>
      </c>
      <c r="K361" s="282">
        <v>10.81</v>
      </c>
      <c r="L361" s="282" t="s">
        <v>4835</v>
      </c>
      <c r="M361" s="283">
        <f t="shared" si="10"/>
        <v>0.43403141361256548</v>
      </c>
      <c r="N361" s="282">
        <v>3016</v>
      </c>
      <c r="O361" s="282">
        <v>2</v>
      </c>
      <c r="P361" s="282">
        <v>1925</v>
      </c>
      <c r="Q361" s="282">
        <f>2023-Table28[[#This Row],[year_built]]</f>
        <v>98</v>
      </c>
      <c r="R361" s="282">
        <v>1635</v>
      </c>
      <c r="S361" s="282" t="s">
        <v>4935</v>
      </c>
      <c r="T361" s="282" t="s">
        <v>4906</v>
      </c>
      <c r="U361" s="282">
        <v>2018</v>
      </c>
      <c r="V361" s="284">
        <f t="shared" si="11"/>
        <v>0.54210875331564989</v>
      </c>
      <c r="W361" s="292">
        <f>Table28[[#This Row],[$/sqft]]/INDEX(CPI!$A$3:$C$31,MATCH(Table28[[#This Row],[start_year]],CPI!$A$3:$A$31,0),3)</f>
        <v>0.656532345214214</v>
      </c>
      <c r="X361" s="282"/>
      <c r="Y361" s="282" t="s">
        <v>4917</v>
      </c>
      <c r="Z361" s="282" t="s">
        <v>4907</v>
      </c>
      <c r="AA361" s="282">
        <v>43.403141359999999</v>
      </c>
      <c r="AB361" s="55" t="s">
        <v>72</v>
      </c>
      <c r="AC361" t="s">
        <v>71</v>
      </c>
    </row>
    <row r="362" spans="1:29" x14ac:dyDescent="0.2">
      <c r="A362" s="282">
        <v>5172</v>
      </c>
      <c r="B362" s="282">
        <v>13050</v>
      </c>
      <c r="C362" s="282" t="s">
        <v>3410</v>
      </c>
      <c r="D362" s="282" t="str">
        <f>IF(Table28[[#This Row],[% Leakage Reduction (Calculated)]]&gt;0.4, "Greater than 40% Air Reduction", "Less than 40% Air Reduction")</f>
        <v>Less than 40% Air Reduction</v>
      </c>
      <c r="E362" s="282" t="s">
        <v>4831</v>
      </c>
      <c r="F362" s="282" t="s">
        <v>4832</v>
      </c>
      <c r="G362" s="282" t="s">
        <v>4833</v>
      </c>
      <c r="H362" s="282" t="s">
        <v>4838</v>
      </c>
      <c r="I362" s="282">
        <v>2780</v>
      </c>
      <c r="J362" s="282" t="s">
        <v>4852</v>
      </c>
      <c r="K362" s="282">
        <v>2071</v>
      </c>
      <c r="L362" s="282" t="s">
        <v>4853</v>
      </c>
      <c r="M362" s="283">
        <f t="shared" si="10"/>
        <v>0.25503597122302157</v>
      </c>
      <c r="N362" s="282">
        <v>1500</v>
      </c>
      <c r="O362" s="282"/>
      <c r="P362" s="282">
        <v>1977</v>
      </c>
      <c r="Q362" s="282">
        <f>2023-Table28[[#This Row],[year_built]]</f>
        <v>46</v>
      </c>
      <c r="R362" s="282">
        <v>815.11</v>
      </c>
      <c r="S362" s="282" t="s">
        <v>4978</v>
      </c>
      <c r="T362" s="282" t="s">
        <v>4979</v>
      </c>
      <c r="U362" s="282">
        <v>2018</v>
      </c>
      <c r="V362" s="284">
        <f t="shared" si="11"/>
        <v>0.5434066666666667</v>
      </c>
      <c r="W362" s="292">
        <f>Table28[[#This Row],[$/sqft]]/INDEX(CPI!$A$3:$C$31,MATCH(Table28[[#This Row],[start_year]],CPI!$A$3:$A$31,0),3)</f>
        <v>0.65810421080578796</v>
      </c>
      <c r="X362" s="282" t="s">
        <v>4844</v>
      </c>
      <c r="Y362" s="282"/>
      <c r="Z362" s="282" t="s">
        <v>4840</v>
      </c>
      <c r="AA362" s="282">
        <v>25.503597119999998</v>
      </c>
      <c r="AB362" s="55" t="s">
        <v>72</v>
      </c>
      <c r="AC362" t="s">
        <v>71</v>
      </c>
    </row>
    <row r="363" spans="1:29" x14ac:dyDescent="0.2">
      <c r="A363" s="282">
        <v>2183</v>
      </c>
      <c r="B363" s="282">
        <v>5807</v>
      </c>
      <c r="C363" s="282" t="s">
        <v>3410</v>
      </c>
      <c r="D363" s="282" t="str">
        <f>IF(Table28[[#This Row],[% Leakage Reduction (Calculated)]]&gt;0.4, "Greater than 40% Air Reduction", "Less than 40% Air Reduction")</f>
        <v>Greater than 40% Air Reduction</v>
      </c>
      <c r="E363" s="282" t="s">
        <v>4831</v>
      </c>
      <c r="F363" s="282" t="s">
        <v>4832</v>
      </c>
      <c r="G363" s="282" t="s">
        <v>4833</v>
      </c>
      <c r="H363" s="282"/>
      <c r="I363" s="282">
        <v>936</v>
      </c>
      <c r="J363" s="282" t="s">
        <v>4853</v>
      </c>
      <c r="K363" s="282">
        <v>1440</v>
      </c>
      <c r="L363" s="282" t="s">
        <v>4852</v>
      </c>
      <c r="M363" s="283">
        <f t="shared" si="10"/>
        <v>0.53846153846153844</v>
      </c>
      <c r="N363" s="282">
        <v>1019.5</v>
      </c>
      <c r="O363" s="282">
        <v>1</v>
      </c>
      <c r="P363" s="282">
        <v>1975</v>
      </c>
      <c r="Q363" s="282">
        <f>2023-Table28[[#This Row],[year_built]]</f>
        <v>48</v>
      </c>
      <c r="R363" s="282">
        <v>575</v>
      </c>
      <c r="S363" s="282" t="s">
        <v>4894</v>
      </c>
      <c r="T363" s="282" t="s">
        <v>4857</v>
      </c>
      <c r="U363" s="282">
        <v>2020</v>
      </c>
      <c r="V363" s="284">
        <f t="shared" si="11"/>
        <v>0.56400196174595385</v>
      </c>
      <c r="W363" s="292">
        <f>Table28[[#This Row],[$/sqft]]/INDEX(CPI!$A$3:$C$31,MATCH(Table28[[#This Row],[start_year]],CPI!$A$3:$A$31,0),3)</f>
        <v>0.66272409801756016</v>
      </c>
      <c r="X363" s="282"/>
      <c r="Y363" s="282"/>
      <c r="Z363" s="282" t="s">
        <v>4840</v>
      </c>
      <c r="AA363" s="282">
        <v>35</v>
      </c>
      <c r="AB363" s="55" t="s">
        <v>72</v>
      </c>
      <c r="AC363" t="s">
        <v>71</v>
      </c>
    </row>
    <row r="364" spans="1:29" x14ac:dyDescent="0.2">
      <c r="A364" s="282">
        <v>1305</v>
      </c>
      <c r="B364" s="282">
        <v>3870</v>
      </c>
      <c r="C364" s="282" t="s">
        <v>3410</v>
      </c>
      <c r="D364" s="282" t="str">
        <f>IF(Table28[[#This Row],[% Leakage Reduction (Calculated)]]&gt;0.4, "Greater than 40% Air Reduction", "Less than 40% Air Reduction")</f>
        <v>Greater than 40% Air Reduction</v>
      </c>
      <c r="E364" s="282" t="s">
        <v>4831</v>
      </c>
      <c r="F364" s="282" t="s">
        <v>4832</v>
      </c>
      <c r="G364" s="282" t="s">
        <v>4833</v>
      </c>
      <c r="H364" s="282" t="s">
        <v>4838</v>
      </c>
      <c r="I364" s="282">
        <v>5710</v>
      </c>
      <c r="J364" s="282" t="s">
        <v>4852</v>
      </c>
      <c r="K364" s="282">
        <v>3313</v>
      </c>
      <c r="L364" s="282" t="s">
        <v>4853</v>
      </c>
      <c r="M364" s="283">
        <f t="shared" si="10"/>
        <v>0.41978984238178635</v>
      </c>
      <c r="N364" s="282">
        <v>2226</v>
      </c>
      <c r="O364" s="282">
        <v>2</v>
      </c>
      <c r="P364" s="282">
        <v>1850</v>
      </c>
      <c r="Q364" s="282">
        <f>2023-Table28[[#This Row],[year_built]]</f>
        <v>173</v>
      </c>
      <c r="R364" s="282">
        <v>1200</v>
      </c>
      <c r="S364" s="282" t="s">
        <v>4880</v>
      </c>
      <c r="T364" s="282" t="s">
        <v>4859</v>
      </c>
      <c r="U364" s="282">
        <v>2017</v>
      </c>
      <c r="V364" s="284">
        <f t="shared" si="11"/>
        <v>0.53908355795148244</v>
      </c>
      <c r="W364" s="292">
        <f>Table28[[#This Row],[$/sqft]]/INDEX(CPI!$A$3:$C$31,MATCH(Table28[[#This Row],[start_year]],CPI!$A$3:$A$31,0),3)</f>
        <v>0.66885071388431594</v>
      </c>
      <c r="X364" s="282" t="s">
        <v>4844</v>
      </c>
      <c r="Y364" s="282" t="s">
        <v>217</v>
      </c>
      <c r="Z364" s="282" t="s">
        <v>4861</v>
      </c>
      <c r="AA364" s="282">
        <v>41.978984240000003</v>
      </c>
      <c r="AB364" s="55" t="s">
        <v>72</v>
      </c>
      <c r="AC364" t="s">
        <v>72</v>
      </c>
    </row>
    <row r="365" spans="1:29" x14ac:dyDescent="0.2">
      <c r="A365" s="282">
        <v>5090</v>
      </c>
      <c r="B365" s="282">
        <v>12547</v>
      </c>
      <c r="C365" s="282" t="s">
        <v>3410</v>
      </c>
      <c r="D365" s="282" t="str">
        <f>IF(Table28[[#This Row],[% Leakage Reduction (Calculated)]]&gt;0.4, "Greater than 40% Air Reduction", "Less than 40% Air Reduction")</f>
        <v>Less than 40% Air Reduction</v>
      </c>
      <c r="E365" s="282" t="s">
        <v>4831</v>
      </c>
      <c r="F365" s="282" t="s">
        <v>4832</v>
      </c>
      <c r="G365" s="282" t="s">
        <v>4833</v>
      </c>
      <c r="H365" s="282" t="s">
        <v>4838</v>
      </c>
      <c r="I365" s="282">
        <v>3845</v>
      </c>
      <c r="J365" s="282" t="s">
        <v>4852</v>
      </c>
      <c r="K365" s="282">
        <v>3281</v>
      </c>
      <c r="L365" s="282" t="s">
        <v>4853</v>
      </c>
      <c r="M365" s="283">
        <f t="shared" si="10"/>
        <v>0.14668400520156047</v>
      </c>
      <c r="N365" s="282">
        <v>2738</v>
      </c>
      <c r="O365" s="282"/>
      <c r="P365" s="282">
        <v>1973</v>
      </c>
      <c r="Q365" s="282">
        <f>2023-Table28[[#This Row],[year_built]]</f>
        <v>50</v>
      </c>
      <c r="R365" s="282">
        <v>1484.4</v>
      </c>
      <c r="S365" s="282" t="s">
        <v>4980</v>
      </c>
      <c r="T365" s="282" t="s">
        <v>4979</v>
      </c>
      <c r="U365" s="282">
        <v>2017</v>
      </c>
      <c r="V365" s="284">
        <f t="shared" si="11"/>
        <v>0.54214755295836381</v>
      </c>
      <c r="W365" s="292">
        <f>Table28[[#This Row],[$/sqft]]/INDEX(CPI!$A$3:$C$31,MATCH(Table28[[#This Row],[start_year]],CPI!$A$3:$A$31,0),3)</f>
        <v>0.67265226786878196</v>
      </c>
      <c r="X365" s="282" t="s">
        <v>4844</v>
      </c>
      <c r="Y365" s="282"/>
      <c r="Z365" s="282" t="s">
        <v>4840</v>
      </c>
      <c r="AA365" s="282">
        <v>14.66840052</v>
      </c>
      <c r="AB365" s="55" t="s">
        <v>72</v>
      </c>
      <c r="AC365" t="s">
        <v>71</v>
      </c>
    </row>
    <row r="366" spans="1:29" x14ac:dyDescent="0.2">
      <c r="A366" s="282">
        <v>5114</v>
      </c>
      <c r="B366" s="282">
        <v>12691</v>
      </c>
      <c r="C366" s="282" t="s">
        <v>3410</v>
      </c>
      <c r="D366" s="282" t="str">
        <f>IF(Table28[[#This Row],[% Leakage Reduction (Calculated)]]&gt;0.4, "Greater than 40% Air Reduction", "Less than 40% Air Reduction")</f>
        <v>Less than 40% Air Reduction</v>
      </c>
      <c r="E366" s="282" t="s">
        <v>4831</v>
      </c>
      <c r="F366" s="282" t="s">
        <v>4832</v>
      </c>
      <c r="G366" s="282" t="s">
        <v>4833</v>
      </c>
      <c r="H366" s="282" t="s">
        <v>4913</v>
      </c>
      <c r="I366" s="282">
        <v>3955</v>
      </c>
      <c r="J366" s="282" t="s">
        <v>4852</v>
      </c>
      <c r="K366" s="282">
        <v>2593</v>
      </c>
      <c r="L366" s="282" t="s">
        <v>4853</v>
      </c>
      <c r="M366" s="283">
        <f t="shared" si="10"/>
        <v>0.34437420986093553</v>
      </c>
      <c r="N366" s="282">
        <v>2370</v>
      </c>
      <c r="O366" s="282"/>
      <c r="P366" s="282">
        <v>1981</v>
      </c>
      <c r="Q366" s="282">
        <f>2023-Table28[[#This Row],[year_built]]</f>
        <v>42</v>
      </c>
      <c r="R366" s="282">
        <v>1309.0999999999999</v>
      </c>
      <c r="S366" s="282" t="s">
        <v>4900</v>
      </c>
      <c r="T366" s="282" t="s">
        <v>4979</v>
      </c>
      <c r="U366" s="282">
        <v>2017</v>
      </c>
      <c r="V366" s="284">
        <f t="shared" si="11"/>
        <v>0.55236286919831223</v>
      </c>
      <c r="W366" s="292">
        <f>Table28[[#This Row],[$/sqft]]/INDEX(CPI!$A$3:$C$31,MATCH(Table28[[#This Row],[start_year]],CPI!$A$3:$A$31,0),3)</f>
        <v>0.68532659536192075</v>
      </c>
      <c r="X366" s="282" t="s">
        <v>4844</v>
      </c>
      <c r="Y366" s="282"/>
      <c r="Z366" s="282" t="s">
        <v>4840</v>
      </c>
      <c r="AA366" s="282">
        <v>34.43742099</v>
      </c>
      <c r="AB366" s="55" t="s">
        <v>72</v>
      </c>
      <c r="AC366" t="s">
        <v>71</v>
      </c>
    </row>
    <row r="367" spans="1:29" x14ac:dyDescent="0.2">
      <c r="A367" s="282">
        <v>5105</v>
      </c>
      <c r="B367" s="282">
        <v>12634</v>
      </c>
      <c r="C367" s="282" t="s">
        <v>3410</v>
      </c>
      <c r="D367" s="282" t="str">
        <f>IF(Table28[[#This Row],[% Leakage Reduction (Calculated)]]&gt;0.4, "Greater than 40% Air Reduction", "Less than 40% Air Reduction")</f>
        <v>Less than 40% Air Reduction</v>
      </c>
      <c r="E367" s="282" t="s">
        <v>4831</v>
      </c>
      <c r="F367" s="282" t="s">
        <v>4832</v>
      </c>
      <c r="G367" s="282" t="s">
        <v>4833</v>
      </c>
      <c r="H367" s="282" t="s">
        <v>4838</v>
      </c>
      <c r="I367" s="282">
        <v>2314</v>
      </c>
      <c r="J367" s="282" t="s">
        <v>4852</v>
      </c>
      <c r="K367" s="282">
        <v>1753</v>
      </c>
      <c r="L367" s="282" t="s">
        <v>4853</v>
      </c>
      <c r="M367" s="283">
        <f t="shared" si="10"/>
        <v>0.24243733794295591</v>
      </c>
      <c r="N367" s="282">
        <v>1188</v>
      </c>
      <c r="O367" s="282"/>
      <c r="P367" s="282">
        <v>1969</v>
      </c>
      <c r="Q367" s="282">
        <f>2023-Table28[[#This Row],[year_built]]</f>
        <v>54</v>
      </c>
      <c r="R367" s="282">
        <v>673.29</v>
      </c>
      <c r="S367" s="282" t="s">
        <v>4987</v>
      </c>
      <c r="T367" s="282" t="s">
        <v>4979</v>
      </c>
      <c r="U367" s="282">
        <v>2018</v>
      </c>
      <c r="V367" s="284">
        <f t="shared" si="11"/>
        <v>0.56674242424242416</v>
      </c>
      <c r="W367" s="292">
        <f>Table28[[#This Row],[$/sqft]]/INDEX(CPI!$A$3:$C$31,MATCH(Table28[[#This Row],[start_year]],CPI!$A$3:$A$31,0),3)</f>
        <v>0.68636547675078141</v>
      </c>
      <c r="X367" s="282" t="s">
        <v>4844</v>
      </c>
      <c r="Y367" s="282"/>
      <c r="Z367" s="282" t="s">
        <v>4840</v>
      </c>
      <c r="AA367" s="282">
        <v>24.24373379</v>
      </c>
      <c r="AB367" s="55" t="s">
        <v>72</v>
      </c>
      <c r="AC367" t="s">
        <v>71</v>
      </c>
    </row>
    <row r="368" spans="1:29" x14ac:dyDescent="0.2">
      <c r="A368" s="282">
        <v>4056</v>
      </c>
      <c r="B368" s="282">
        <v>11240</v>
      </c>
      <c r="C368" s="282" t="s">
        <v>3410</v>
      </c>
      <c r="D368" s="282" t="str">
        <f>IF(Table28[[#This Row],[% Leakage Reduction (Calculated)]]&gt;0.4, "Greater than 40% Air Reduction", "Less than 40% Air Reduction")</f>
        <v>Greater than 40% Air Reduction</v>
      </c>
      <c r="E368" s="282" t="s">
        <v>4831</v>
      </c>
      <c r="F368" s="282" t="s">
        <v>4832</v>
      </c>
      <c r="G368" s="282" t="s">
        <v>4833</v>
      </c>
      <c r="H368" s="282" t="s">
        <v>4838</v>
      </c>
      <c r="I368" s="282">
        <v>3386</v>
      </c>
      <c r="J368" s="282" t="s">
        <v>4852</v>
      </c>
      <c r="K368" s="282">
        <v>1953</v>
      </c>
      <c r="L368" s="282" t="s">
        <v>4853</v>
      </c>
      <c r="M368" s="283">
        <f t="shared" si="10"/>
        <v>0.42321323095097463</v>
      </c>
      <c r="N368" s="282">
        <v>1796</v>
      </c>
      <c r="O368" s="282"/>
      <c r="P368" s="282">
        <v>1980</v>
      </c>
      <c r="Q368" s="282">
        <f>2023-Table28[[#This Row],[year_built]]</f>
        <v>43</v>
      </c>
      <c r="R368" s="282">
        <v>1037.03</v>
      </c>
      <c r="S368" s="282" t="s">
        <v>4975</v>
      </c>
      <c r="T368" s="282" t="s">
        <v>4969</v>
      </c>
      <c r="U368" s="282">
        <v>2019</v>
      </c>
      <c r="V368" s="284">
        <f t="shared" si="11"/>
        <v>0.57741091314031179</v>
      </c>
      <c r="W368" s="292">
        <f>Table28[[#This Row],[$/sqft]]/INDEX(CPI!$A$3:$C$31,MATCH(Table28[[#This Row],[start_year]],CPI!$A$3:$A$31,0),3)</f>
        <v>0.68670574378556448</v>
      </c>
      <c r="X368" s="282" t="s">
        <v>1241</v>
      </c>
      <c r="Y368" s="282"/>
      <c r="Z368" s="282" t="s">
        <v>4840</v>
      </c>
      <c r="AA368" s="282">
        <v>42.321323100000001</v>
      </c>
      <c r="AB368" s="55" t="s">
        <v>72</v>
      </c>
      <c r="AC368" t="s">
        <v>71</v>
      </c>
    </row>
    <row r="369" spans="1:29" x14ac:dyDescent="0.2">
      <c r="A369" s="282">
        <v>3088</v>
      </c>
      <c r="B369" s="282">
        <v>9391</v>
      </c>
      <c r="C369" s="282" t="s">
        <v>3410</v>
      </c>
      <c r="D369" s="282" t="str">
        <f>IF(Table28[[#This Row],[% Leakage Reduction (Calculated)]]&gt;0.4, "Greater than 40% Air Reduction", "Less than 40% Air Reduction")</f>
        <v>Less than 40% Air Reduction</v>
      </c>
      <c r="E369" s="282" t="s">
        <v>4831</v>
      </c>
      <c r="F369" s="282" t="s">
        <v>4832</v>
      </c>
      <c r="G369" s="282" t="s">
        <v>4833</v>
      </c>
      <c r="H369" s="282" t="s">
        <v>4838</v>
      </c>
      <c r="I369" s="282">
        <v>13.55</v>
      </c>
      <c r="J369" s="282" t="s">
        <v>4834</v>
      </c>
      <c r="K369" s="282">
        <v>8.75</v>
      </c>
      <c r="L369" s="282" t="s">
        <v>4835</v>
      </c>
      <c r="M369" s="283">
        <f t="shared" si="10"/>
        <v>0.35424354243542439</v>
      </c>
      <c r="N369" s="282">
        <v>1728</v>
      </c>
      <c r="O369" s="282">
        <v>2</v>
      </c>
      <c r="P369" s="282">
        <v>2000</v>
      </c>
      <c r="Q369" s="282">
        <f>2023-Table28[[#This Row],[year_built]]</f>
        <v>23</v>
      </c>
      <c r="R369" s="282">
        <v>1000</v>
      </c>
      <c r="S369" s="282" t="s">
        <v>4944</v>
      </c>
      <c r="T369" s="282" t="s">
        <v>4906</v>
      </c>
      <c r="U369" s="282">
        <v>2019</v>
      </c>
      <c r="V369" s="284">
        <f t="shared" si="11"/>
        <v>0.57870370370370372</v>
      </c>
      <c r="W369" s="292">
        <f>Table28[[#This Row],[$/sqft]]/INDEX(CPI!$A$3:$C$31,MATCH(Table28[[#This Row],[start_year]],CPI!$A$3:$A$31,0),3)</f>
        <v>0.68824323932849552</v>
      </c>
      <c r="X369" s="282"/>
      <c r="Y369" s="282" t="s">
        <v>217</v>
      </c>
      <c r="Z369" s="282" t="s">
        <v>4840</v>
      </c>
      <c r="AA369" s="282">
        <v>35.42435424</v>
      </c>
      <c r="AB369" s="55" t="s">
        <v>72</v>
      </c>
      <c r="AC369" t="s">
        <v>71</v>
      </c>
    </row>
    <row r="370" spans="1:29" x14ac:dyDescent="0.2">
      <c r="A370" s="282">
        <v>5008</v>
      </c>
      <c r="B370" s="282">
        <v>12049</v>
      </c>
      <c r="C370" s="282" t="s">
        <v>3410</v>
      </c>
      <c r="D370" s="282" t="str">
        <f>IF(Table28[[#This Row],[% Leakage Reduction (Calculated)]]&gt;0.4, "Greater than 40% Air Reduction", "Less than 40% Air Reduction")</f>
        <v>Less than 40% Air Reduction</v>
      </c>
      <c r="E370" s="282" t="s">
        <v>4831</v>
      </c>
      <c r="F370" s="282" t="s">
        <v>4832</v>
      </c>
      <c r="G370" s="282" t="s">
        <v>4833</v>
      </c>
      <c r="H370" s="282" t="s">
        <v>4838</v>
      </c>
      <c r="I370" s="282">
        <v>6890</v>
      </c>
      <c r="J370" s="282" t="s">
        <v>4852</v>
      </c>
      <c r="K370" s="282">
        <v>4404</v>
      </c>
      <c r="L370" s="282" t="s">
        <v>4853</v>
      </c>
      <c r="M370" s="283">
        <f t="shared" si="10"/>
        <v>0.36081277213352686</v>
      </c>
      <c r="N370" s="282">
        <v>1400</v>
      </c>
      <c r="O370" s="282"/>
      <c r="P370" s="282">
        <v>1979</v>
      </c>
      <c r="Q370" s="282">
        <f>2023-Table28[[#This Row],[year_built]]</f>
        <v>44</v>
      </c>
      <c r="R370" s="282">
        <v>814.81</v>
      </c>
      <c r="S370" s="282" t="s">
        <v>4900</v>
      </c>
      <c r="T370" s="282" t="s">
        <v>4979</v>
      </c>
      <c r="U370" s="282">
        <v>2019</v>
      </c>
      <c r="V370" s="284">
        <f t="shared" si="11"/>
        <v>0.58200714285714283</v>
      </c>
      <c r="W370" s="292">
        <f>Table28[[#This Row],[$/sqft]]/INDEX(CPI!$A$3:$C$31,MATCH(Table28[[#This Row],[start_year]],CPI!$A$3:$A$31,0),3)</f>
        <v>0.69217196770769318</v>
      </c>
      <c r="X370" s="282" t="s">
        <v>4844</v>
      </c>
      <c r="Y370" s="282"/>
      <c r="Z370" s="282" t="s">
        <v>4840</v>
      </c>
      <c r="AA370" s="282">
        <v>36.081277210000003</v>
      </c>
      <c r="AB370" s="55" t="s">
        <v>72</v>
      </c>
      <c r="AC370" t="s">
        <v>71</v>
      </c>
    </row>
    <row r="371" spans="1:29" x14ac:dyDescent="0.2">
      <c r="A371" s="282">
        <v>3261</v>
      </c>
      <c r="B371" s="282">
        <v>9972</v>
      </c>
      <c r="C371" s="282" t="s">
        <v>3410</v>
      </c>
      <c r="D371" s="282" t="str">
        <f>IF(Table28[[#This Row],[% Leakage Reduction (Calculated)]]&gt;0.4, "Greater than 40% Air Reduction", "Less than 40% Air Reduction")</f>
        <v>Greater than 40% Air Reduction</v>
      </c>
      <c r="E371" s="282" t="s">
        <v>4831</v>
      </c>
      <c r="F371" s="282" t="s">
        <v>4832</v>
      </c>
      <c r="G371" s="282" t="s">
        <v>4833</v>
      </c>
      <c r="H371" s="282" t="s">
        <v>4838</v>
      </c>
      <c r="I371" s="282">
        <v>13.37</v>
      </c>
      <c r="J371" s="282" t="s">
        <v>4834</v>
      </c>
      <c r="K371" s="282">
        <v>7.24</v>
      </c>
      <c r="L371" s="282" t="s">
        <v>4835</v>
      </c>
      <c r="M371" s="283">
        <f t="shared" si="10"/>
        <v>0.4584891548242333</v>
      </c>
      <c r="N371" s="282">
        <v>1709</v>
      </c>
      <c r="O371" s="282">
        <v>1</v>
      </c>
      <c r="P371" s="282">
        <v>1954</v>
      </c>
      <c r="Q371" s="282">
        <f>2023-Table28[[#This Row],[year_built]]</f>
        <v>69</v>
      </c>
      <c r="R371" s="282">
        <v>1000</v>
      </c>
      <c r="S371" s="282" t="s">
        <v>4936</v>
      </c>
      <c r="T371" s="282" t="s">
        <v>4906</v>
      </c>
      <c r="U371" s="282">
        <v>2019</v>
      </c>
      <c r="V371" s="284">
        <f t="shared" si="11"/>
        <v>0.58513750731421887</v>
      </c>
      <c r="W371" s="292">
        <f>Table28[[#This Row],[$/sqft]]/INDEX(CPI!$A$3:$C$31,MATCH(Table28[[#This Row],[start_year]],CPI!$A$3:$A$31,0),3)</f>
        <v>0.69589486106473986</v>
      </c>
      <c r="X371" s="282"/>
      <c r="Y371" s="282" t="s">
        <v>4872</v>
      </c>
      <c r="Z371" s="282" t="s">
        <v>4840</v>
      </c>
      <c r="AA371" s="282">
        <v>45.848915480000002</v>
      </c>
      <c r="AB371" s="55" t="s">
        <v>72</v>
      </c>
      <c r="AC371" t="s">
        <v>71</v>
      </c>
    </row>
    <row r="372" spans="1:29" x14ac:dyDescent="0.2">
      <c r="A372" s="282">
        <v>5222</v>
      </c>
      <c r="B372" s="282">
        <v>13322</v>
      </c>
      <c r="C372" s="282" t="s">
        <v>3410</v>
      </c>
      <c r="D372" s="282" t="str">
        <f>IF(Table28[[#This Row],[% Leakage Reduction (Calculated)]]&gt;0.4, "Greater than 40% Air Reduction", "Less than 40% Air Reduction")</f>
        <v>Less than 40% Air Reduction</v>
      </c>
      <c r="E372" s="282" t="s">
        <v>4831</v>
      </c>
      <c r="F372" s="282" t="s">
        <v>4832</v>
      </c>
      <c r="G372" s="282" t="s">
        <v>4833</v>
      </c>
      <c r="H372" s="282" t="s">
        <v>4972</v>
      </c>
      <c r="I372" s="282">
        <v>3511</v>
      </c>
      <c r="J372" s="282" t="s">
        <v>4852</v>
      </c>
      <c r="K372" s="282">
        <v>2667</v>
      </c>
      <c r="L372" s="282" t="s">
        <v>4853</v>
      </c>
      <c r="M372" s="283">
        <f t="shared" si="10"/>
        <v>0.24038735403019082</v>
      </c>
      <c r="N372" s="282">
        <v>1344</v>
      </c>
      <c r="O372" s="282"/>
      <c r="P372" s="282">
        <v>1999</v>
      </c>
      <c r="Q372" s="282">
        <f>2023-Table28[[#This Row],[year_built]]</f>
        <v>24</v>
      </c>
      <c r="R372" s="282">
        <v>776.5</v>
      </c>
      <c r="S372" s="282" t="s">
        <v>4997</v>
      </c>
      <c r="T372" s="282" t="s">
        <v>4979</v>
      </c>
      <c r="U372" s="282">
        <v>2018</v>
      </c>
      <c r="V372" s="284">
        <f t="shared" si="11"/>
        <v>0.57775297619047616</v>
      </c>
      <c r="W372" s="292">
        <f>Table28[[#This Row],[$/sqft]]/INDEX(CPI!$A$3:$C$31,MATCH(Table28[[#This Row],[start_year]],CPI!$A$3:$A$31,0),3)</f>
        <v>0.69970004006182329</v>
      </c>
      <c r="X372" s="282" t="s">
        <v>4844</v>
      </c>
      <c r="Y372" s="282"/>
      <c r="Z372" s="282" t="s">
        <v>4840</v>
      </c>
      <c r="AA372" s="282">
        <v>24.0387354</v>
      </c>
      <c r="AB372" s="55" t="s">
        <v>72</v>
      </c>
      <c r="AC372" t="s">
        <v>71</v>
      </c>
    </row>
    <row r="373" spans="1:29" x14ac:dyDescent="0.2">
      <c r="A373" s="282">
        <v>5002</v>
      </c>
      <c r="B373" s="282">
        <v>12012</v>
      </c>
      <c r="C373" s="282" t="s">
        <v>3410</v>
      </c>
      <c r="D373" s="282" t="str">
        <f>IF(Table28[[#This Row],[% Leakage Reduction (Calculated)]]&gt;0.4, "Greater than 40% Air Reduction", "Less than 40% Air Reduction")</f>
        <v>Less than 40% Air Reduction</v>
      </c>
      <c r="E373" s="282" t="s">
        <v>4831</v>
      </c>
      <c r="F373" s="282" t="s">
        <v>4832</v>
      </c>
      <c r="G373" s="282" t="s">
        <v>4833</v>
      </c>
      <c r="H373" s="282" t="s">
        <v>4972</v>
      </c>
      <c r="I373" s="282">
        <v>3515</v>
      </c>
      <c r="J373" s="282" t="s">
        <v>4852</v>
      </c>
      <c r="K373" s="282">
        <v>2333</v>
      </c>
      <c r="L373" s="282" t="s">
        <v>4853</v>
      </c>
      <c r="M373" s="283">
        <f t="shared" si="10"/>
        <v>0.33627311522048364</v>
      </c>
      <c r="N373" s="282">
        <v>1771</v>
      </c>
      <c r="O373" s="282"/>
      <c r="P373" s="282">
        <v>1998</v>
      </c>
      <c r="Q373" s="282">
        <f>2023-Table28[[#This Row],[year_built]]</f>
        <v>25</v>
      </c>
      <c r="R373" s="282">
        <v>1000.15</v>
      </c>
      <c r="S373" s="282" t="s">
        <v>4981</v>
      </c>
      <c r="T373" s="282" t="s">
        <v>4979</v>
      </c>
      <c r="U373" s="282">
        <v>2017</v>
      </c>
      <c r="V373" s="284">
        <f t="shared" si="11"/>
        <v>0.56473743647656693</v>
      </c>
      <c r="W373" s="292">
        <f>Table28[[#This Row],[$/sqft]]/INDEX(CPI!$A$3:$C$31,MATCH(Table28[[#This Row],[start_year]],CPI!$A$3:$A$31,0),3)</f>
        <v>0.70067994464514083</v>
      </c>
      <c r="X373" s="282" t="s">
        <v>4844</v>
      </c>
      <c r="Y373" s="282"/>
      <c r="Z373" s="282" t="s">
        <v>4840</v>
      </c>
      <c r="AA373" s="282">
        <v>33.627311519999999</v>
      </c>
      <c r="AB373" s="55" t="s">
        <v>72</v>
      </c>
      <c r="AC373" t="s">
        <v>71</v>
      </c>
    </row>
    <row r="374" spans="1:29" x14ac:dyDescent="0.2">
      <c r="A374" s="282">
        <v>5047</v>
      </c>
      <c r="B374" s="282">
        <v>12289</v>
      </c>
      <c r="C374" s="282" t="s">
        <v>3410</v>
      </c>
      <c r="D374" s="282" t="str">
        <f>IF(Table28[[#This Row],[% Leakage Reduction (Calculated)]]&gt;0.4, "Greater than 40% Air Reduction", "Less than 40% Air Reduction")</f>
        <v>Less than 40% Air Reduction</v>
      </c>
      <c r="E374" s="282" t="s">
        <v>4831</v>
      </c>
      <c r="F374" s="282" t="s">
        <v>4832</v>
      </c>
      <c r="G374" s="282" t="s">
        <v>4833</v>
      </c>
      <c r="H374" s="282" t="s">
        <v>4838</v>
      </c>
      <c r="I374" s="282">
        <v>2657</v>
      </c>
      <c r="J374" s="282" t="s">
        <v>4852</v>
      </c>
      <c r="K374" s="282">
        <v>1817</v>
      </c>
      <c r="L374" s="282" t="s">
        <v>4853</v>
      </c>
      <c r="M374" s="283">
        <f t="shared" si="10"/>
        <v>0.316146029356417</v>
      </c>
      <c r="N374" s="282">
        <v>1000</v>
      </c>
      <c r="O374" s="282"/>
      <c r="P374" s="282">
        <v>1990</v>
      </c>
      <c r="Q374" s="282">
        <f>2023-Table28[[#This Row],[year_built]]</f>
        <v>33</v>
      </c>
      <c r="R374" s="282">
        <v>591.08000000000004</v>
      </c>
      <c r="S374" s="282" t="s">
        <v>4981</v>
      </c>
      <c r="T374" s="282" t="s">
        <v>4979</v>
      </c>
      <c r="U374" s="282">
        <v>2019</v>
      </c>
      <c r="V374" s="284">
        <f t="shared" si="11"/>
        <v>0.59108000000000005</v>
      </c>
      <c r="W374" s="292">
        <f>Table28[[#This Row],[$/sqft]]/INDEX(CPI!$A$3:$C$31,MATCH(Table28[[#This Row],[start_year]],CPI!$A$3:$A$31,0),3)</f>
        <v>0.70296217442315223</v>
      </c>
      <c r="X374" s="282" t="s">
        <v>4844</v>
      </c>
      <c r="Y374" s="282"/>
      <c r="Z374" s="282" t="s">
        <v>4840</v>
      </c>
      <c r="AA374" s="282">
        <v>31.614602940000001</v>
      </c>
      <c r="AB374" s="55" t="s">
        <v>72</v>
      </c>
      <c r="AC374" t="s">
        <v>71</v>
      </c>
    </row>
    <row r="375" spans="1:29" x14ac:dyDescent="0.2">
      <c r="A375" s="282">
        <v>5071</v>
      </c>
      <c r="B375" s="282">
        <v>12434</v>
      </c>
      <c r="C375" s="282" t="s">
        <v>3410</v>
      </c>
      <c r="D375" s="282" t="str">
        <f>IF(Table28[[#This Row],[% Leakage Reduction (Calculated)]]&gt;0.4, "Greater than 40% Air Reduction", "Less than 40% Air Reduction")</f>
        <v>Less than 40% Air Reduction</v>
      </c>
      <c r="E375" s="282" t="s">
        <v>4831</v>
      </c>
      <c r="F375" s="282" t="s">
        <v>4832</v>
      </c>
      <c r="G375" s="282" t="s">
        <v>4833</v>
      </c>
      <c r="H375" s="282" t="s">
        <v>4838</v>
      </c>
      <c r="I375" s="282">
        <v>4193</v>
      </c>
      <c r="J375" s="282" t="s">
        <v>4852</v>
      </c>
      <c r="K375" s="282">
        <v>3402</v>
      </c>
      <c r="L375" s="282" t="s">
        <v>4853</v>
      </c>
      <c r="M375" s="283">
        <f t="shared" si="10"/>
        <v>0.18864774624373956</v>
      </c>
      <c r="N375" s="282">
        <v>1450</v>
      </c>
      <c r="O375" s="282"/>
      <c r="P375" s="282">
        <v>1967</v>
      </c>
      <c r="Q375" s="282">
        <f>2023-Table28[[#This Row],[year_built]]</f>
        <v>56</v>
      </c>
      <c r="R375" s="282">
        <v>841.96</v>
      </c>
      <c r="S375" s="282" t="s">
        <v>4990</v>
      </c>
      <c r="T375" s="282" t="s">
        <v>4979</v>
      </c>
      <c r="U375" s="282">
        <v>2018</v>
      </c>
      <c r="V375" s="284">
        <f t="shared" si="11"/>
        <v>0.58066206896551731</v>
      </c>
      <c r="W375" s="292">
        <f>Table28[[#This Row],[$/sqft]]/INDEX(CPI!$A$3:$C$31,MATCH(Table28[[#This Row],[start_year]],CPI!$A$3:$A$31,0),3)</f>
        <v>0.70322315879097508</v>
      </c>
      <c r="X375" s="282" t="s">
        <v>1241</v>
      </c>
      <c r="Y375" s="282"/>
      <c r="Z375" s="282" t="s">
        <v>4840</v>
      </c>
      <c r="AA375" s="282">
        <v>18.864774619999999</v>
      </c>
      <c r="AB375" s="55" t="s">
        <v>72</v>
      </c>
      <c r="AC375" t="s">
        <v>71</v>
      </c>
    </row>
    <row r="376" spans="1:29" x14ac:dyDescent="0.2">
      <c r="A376" s="282">
        <v>5233</v>
      </c>
      <c r="B376" s="282">
        <v>13381</v>
      </c>
      <c r="C376" s="282" t="s">
        <v>3410</v>
      </c>
      <c r="D376" s="282" t="str">
        <f>IF(Table28[[#This Row],[% Leakage Reduction (Calculated)]]&gt;0.4, "Greater than 40% Air Reduction", "Less than 40% Air Reduction")</f>
        <v>Less than 40% Air Reduction</v>
      </c>
      <c r="E376" s="282" t="s">
        <v>4831</v>
      </c>
      <c r="F376" s="282" t="s">
        <v>4832</v>
      </c>
      <c r="G376" s="282" t="s">
        <v>4833</v>
      </c>
      <c r="H376" s="282" t="s">
        <v>4838</v>
      </c>
      <c r="I376" s="282">
        <v>2183</v>
      </c>
      <c r="J376" s="282" t="s">
        <v>4852</v>
      </c>
      <c r="K376" s="282">
        <v>1492</v>
      </c>
      <c r="L376" s="282" t="s">
        <v>4853</v>
      </c>
      <c r="M376" s="283">
        <f t="shared" si="10"/>
        <v>0.31653687585890977</v>
      </c>
      <c r="N376" s="282">
        <v>1328</v>
      </c>
      <c r="O376" s="282"/>
      <c r="P376" s="282">
        <v>1983</v>
      </c>
      <c r="Q376" s="282">
        <f>2023-Table28[[#This Row],[year_built]]</f>
        <v>40</v>
      </c>
      <c r="R376" s="282">
        <v>780.63</v>
      </c>
      <c r="S376" s="282" t="s">
        <v>4900</v>
      </c>
      <c r="T376" s="282" t="s">
        <v>4979</v>
      </c>
      <c r="U376" s="282">
        <v>2018</v>
      </c>
      <c r="V376" s="284">
        <f t="shared" si="11"/>
        <v>0.58782379518072292</v>
      </c>
      <c r="W376" s="292">
        <f>Table28[[#This Row],[$/sqft]]/INDEX(CPI!$A$3:$C$31,MATCH(Table28[[#This Row],[start_year]],CPI!$A$3:$A$31,0),3)</f>
        <v>0.71189651977083968</v>
      </c>
      <c r="X376" s="282" t="s">
        <v>1241</v>
      </c>
      <c r="Y376" s="282"/>
      <c r="Z376" s="282" t="s">
        <v>4840</v>
      </c>
      <c r="AA376" s="282">
        <v>31.653687590000001</v>
      </c>
      <c r="AB376" s="55" t="s">
        <v>72</v>
      </c>
      <c r="AC376" t="s">
        <v>71</v>
      </c>
    </row>
    <row r="377" spans="1:29" x14ac:dyDescent="0.2">
      <c r="A377" s="282">
        <v>3003</v>
      </c>
      <c r="B377" s="282">
        <v>9021</v>
      </c>
      <c r="C377" s="282" t="s">
        <v>3410</v>
      </c>
      <c r="D377" s="282" t="str">
        <f>IF(Table28[[#This Row],[% Leakage Reduction (Calculated)]]&gt;0.4, "Greater than 40% Air Reduction", "Less than 40% Air Reduction")</f>
        <v>Less than 40% Air Reduction</v>
      </c>
      <c r="E377" s="282" t="s">
        <v>4831</v>
      </c>
      <c r="F377" s="282" t="s">
        <v>4832</v>
      </c>
      <c r="G377" s="282" t="s">
        <v>4833</v>
      </c>
      <c r="H377" s="282" t="s">
        <v>4838</v>
      </c>
      <c r="I377" s="282">
        <v>34.229999999999997</v>
      </c>
      <c r="J377" s="282" t="s">
        <v>4834</v>
      </c>
      <c r="K377" s="282">
        <v>23.05</v>
      </c>
      <c r="L377" s="282" t="s">
        <v>4835</v>
      </c>
      <c r="M377" s="283">
        <f t="shared" si="10"/>
        <v>0.32661408121530811</v>
      </c>
      <c r="N377" s="282">
        <v>1152</v>
      </c>
      <c r="O377" s="282">
        <v>2</v>
      </c>
      <c r="P377" s="282">
        <v>1923</v>
      </c>
      <c r="Q377" s="282">
        <f>2023-Table28[[#This Row],[year_built]]</f>
        <v>100</v>
      </c>
      <c r="R377" s="282">
        <v>661.53</v>
      </c>
      <c r="S377" s="282" t="s">
        <v>4908</v>
      </c>
      <c r="T377" s="282" t="s">
        <v>4906</v>
      </c>
      <c r="U377" s="282">
        <v>2017</v>
      </c>
      <c r="V377" s="284">
        <f t="shared" si="11"/>
        <v>0.57424479166666664</v>
      </c>
      <c r="W377" s="292">
        <f>Table28[[#This Row],[$/sqft]]/INDEX(CPI!$A$3:$C$31,MATCH(Table28[[#This Row],[start_year]],CPI!$A$3:$A$31,0),3)</f>
        <v>0.71247589206786355</v>
      </c>
      <c r="X377" s="282"/>
      <c r="Y377" s="282" t="s">
        <v>217</v>
      </c>
      <c r="Z377" s="282" t="s">
        <v>4907</v>
      </c>
      <c r="AA377" s="282">
        <v>32.661408119999997</v>
      </c>
      <c r="AB377" s="55" t="s">
        <v>72</v>
      </c>
      <c r="AC377" t="s">
        <v>71</v>
      </c>
    </row>
    <row r="378" spans="1:29" x14ac:dyDescent="0.2">
      <c r="A378" s="282">
        <v>5204</v>
      </c>
      <c r="B378" s="282">
        <v>13222</v>
      </c>
      <c r="C378" s="282" t="s">
        <v>3410</v>
      </c>
      <c r="D378" s="282" t="str">
        <f>IF(Table28[[#This Row],[% Leakage Reduction (Calculated)]]&gt;0.4, "Greater than 40% Air Reduction", "Less than 40% Air Reduction")</f>
        <v>Less than 40% Air Reduction</v>
      </c>
      <c r="E378" s="282" t="s">
        <v>4831</v>
      </c>
      <c r="F378" s="282" t="s">
        <v>4832</v>
      </c>
      <c r="G378" s="282" t="s">
        <v>4833</v>
      </c>
      <c r="H378" s="282" t="s">
        <v>4972</v>
      </c>
      <c r="I378" s="282">
        <v>3136</v>
      </c>
      <c r="J378" s="282" t="s">
        <v>4852</v>
      </c>
      <c r="K378" s="282">
        <v>2364</v>
      </c>
      <c r="L378" s="282" t="s">
        <v>4853</v>
      </c>
      <c r="M378" s="283">
        <f t="shared" si="10"/>
        <v>0.24617346938775511</v>
      </c>
      <c r="N378" s="282">
        <v>890</v>
      </c>
      <c r="O378" s="282"/>
      <c r="P378" s="282">
        <v>1990</v>
      </c>
      <c r="Q378" s="282">
        <f>2023-Table28[[#This Row],[year_built]]</f>
        <v>33</v>
      </c>
      <c r="R378" s="282">
        <v>523.75</v>
      </c>
      <c r="S378" s="282" t="s">
        <v>4988</v>
      </c>
      <c r="T378" s="282" t="s">
        <v>4979</v>
      </c>
      <c r="U378" s="282">
        <v>2018</v>
      </c>
      <c r="V378" s="284">
        <f t="shared" si="11"/>
        <v>0.5884831460674157</v>
      </c>
      <c r="W378" s="292">
        <f>Table28[[#This Row],[$/sqft]]/INDEX(CPI!$A$3:$C$31,MATCH(Table28[[#This Row],[start_year]],CPI!$A$3:$A$31,0),3)</f>
        <v>0.71269504069733625</v>
      </c>
      <c r="X378" s="282" t="s">
        <v>4844</v>
      </c>
      <c r="Y378" s="282"/>
      <c r="Z378" s="282" t="s">
        <v>4840</v>
      </c>
      <c r="AA378" s="282">
        <v>24.617346940000001</v>
      </c>
      <c r="AB378" s="55" t="s">
        <v>72</v>
      </c>
      <c r="AC378" t="s">
        <v>71</v>
      </c>
    </row>
    <row r="379" spans="1:29" x14ac:dyDescent="0.2">
      <c r="A379" s="282">
        <v>5229</v>
      </c>
      <c r="B379" s="282">
        <v>13360</v>
      </c>
      <c r="C379" s="282" t="s">
        <v>3410</v>
      </c>
      <c r="D379" s="282" t="str">
        <f>IF(Table28[[#This Row],[% Leakage Reduction (Calculated)]]&gt;0.4, "Greater than 40% Air Reduction", "Less than 40% Air Reduction")</f>
        <v>Less than 40% Air Reduction</v>
      </c>
      <c r="E379" s="282" t="s">
        <v>4831</v>
      </c>
      <c r="F379" s="282" t="s">
        <v>4832</v>
      </c>
      <c r="G379" s="282" t="s">
        <v>4833</v>
      </c>
      <c r="H379" s="282" t="s">
        <v>4838</v>
      </c>
      <c r="I379" s="282">
        <v>2877</v>
      </c>
      <c r="J379" s="282" t="s">
        <v>4852</v>
      </c>
      <c r="K379" s="282">
        <v>1945</v>
      </c>
      <c r="L379" s="282" t="s">
        <v>4853</v>
      </c>
      <c r="M379" s="283">
        <f t="shared" si="10"/>
        <v>0.32394855752519985</v>
      </c>
      <c r="N379" s="282">
        <v>2128</v>
      </c>
      <c r="O379" s="282"/>
      <c r="P379" s="282">
        <v>2007</v>
      </c>
      <c r="Q379" s="282">
        <f>2023-Table28[[#This Row],[year_built]]</f>
        <v>16</v>
      </c>
      <c r="R379" s="282">
        <v>1256.8499999999999</v>
      </c>
      <c r="S379" s="282" t="s">
        <v>4900</v>
      </c>
      <c r="T379" s="282" t="s">
        <v>4979</v>
      </c>
      <c r="U379" s="282">
        <v>2018</v>
      </c>
      <c r="V379" s="284">
        <f t="shared" si="11"/>
        <v>0.59062499999999996</v>
      </c>
      <c r="W379" s="292">
        <f>Table28[[#This Row],[$/sqft]]/INDEX(CPI!$A$3:$C$31,MATCH(Table28[[#This Row],[start_year]],CPI!$A$3:$A$31,0),3)</f>
        <v>0.7152889784946237</v>
      </c>
      <c r="X379" s="282" t="s">
        <v>4844</v>
      </c>
      <c r="Y379" s="282"/>
      <c r="Z379" s="282" t="s">
        <v>4840</v>
      </c>
      <c r="AA379" s="282">
        <v>32.394855749999998</v>
      </c>
      <c r="AB379" s="55" t="s">
        <v>72</v>
      </c>
      <c r="AC379" t="s">
        <v>71</v>
      </c>
    </row>
    <row r="380" spans="1:29" x14ac:dyDescent="0.2">
      <c r="A380" s="282">
        <v>5148</v>
      </c>
      <c r="B380" s="282">
        <v>12902</v>
      </c>
      <c r="C380" s="282" t="s">
        <v>3410</v>
      </c>
      <c r="D380" s="282" t="str">
        <f>IF(Table28[[#This Row],[% Leakage Reduction (Calculated)]]&gt;0.4, "Greater than 40% Air Reduction", "Less than 40% Air Reduction")</f>
        <v>Less than 40% Air Reduction</v>
      </c>
      <c r="E380" s="282" t="s">
        <v>4831</v>
      </c>
      <c r="F380" s="282" t="s">
        <v>4832</v>
      </c>
      <c r="G380" s="282" t="s">
        <v>4833</v>
      </c>
      <c r="H380" s="282" t="s">
        <v>4838</v>
      </c>
      <c r="I380" s="282">
        <v>2909</v>
      </c>
      <c r="J380" s="282" t="s">
        <v>4852</v>
      </c>
      <c r="K380" s="282">
        <v>2145</v>
      </c>
      <c r="L380" s="282" t="s">
        <v>4853</v>
      </c>
      <c r="M380" s="283">
        <f t="shared" si="10"/>
        <v>0.26263320728772777</v>
      </c>
      <c r="N380" s="282">
        <v>900</v>
      </c>
      <c r="O380" s="282"/>
      <c r="P380" s="282">
        <v>1976</v>
      </c>
      <c r="Q380" s="282">
        <f>2023-Table28[[#This Row],[year_built]]</f>
        <v>47</v>
      </c>
      <c r="R380" s="282">
        <v>547.27</v>
      </c>
      <c r="S380" s="282" t="s">
        <v>4998</v>
      </c>
      <c r="T380" s="282" t="s">
        <v>4979</v>
      </c>
      <c r="U380" s="282">
        <v>2019</v>
      </c>
      <c r="V380" s="284">
        <f t="shared" si="11"/>
        <v>0.60807777777777772</v>
      </c>
      <c r="W380" s="292">
        <f>Table28[[#This Row],[$/sqft]]/INDEX(CPI!$A$3:$C$31,MATCH(Table28[[#This Row],[start_year]],CPI!$A$3:$A$31,0),3)</f>
        <v>0.72317736496762697</v>
      </c>
      <c r="X380" s="282" t="s">
        <v>4844</v>
      </c>
      <c r="Y380" s="282"/>
      <c r="Z380" s="282" t="s">
        <v>4840</v>
      </c>
      <c r="AA380" s="282">
        <v>26.26332073</v>
      </c>
      <c r="AB380" s="55" t="s">
        <v>72</v>
      </c>
      <c r="AC380" t="s">
        <v>71</v>
      </c>
    </row>
    <row r="381" spans="1:29" x14ac:dyDescent="0.2">
      <c r="A381" s="282">
        <v>5241</v>
      </c>
      <c r="B381" s="282">
        <v>13425</v>
      </c>
      <c r="C381" s="282" t="s">
        <v>3410</v>
      </c>
      <c r="D381" s="282" t="str">
        <f>IF(Table28[[#This Row],[% Leakage Reduction (Calculated)]]&gt;0.4, "Greater than 40% Air Reduction", "Less than 40% Air Reduction")</f>
        <v>Less than 40% Air Reduction</v>
      </c>
      <c r="E381" s="282" t="s">
        <v>4831</v>
      </c>
      <c r="F381" s="282" t="s">
        <v>4832</v>
      </c>
      <c r="G381" s="282" t="s">
        <v>4833</v>
      </c>
      <c r="H381" s="282" t="s">
        <v>4972</v>
      </c>
      <c r="I381" s="282">
        <v>3053</v>
      </c>
      <c r="J381" s="282" t="s">
        <v>4852</v>
      </c>
      <c r="K381" s="282">
        <v>2137</v>
      </c>
      <c r="L381" s="282" t="s">
        <v>4853</v>
      </c>
      <c r="M381" s="283">
        <f t="shared" si="10"/>
        <v>0.30003275466754015</v>
      </c>
      <c r="N381" s="282">
        <v>1342</v>
      </c>
      <c r="O381" s="282"/>
      <c r="P381" s="282">
        <v>2003</v>
      </c>
      <c r="Q381" s="282">
        <f>2023-Table28[[#This Row],[year_built]]</f>
        <v>20</v>
      </c>
      <c r="R381" s="282">
        <v>804.1</v>
      </c>
      <c r="S381" s="282" t="s">
        <v>4997</v>
      </c>
      <c r="T381" s="282" t="s">
        <v>4979</v>
      </c>
      <c r="U381" s="282">
        <v>2018</v>
      </c>
      <c r="V381" s="284">
        <f t="shared" si="11"/>
        <v>0.59918032786885245</v>
      </c>
      <c r="W381" s="292">
        <f>Table28[[#This Row],[$/sqft]]/INDEX(CPI!$A$3:$C$31,MATCH(Table28[[#This Row],[start_year]],CPI!$A$3:$A$31,0),3)</f>
        <v>0.72565009042181616</v>
      </c>
      <c r="X381" s="282" t="s">
        <v>4844</v>
      </c>
      <c r="Y381" s="282"/>
      <c r="Z381" s="282" t="s">
        <v>4840</v>
      </c>
      <c r="AA381" s="282">
        <v>30.003275469999998</v>
      </c>
      <c r="AB381" s="55" t="s">
        <v>72</v>
      </c>
      <c r="AC381" t="s">
        <v>71</v>
      </c>
    </row>
    <row r="382" spans="1:29" x14ac:dyDescent="0.2">
      <c r="A382" s="282">
        <v>5042</v>
      </c>
      <c r="B382" s="282">
        <v>12256</v>
      </c>
      <c r="C382" s="282" t="s">
        <v>3410</v>
      </c>
      <c r="D382" s="282" t="str">
        <f>IF(Table28[[#This Row],[% Leakage Reduction (Calculated)]]&gt;0.4, "Greater than 40% Air Reduction", "Less than 40% Air Reduction")</f>
        <v>Less than 40% Air Reduction</v>
      </c>
      <c r="E382" s="282" t="s">
        <v>4831</v>
      </c>
      <c r="F382" s="282" t="s">
        <v>4832</v>
      </c>
      <c r="G382" s="282" t="s">
        <v>4833</v>
      </c>
      <c r="H382" s="282" t="s">
        <v>4838</v>
      </c>
      <c r="I382" s="282">
        <v>3806</v>
      </c>
      <c r="J382" s="282" t="s">
        <v>4852</v>
      </c>
      <c r="K382" s="282">
        <v>2834</v>
      </c>
      <c r="L382" s="282" t="s">
        <v>4853</v>
      </c>
      <c r="M382" s="283">
        <f t="shared" si="10"/>
        <v>0.25538623226484497</v>
      </c>
      <c r="N382" s="282">
        <v>1500</v>
      </c>
      <c r="O382" s="282"/>
      <c r="P382" s="282">
        <v>1925</v>
      </c>
      <c r="Q382" s="282">
        <f>2023-Table28[[#This Row],[year_built]]</f>
        <v>98</v>
      </c>
      <c r="R382" s="282">
        <v>917.11</v>
      </c>
      <c r="S382" s="282" t="s">
        <v>4900</v>
      </c>
      <c r="T382" s="282" t="s">
        <v>4979</v>
      </c>
      <c r="U382" s="282">
        <v>2019</v>
      </c>
      <c r="V382" s="284">
        <f t="shared" si="11"/>
        <v>0.61140666666666665</v>
      </c>
      <c r="W382" s="292">
        <f>Table28[[#This Row],[$/sqft]]/INDEX(CPI!$A$3:$C$31,MATCH(Table28[[#This Row],[start_year]],CPI!$A$3:$A$31,0),3)</f>
        <v>0.72713636031808115</v>
      </c>
      <c r="X382" s="282" t="s">
        <v>4844</v>
      </c>
      <c r="Y382" s="282"/>
      <c r="Z382" s="282" t="s">
        <v>4840</v>
      </c>
      <c r="AA382" s="282">
        <v>25.538623229999999</v>
      </c>
      <c r="AB382" s="55" t="s">
        <v>72</v>
      </c>
      <c r="AC382" t="s">
        <v>71</v>
      </c>
    </row>
    <row r="383" spans="1:29" x14ac:dyDescent="0.2">
      <c r="A383" s="282">
        <v>3267</v>
      </c>
      <c r="B383" s="282">
        <v>9993</v>
      </c>
      <c r="C383" s="282" t="s">
        <v>3410</v>
      </c>
      <c r="D383" s="282" t="str">
        <f>IF(Table28[[#This Row],[% Leakage Reduction (Calculated)]]&gt;0.4, "Greater than 40% Air Reduction", "Less than 40% Air Reduction")</f>
        <v>Less than 40% Air Reduction</v>
      </c>
      <c r="E383" s="282" t="s">
        <v>4831</v>
      </c>
      <c r="F383" s="282" t="s">
        <v>4832</v>
      </c>
      <c r="G383" s="282" t="s">
        <v>4833</v>
      </c>
      <c r="H383" s="282" t="s">
        <v>4838</v>
      </c>
      <c r="I383" s="282">
        <v>17.27</v>
      </c>
      <c r="J383" s="282" t="s">
        <v>4834</v>
      </c>
      <c r="K383" s="282">
        <v>12.83</v>
      </c>
      <c r="L383" s="282" t="s">
        <v>4835</v>
      </c>
      <c r="M383" s="283">
        <f t="shared" si="10"/>
        <v>0.25709322524609146</v>
      </c>
      <c r="N383" s="282">
        <v>1288</v>
      </c>
      <c r="O383" s="282">
        <v>1</v>
      </c>
      <c r="P383" s="282">
        <v>1975</v>
      </c>
      <c r="Q383" s="282">
        <f>2023-Table28[[#This Row],[year_built]]</f>
        <v>48</v>
      </c>
      <c r="R383" s="282">
        <v>800</v>
      </c>
      <c r="S383" s="282" t="s">
        <v>4934</v>
      </c>
      <c r="T383" s="282" t="s">
        <v>4906</v>
      </c>
      <c r="U383" s="282">
        <v>2020</v>
      </c>
      <c r="V383" s="284">
        <f t="shared" si="11"/>
        <v>0.6211180124223602</v>
      </c>
      <c r="W383" s="292">
        <f>Table28[[#This Row],[$/sqft]]/INDEX(CPI!$A$3:$C$31,MATCH(Table28[[#This Row],[start_year]],CPI!$A$3:$A$31,0),3)</f>
        <v>0.72983766451947352</v>
      </c>
      <c r="X383" s="282"/>
      <c r="Y383" s="282" t="s">
        <v>4917</v>
      </c>
      <c r="Z383" s="282" t="s">
        <v>4907</v>
      </c>
      <c r="AA383" s="282">
        <v>25.709322520000001</v>
      </c>
      <c r="AB383" s="55" t="s">
        <v>72</v>
      </c>
      <c r="AC383" t="s">
        <v>71</v>
      </c>
    </row>
    <row r="384" spans="1:29" x14ac:dyDescent="0.2">
      <c r="A384" s="282">
        <v>5004</v>
      </c>
      <c r="B384" s="282">
        <v>12021</v>
      </c>
      <c r="C384" s="282" t="s">
        <v>3410</v>
      </c>
      <c r="D384" s="282" t="str">
        <f>IF(Table28[[#This Row],[% Leakage Reduction (Calculated)]]&gt;0.4, "Greater than 40% Air Reduction", "Less than 40% Air Reduction")</f>
        <v>Less than 40% Air Reduction</v>
      </c>
      <c r="E384" s="282" t="s">
        <v>4831</v>
      </c>
      <c r="F384" s="282" t="s">
        <v>4832</v>
      </c>
      <c r="G384" s="282" t="s">
        <v>4833</v>
      </c>
      <c r="H384" s="282" t="s">
        <v>4838</v>
      </c>
      <c r="I384" s="282">
        <v>2561</v>
      </c>
      <c r="J384" s="282" t="s">
        <v>4852</v>
      </c>
      <c r="K384" s="282">
        <v>2033</v>
      </c>
      <c r="L384" s="282" t="s">
        <v>4853</v>
      </c>
      <c r="M384" s="283">
        <f t="shared" si="10"/>
        <v>0.20616946505271377</v>
      </c>
      <c r="N384" s="282">
        <v>2400</v>
      </c>
      <c r="O384" s="282"/>
      <c r="P384" s="282">
        <v>2005</v>
      </c>
      <c r="Q384" s="282">
        <f>2023-Table28[[#This Row],[year_built]]</f>
        <v>18</v>
      </c>
      <c r="R384" s="282">
        <v>1449.88</v>
      </c>
      <c r="S384" s="282" t="s">
        <v>4982</v>
      </c>
      <c r="T384" s="282" t="s">
        <v>4979</v>
      </c>
      <c r="U384" s="282">
        <v>2018</v>
      </c>
      <c r="V384" s="284">
        <f t="shared" si="11"/>
        <v>0.60411666666666675</v>
      </c>
      <c r="W384" s="292">
        <f>Table28[[#This Row],[$/sqft]]/INDEX(CPI!$A$3:$C$31,MATCH(Table28[[#This Row],[start_year]],CPI!$A$3:$A$31,0),3)</f>
        <v>0.73162834859949566</v>
      </c>
      <c r="X384" s="282" t="s">
        <v>4844</v>
      </c>
      <c r="Y384" s="282"/>
      <c r="Z384" s="282" t="s">
        <v>4840</v>
      </c>
      <c r="AA384" s="282">
        <v>20.616946509999998</v>
      </c>
      <c r="AB384" s="55" t="s">
        <v>72</v>
      </c>
      <c r="AC384" t="s">
        <v>71</v>
      </c>
    </row>
    <row r="385" spans="1:29" x14ac:dyDescent="0.2">
      <c r="A385" s="282">
        <v>5165</v>
      </c>
      <c r="B385" s="282">
        <v>13006</v>
      </c>
      <c r="C385" s="282" t="s">
        <v>3410</v>
      </c>
      <c r="D385" s="282" t="str">
        <f>IF(Table28[[#This Row],[% Leakage Reduction (Calculated)]]&gt;0.4, "Greater than 40% Air Reduction", "Less than 40% Air Reduction")</f>
        <v>Less than 40% Air Reduction</v>
      </c>
      <c r="E385" s="282" t="s">
        <v>4831</v>
      </c>
      <c r="F385" s="282" t="s">
        <v>4832</v>
      </c>
      <c r="G385" s="282" t="s">
        <v>4833</v>
      </c>
      <c r="H385" s="282" t="s">
        <v>4972</v>
      </c>
      <c r="I385" s="282">
        <v>4894</v>
      </c>
      <c r="J385" s="282" t="s">
        <v>4852</v>
      </c>
      <c r="K385" s="282">
        <v>2995</v>
      </c>
      <c r="L385" s="282" t="s">
        <v>4853</v>
      </c>
      <c r="M385" s="283">
        <f t="shared" si="10"/>
        <v>0.38802615447486716</v>
      </c>
      <c r="N385" s="282">
        <v>1376</v>
      </c>
      <c r="O385" s="282"/>
      <c r="P385" s="282">
        <v>1989</v>
      </c>
      <c r="Q385" s="282">
        <f>2023-Table28[[#This Row],[year_built]]</f>
        <v>34</v>
      </c>
      <c r="R385" s="282">
        <v>812.5</v>
      </c>
      <c r="S385" s="282" t="s">
        <v>5000</v>
      </c>
      <c r="T385" s="282" t="s">
        <v>4979</v>
      </c>
      <c r="U385" s="282">
        <v>2017</v>
      </c>
      <c r="V385" s="284">
        <f t="shared" si="11"/>
        <v>0.59047965116279066</v>
      </c>
      <c r="W385" s="292">
        <f>Table28[[#This Row],[$/sqft]]/INDEX(CPI!$A$3:$C$31,MATCH(Table28[[#This Row],[start_year]],CPI!$A$3:$A$31,0),3)</f>
        <v>0.73261877567770162</v>
      </c>
      <c r="X385" s="282" t="s">
        <v>4844</v>
      </c>
      <c r="Y385" s="282"/>
      <c r="Z385" s="282" t="s">
        <v>4840</v>
      </c>
      <c r="AA385" s="282">
        <v>38.802615449999998</v>
      </c>
      <c r="AB385" s="55" t="s">
        <v>72</v>
      </c>
      <c r="AC385" t="s">
        <v>71</v>
      </c>
    </row>
    <row r="386" spans="1:29" x14ac:dyDescent="0.2">
      <c r="A386" s="282">
        <v>3131</v>
      </c>
      <c r="B386" s="282">
        <v>9561</v>
      </c>
      <c r="C386" s="282" t="s">
        <v>3410</v>
      </c>
      <c r="D386" s="282" t="str">
        <f>IF(Table28[[#This Row],[% Leakage Reduction (Calculated)]]&gt;0.4, "Greater than 40% Air Reduction", "Less than 40% Air Reduction")</f>
        <v>Less than 40% Air Reduction</v>
      </c>
      <c r="E386" s="282" t="s">
        <v>4831</v>
      </c>
      <c r="F386" s="282" t="s">
        <v>4832</v>
      </c>
      <c r="G386" s="282" t="s">
        <v>4833</v>
      </c>
      <c r="H386" s="282" t="s">
        <v>4838</v>
      </c>
      <c r="I386" s="282">
        <v>18.239999999999998</v>
      </c>
      <c r="J386" s="282" t="s">
        <v>4834</v>
      </c>
      <c r="K386" s="282">
        <v>14.15</v>
      </c>
      <c r="L386" s="282" t="s">
        <v>4835</v>
      </c>
      <c r="M386" s="283">
        <f t="shared" si="10"/>
        <v>0.22423245614035078</v>
      </c>
      <c r="N386" s="282">
        <v>1292</v>
      </c>
      <c r="O386" s="282">
        <v>1.58</v>
      </c>
      <c r="P386" s="282">
        <v>1954</v>
      </c>
      <c r="Q386" s="282">
        <f>2023-Table28[[#This Row],[year_built]]</f>
        <v>69</v>
      </c>
      <c r="R386" s="282">
        <v>800</v>
      </c>
      <c r="S386" s="282" t="s">
        <v>4952</v>
      </c>
      <c r="T386" s="282" t="s">
        <v>4906</v>
      </c>
      <c r="U386" s="282">
        <v>2019</v>
      </c>
      <c r="V386" s="284">
        <f t="shared" si="11"/>
        <v>0.61919504643962853</v>
      </c>
      <c r="W386" s="292">
        <f>Table28[[#This Row],[$/sqft]]/INDEX(CPI!$A$3:$C$31,MATCH(Table28[[#This Row],[start_year]],CPI!$A$3:$A$31,0),3)</f>
        <v>0.73639895824126334</v>
      </c>
      <c r="X386" s="282"/>
      <c r="Y386" s="282" t="s">
        <v>217</v>
      </c>
      <c r="Z386" s="282" t="s">
        <v>4840</v>
      </c>
      <c r="AA386" s="282">
        <v>22.423245609999999</v>
      </c>
      <c r="AB386" s="55" t="s">
        <v>72</v>
      </c>
      <c r="AC386" t="s">
        <v>71</v>
      </c>
    </row>
    <row r="387" spans="1:29" x14ac:dyDescent="0.2">
      <c r="A387" s="282">
        <v>5007</v>
      </c>
      <c r="B387" s="282">
        <v>12042</v>
      </c>
      <c r="C387" s="282" t="s">
        <v>3410</v>
      </c>
      <c r="D387" s="282" t="str">
        <f>IF(Table28[[#This Row],[% Leakage Reduction (Calculated)]]&gt;0.4, "Greater than 40% Air Reduction", "Less than 40% Air Reduction")</f>
        <v>Less than 40% Air Reduction</v>
      </c>
      <c r="E387" s="282" t="s">
        <v>4831</v>
      </c>
      <c r="F387" s="282" t="s">
        <v>4832</v>
      </c>
      <c r="G387" s="282" t="s">
        <v>4833</v>
      </c>
      <c r="H387" s="282" t="s">
        <v>4838</v>
      </c>
      <c r="I387" s="282">
        <v>3180</v>
      </c>
      <c r="J387" s="282" t="s">
        <v>4852</v>
      </c>
      <c r="K387" s="282">
        <v>2344</v>
      </c>
      <c r="L387" s="282" t="s">
        <v>4853</v>
      </c>
      <c r="M387" s="283">
        <f t="shared" si="10"/>
        <v>0.26289308176100629</v>
      </c>
      <c r="N387" s="282">
        <v>1200</v>
      </c>
      <c r="O387" s="282"/>
      <c r="P387" s="282">
        <v>1979</v>
      </c>
      <c r="Q387" s="282">
        <f>2023-Table28[[#This Row],[year_built]]</f>
        <v>44</v>
      </c>
      <c r="R387" s="282">
        <v>744.19</v>
      </c>
      <c r="S387" s="282" t="s">
        <v>4983</v>
      </c>
      <c r="T387" s="282" t="s">
        <v>4979</v>
      </c>
      <c r="U387" s="282">
        <v>2019</v>
      </c>
      <c r="V387" s="284">
        <f t="shared" si="11"/>
        <v>0.62015833333333337</v>
      </c>
      <c r="W387" s="292">
        <f>Table28[[#This Row],[$/sqft]]/INDEX(CPI!$A$3:$C$31,MATCH(Table28[[#This Row],[start_year]],CPI!$A$3:$A$31,0),3)</f>
        <v>0.73754458023725733</v>
      </c>
      <c r="X387" s="282" t="s">
        <v>4844</v>
      </c>
      <c r="Y387" s="282"/>
      <c r="Z387" s="282" t="s">
        <v>4840</v>
      </c>
      <c r="AA387" s="282">
        <v>26.289308179999999</v>
      </c>
      <c r="AB387" s="55" t="s">
        <v>72</v>
      </c>
      <c r="AC387" t="s">
        <v>71</v>
      </c>
    </row>
    <row r="388" spans="1:29" x14ac:dyDescent="0.2">
      <c r="A388" s="282">
        <v>5135</v>
      </c>
      <c r="B388" s="282">
        <v>12818</v>
      </c>
      <c r="C388" s="282" t="s">
        <v>3410</v>
      </c>
      <c r="D388" s="282" t="str">
        <f>IF(Table28[[#This Row],[% Leakage Reduction (Calculated)]]&gt;0.4, "Greater than 40% Air Reduction", "Less than 40% Air Reduction")</f>
        <v>Less than 40% Air Reduction</v>
      </c>
      <c r="E388" s="282" t="s">
        <v>4831</v>
      </c>
      <c r="F388" s="282" t="s">
        <v>4832</v>
      </c>
      <c r="G388" s="282" t="s">
        <v>4833</v>
      </c>
      <c r="H388" s="282" t="s">
        <v>4838</v>
      </c>
      <c r="I388" s="282">
        <v>2494</v>
      </c>
      <c r="J388" s="282" t="s">
        <v>4852</v>
      </c>
      <c r="K388" s="282">
        <v>1876</v>
      </c>
      <c r="L388" s="282" t="s">
        <v>4853</v>
      </c>
      <c r="M388" s="283">
        <f t="shared" ref="M388:M451" si="12">ABS((I388-K388)/I388)</f>
        <v>0.24779470729751404</v>
      </c>
      <c r="N388" s="282">
        <v>1234</v>
      </c>
      <c r="O388" s="282"/>
      <c r="P388" s="282">
        <v>1972</v>
      </c>
      <c r="Q388" s="282">
        <f>2023-Table28[[#This Row],[year_built]]</f>
        <v>51</v>
      </c>
      <c r="R388" s="282">
        <v>751.61</v>
      </c>
      <c r="S388" s="282" t="s">
        <v>4900</v>
      </c>
      <c r="T388" s="282" t="s">
        <v>4979</v>
      </c>
      <c r="U388" s="282">
        <v>2018</v>
      </c>
      <c r="V388" s="284">
        <f t="shared" ref="V388:V451" si="13">IFERROR(IF(R388/N388&lt;&gt;0, R388/N388, ""), "")</f>
        <v>0.60908427876823334</v>
      </c>
      <c r="W388" s="292">
        <f>Table28[[#This Row],[$/sqft]]/INDEX(CPI!$A$3:$C$31,MATCH(Table28[[#This Row],[start_year]],CPI!$A$3:$A$31,0),3)</f>
        <v>0.73764448097737867</v>
      </c>
      <c r="X388" s="282" t="s">
        <v>1241</v>
      </c>
      <c r="Y388" s="282"/>
      <c r="Z388" s="282" t="s">
        <v>4840</v>
      </c>
      <c r="AA388" s="282">
        <v>24.77947073</v>
      </c>
      <c r="AB388" s="55" t="s">
        <v>72</v>
      </c>
      <c r="AC388" t="s">
        <v>71</v>
      </c>
    </row>
    <row r="389" spans="1:29" x14ac:dyDescent="0.2">
      <c r="A389" s="282">
        <v>3006</v>
      </c>
      <c r="B389" s="282">
        <v>9035</v>
      </c>
      <c r="C389" s="282" t="s">
        <v>3410</v>
      </c>
      <c r="D389" s="282" t="str">
        <f>IF(Table28[[#This Row],[% Leakage Reduction (Calculated)]]&gt;0.4, "Greater than 40% Air Reduction", "Less than 40% Air Reduction")</f>
        <v>Less than 40% Air Reduction</v>
      </c>
      <c r="E389" s="282" t="s">
        <v>4831</v>
      </c>
      <c r="F389" s="282" t="s">
        <v>4832</v>
      </c>
      <c r="G389" s="282" t="s">
        <v>4833</v>
      </c>
      <c r="H389" s="282" t="s">
        <v>4838</v>
      </c>
      <c r="I389" s="282">
        <v>6.05</v>
      </c>
      <c r="J389" s="282" t="s">
        <v>4834</v>
      </c>
      <c r="K389" s="282">
        <v>4.43</v>
      </c>
      <c r="L389" s="282" t="s">
        <v>4835</v>
      </c>
      <c r="M389" s="283">
        <f t="shared" si="12"/>
        <v>0.26776859504132233</v>
      </c>
      <c r="N389" s="282">
        <v>2774</v>
      </c>
      <c r="O389" s="282">
        <v>2</v>
      </c>
      <c r="P389" s="282">
        <v>1954</v>
      </c>
      <c r="Q389" s="282">
        <f>2023-Table28[[#This Row],[year_built]]</f>
        <v>69</v>
      </c>
      <c r="R389" s="282">
        <v>1700</v>
      </c>
      <c r="S389" s="282" t="s">
        <v>4911</v>
      </c>
      <c r="T389" s="282" t="s">
        <v>4906</v>
      </c>
      <c r="U389" s="282">
        <v>2018</v>
      </c>
      <c r="V389" s="284">
        <f t="shared" si="13"/>
        <v>0.61283345349675555</v>
      </c>
      <c r="W389" s="292">
        <f>Table28[[#This Row],[$/sqft]]/INDEX(CPI!$A$3:$C$31,MATCH(Table28[[#This Row],[start_year]],CPI!$A$3:$A$31,0),3)</f>
        <v>0.74218499883856381</v>
      </c>
      <c r="X389" s="282"/>
      <c r="Y389" s="282" t="s">
        <v>217</v>
      </c>
      <c r="Z389" s="282" t="s">
        <v>4907</v>
      </c>
      <c r="AA389" s="282">
        <v>26.7768595</v>
      </c>
      <c r="AB389" s="55" t="s">
        <v>72</v>
      </c>
      <c r="AC389" t="s">
        <v>71</v>
      </c>
    </row>
    <row r="390" spans="1:29" x14ac:dyDescent="0.2">
      <c r="A390" s="282">
        <v>3182</v>
      </c>
      <c r="B390" s="282">
        <v>9720</v>
      </c>
      <c r="C390" s="282" t="s">
        <v>3410</v>
      </c>
      <c r="D390" s="282" t="str">
        <f>IF(Table28[[#This Row],[% Leakage Reduction (Calculated)]]&gt;0.4, "Greater than 40% Air Reduction", "Less than 40% Air Reduction")</f>
        <v>Greater than 40% Air Reduction</v>
      </c>
      <c r="E390" s="282" t="s">
        <v>4831</v>
      </c>
      <c r="F390" s="282" t="s">
        <v>4832</v>
      </c>
      <c r="G390" s="282" t="s">
        <v>4833</v>
      </c>
      <c r="H390" s="282" t="s">
        <v>4838</v>
      </c>
      <c r="I390" s="282">
        <v>29.66</v>
      </c>
      <c r="J390" s="282" t="s">
        <v>4834</v>
      </c>
      <c r="K390" s="282">
        <v>14.34</v>
      </c>
      <c r="L390" s="282" t="s">
        <v>4835</v>
      </c>
      <c r="M390" s="283">
        <f t="shared" si="12"/>
        <v>0.51652056641942012</v>
      </c>
      <c r="N390" s="282">
        <v>1600</v>
      </c>
      <c r="O390" s="282">
        <v>1</v>
      </c>
      <c r="P390" s="282">
        <v>1978</v>
      </c>
      <c r="Q390" s="282">
        <f>2023-Table28[[#This Row],[year_built]]</f>
        <v>45</v>
      </c>
      <c r="R390" s="282">
        <v>1000</v>
      </c>
      <c r="S390" s="282" t="s">
        <v>4940</v>
      </c>
      <c r="T390" s="282" t="s">
        <v>4906</v>
      </c>
      <c r="U390" s="282">
        <v>2019</v>
      </c>
      <c r="V390" s="284">
        <f t="shared" si="13"/>
        <v>0.625</v>
      </c>
      <c r="W390" s="292">
        <f>Table28[[#This Row],[$/sqft]]/INDEX(CPI!$A$3:$C$31,MATCH(Table28[[#This Row],[start_year]],CPI!$A$3:$A$31,0),3)</f>
        <v>0.74330269847477515</v>
      </c>
      <c r="X390" s="282"/>
      <c r="Y390" s="282" t="s">
        <v>217</v>
      </c>
      <c r="Z390" s="282" t="s">
        <v>4840</v>
      </c>
      <c r="AA390" s="282">
        <v>51.652056639999998</v>
      </c>
      <c r="AB390" s="55" t="s">
        <v>72</v>
      </c>
      <c r="AC390" t="s">
        <v>71</v>
      </c>
    </row>
    <row r="391" spans="1:29" x14ac:dyDescent="0.2">
      <c r="A391" s="282">
        <v>3325</v>
      </c>
      <c r="B391" s="282">
        <v>10160</v>
      </c>
      <c r="C391" s="282" t="s">
        <v>3410</v>
      </c>
      <c r="D391" s="282" t="str">
        <f>IF(Table28[[#This Row],[% Leakage Reduction (Calculated)]]&gt;0.4, "Greater than 40% Air Reduction", "Less than 40% Air Reduction")</f>
        <v>Less than 40% Air Reduction</v>
      </c>
      <c r="E391" s="282" t="s">
        <v>4831</v>
      </c>
      <c r="F391" s="282" t="s">
        <v>4832</v>
      </c>
      <c r="G391" s="282" t="s">
        <v>4833</v>
      </c>
      <c r="H391" s="282" t="s">
        <v>4838</v>
      </c>
      <c r="I391" s="282">
        <v>19.489999999999998</v>
      </c>
      <c r="J391" s="282" t="s">
        <v>4834</v>
      </c>
      <c r="K391" s="282">
        <v>16.559999999999999</v>
      </c>
      <c r="L391" s="282" t="s">
        <v>4835</v>
      </c>
      <c r="M391" s="283">
        <f t="shared" si="12"/>
        <v>0.15033350436121087</v>
      </c>
      <c r="N391" s="282">
        <v>1568</v>
      </c>
      <c r="O391" s="282">
        <v>1.85</v>
      </c>
      <c r="P391" s="282">
        <v>1917</v>
      </c>
      <c r="Q391" s="282">
        <f>2023-Table28[[#This Row],[year_built]]</f>
        <v>106</v>
      </c>
      <c r="R391" s="282">
        <v>1000</v>
      </c>
      <c r="S391" s="282" t="s">
        <v>4966</v>
      </c>
      <c r="T391" s="282" t="s">
        <v>4906</v>
      </c>
      <c r="U391" s="282">
        <v>2020</v>
      </c>
      <c r="V391" s="284">
        <f t="shared" si="13"/>
        <v>0.63775510204081631</v>
      </c>
      <c r="W391" s="292">
        <f>Table28[[#This Row],[$/sqft]]/INDEX(CPI!$A$3:$C$31,MATCH(Table28[[#This Row],[start_year]],CPI!$A$3:$A$31,0),3)</f>
        <v>0.74938688767624517</v>
      </c>
      <c r="X391" s="282"/>
      <c r="Y391" s="282" t="s">
        <v>4872</v>
      </c>
      <c r="Z391" s="282" t="s">
        <v>4840</v>
      </c>
      <c r="AA391" s="282">
        <v>15.03335044</v>
      </c>
      <c r="AB391" s="55" t="s">
        <v>72</v>
      </c>
      <c r="AC391" t="s">
        <v>71</v>
      </c>
    </row>
    <row r="392" spans="1:29" x14ac:dyDescent="0.2">
      <c r="A392" s="282">
        <v>5167</v>
      </c>
      <c r="B392" s="282">
        <v>13019</v>
      </c>
      <c r="C392" s="282" t="s">
        <v>3410</v>
      </c>
      <c r="D392" s="282" t="str">
        <f>IF(Table28[[#This Row],[% Leakage Reduction (Calculated)]]&gt;0.4, "Greater than 40% Air Reduction", "Less than 40% Air Reduction")</f>
        <v>Less than 40% Air Reduction</v>
      </c>
      <c r="E392" s="282" t="s">
        <v>4831</v>
      </c>
      <c r="F392" s="282" t="s">
        <v>4832</v>
      </c>
      <c r="G392" s="282" t="s">
        <v>4833</v>
      </c>
      <c r="H392" s="282" t="s">
        <v>4838</v>
      </c>
      <c r="I392" s="282">
        <v>3355</v>
      </c>
      <c r="J392" s="282" t="s">
        <v>4852</v>
      </c>
      <c r="K392" s="282">
        <v>2506</v>
      </c>
      <c r="L392" s="282" t="s">
        <v>4853</v>
      </c>
      <c r="M392" s="283">
        <f t="shared" si="12"/>
        <v>0.25305514157973175</v>
      </c>
      <c r="N392" s="282">
        <v>1248</v>
      </c>
      <c r="O392" s="282"/>
      <c r="P392" s="282">
        <v>1978</v>
      </c>
      <c r="Q392" s="282">
        <f>2023-Table28[[#This Row],[year_built]]</f>
        <v>45</v>
      </c>
      <c r="R392" s="282">
        <v>772.63</v>
      </c>
      <c r="S392" s="282" t="s">
        <v>5000</v>
      </c>
      <c r="T392" s="282" t="s">
        <v>4979</v>
      </c>
      <c r="U392" s="282">
        <v>2018</v>
      </c>
      <c r="V392" s="284">
        <f t="shared" si="13"/>
        <v>0.61909455128205126</v>
      </c>
      <c r="W392" s="292">
        <f>Table28[[#This Row],[$/sqft]]/INDEX(CPI!$A$3:$C$31,MATCH(Table28[[#This Row],[start_year]],CPI!$A$3:$A$31,0),3)</f>
        <v>0.74976763458730311</v>
      </c>
      <c r="X392" s="282" t="s">
        <v>1241</v>
      </c>
      <c r="Y392" s="282"/>
      <c r="Z392" s="282" t="s">
        <v>4840</v>
      </c>
      <c r="AA392" s="282">
        <v>25.305514160000001</v>
      </c>
      <c r="AB392" s="55" t="s">
        <v>72</v>
      </c>
      <c r="AC392" t="s">
        <v>71</v>
      </c>
    </row>
    <row r="393" spans="1:29" x14ac:dyDescent="0.2">
      <c r="A393" s="282">
        <v>1312</v>
      </c>
      <c r="B393" s="282">
        <v>3938</v>
      </c>
      <c r="C393" s="282" t="s">
        <v>3410</v>
      </c>
      <c r="D393" s="282" t="str">
        <f>IF(Table28[[#This Row],[% Leakage Reduction (Calculated)]]&gt;0.4, "Greater than 40% Air Reduction", "Less than 40% Air Reduction")</f>
        <v>Less than 40% Air Reduction</v>
      </c>
      <c r="E393" s="282" t="s">
        <v>4831</v>
      </c>
      <c r="F393" s="282" t="s">
        <v>4832</v>
      </c>
      <c r="G393" s="282" t="s">
        <v>4833</v>
      </c>
      <c r="H393" s="282" t="s">
        <v>4838</v>
      </c>
      <c r="I393" s="282">
        <v>3900</v>
      </c>
      <c r="J393" s="282" t="s">
        <v>4852</v>
      </c>
      <c r="K393" s="282">
        <v>2375</v>
      </c>
      <c r="L393" s="282" t="s">
        <v>4853</v>
      </c>
      <c r="M393" s="283">
        <f t="shared" si="12"/>
        <v>0.39102564102564102</v>
      </c>
      <c r="N393" s="282">
        <v>4000</v>
      </c>
      <c r="O393" s="282">
        <v>3</v>
      </c>
      <c r="P393" s="282">
        <v>1850</v>
      </c>
      <c r="Q393" s="282">
        <f>2023-Table28[[#This Row],[year_built]]</f>
        <v>173</v>
      </c>
      <c r="R393" s="282">
        <v>2424</v>
      </c>
      <c r="S393" s="282" t="s">
        <v>4885</v>
      </c>
      <c r="T393" s="282" t="s">
        <v>4859</v>
      </c>
      <c r="U393" s="282">
        <v>2017</v>
      </c>
      <c r="V393" s="284">
        <f t="shared" si="13"/>
        <v>0.60599999999999998</v>
      </c>
      <c r="W393" s="292">
        <f>Table28[[#This Row],[$/sqft]]/INDEX(CPI!$A$3:$C$31,MATCH(Table28[[#This Row],[start_year]],CPI!$A$3:$A$31,0),3)</f>
        <v>0.75187515299877605</v>
      </c>
      <c r="X393" s="282" t="s">
        <v>4844</v>
      </c>
      <c r="Y393" s="282" t="s">
        <v>4872</v>
      </c>
      <c r="Z393" s="282" t="s">
        <v>4861</v>
      </c>
      <c r="AA393" s="282">
        <v>39.102564100000002</v>
      </c>
      <c r="AB393" s="55" t="s">
        <v>72</v>
      </c>
      <c r="AC393" t="s">
        <v>72</v>
      </c>
    </row>
    <row r="394" spans="1:29" x14ac:dyDescent="0.2">
      <c r="A394" s="282">
        <v>1287</v>
      </c>
      <c r="B394" s="282">
        <v>3672</v>
      </c>
      <c r="C394" s="282" t="s">
        <v>3410</v>
      </c>
      <c r="D394" s="282" t="str">
        <f>IF(Table28[[#This Row],[% Leakage Reduction (Calculated)]]&gt;0.4, "Greater than 40% Air Reduction", "Less than 40% Air Reduction")</f>
        <v>Less than 40% Air Reduction</v>
      </c>
      <c r="E394" s="282" t="s">
        <v>4831</v>
      </c>
      <c r="F394" s="282" t="s">
        <v>4832</v>
      </c>
      <c r="G394" s="282" t="s">
        <v>4833</v>
      </c>
      <c r="H394" s="282" t="s">
        <v>4838</v>
      </c>
      <c r="I394" s="282">
        <v>3140</v>
      </c>
      <c r="J394" s="282" t="s">
        <v>4852</v>
      </c>
      <c r="K394" s="282">
        <v>2500</v>
      </c>
      <c r="L394" s="282" t="s">
        <v>4853</v>
      </c>
      <c r="M394" s="283">
        <f t="shared" si="12"/>
        <v>0.20382165605095542</v>
      </c>
      <c r="N394" s="282">
        <v>1836</v>
      </c>
      <c r="O394" s="282">
        <v>1</v>
      </c>
      <c r="P394" s="282">
        <v>2017</v>
      </c>
      <c r="Q394" s="282">
        <f>2023-Table28[[#This Row],[year_built]]</f>
        <v>6</v>
      </c>
      <c r="R394" s="282">
        <v>1114</v>
      </c>
      <c r="S394" s="282" t="s">
        <v>4862</v>
      </c>
      <c r="T394" s="282" t="s">
        <v>4859</v>
      </c>
      <c r="U394" s="282">
        <v>2017</v>
      </c>
      <c r="V394" s="284">
        <f t="shared" si="13"/>
        <v>0.60675381263616557</v>
      </c>
      <c r="W394" s="292">
        <f>Table28[[#This Row],[$/sqft]]/INDEX(CPI!$A$3:$C$31,MATCH(Table28[[#This Row],[start_year]],CPI!$A$3:$A$31,0),3)</f>
        <v>0.75281042196106884</v>
      </c>
      <c r="X394" s="282" t="s">
        <v>4844</v>
      </c>
      <c r="Y394" s="282" t="s">
        <v>217</v>
      </c>
      <c r="Z394" s="282" t="s">
        <v>4861</v>
      </c>
      <c r="AA394" s="282">
        <v>20.382165610000001</v>
      </c>
      <c r="AB394" s="55" t="s">
        <v>72</v>
      </c>
      <c r="AC394" t="s">
        <v>72</v>
      </c>
    </row>
    <row r="395" spans="1:29" x14ac:dyDescent="0.2">
      <c r="A395" s="282">
        <v>5210</v>
      </c>
      <c r="B395" s="282">
        <v>13256</v>
      </c>
      <c r="C395" s="282" t="s">
        <v>3410</v>
      </c>
      <c r="D395" s="282" t="str">
        <f>IF(Table28[[#This Row],[% Leakage Reduction (Calculated)]]&gt;0.4, "Greater than 40% Air Reduction", "Less than 40% Air Reduction")</f>
        <v>Greater than 40% Air Reduction</v>
      </c>
      <c r="E395" s="282" t="s">
        <v>4831</v>
      </c>
      <c r="F395" s="282" t="s">
        <v>4832</v>
      </c>
      <c r="G395" s="282" t="s">
        <v>4833</v>
      </c>
      <c r="H395" s="282" t="s">
        <v>4838</v>
      </c>
      <c r="I395" s="282">
        <v>4165</v>
      </c>
      <c r="J395" s="282" t="s">
        <v>4852</v>
      </c>
      <c r="K395" s="282">
        <v>1980</v>
      </c>
      <c r="L395" s="282" t="s">
        <v>4853</v>
      </c>
      <c r="M395" s="283">
        <f t="shared" si="12"/>
        <v>0.52460984393757504</v>
      </c>
      <c r="N395" s="282">
        <v>1280</v>
      </c>
      <c r="O395" s="282"/>
      <c r="P395" s="282">
        <v>1985</v>
      </c>
      <c r="Q395" s="282">
        <f>2023-Table28[[#This Row],[year_built]]</f>
        <v>38</v>
      </c>
      <c r="R395" s="282">
        <v>796.16</v>
      </c>
      <c r="S395" s="282" t="s">
        <v>4900</v>
      </c>
      <c r="T395" s="282" t="s">
        <v>4979</v>
      </c>
      <c r="U395" s="282">
        <v>2018</v>
      </c>
      <c r="V395" s="284">
        <f t="shared" si="13"/>
        <v>0.622</v>
      </c>
      <c r="W395" s="292">
        <f>Table28[[#This Row],[$/sqft]]/INDEX(CPI!$A$3:$C$31,MATCH(Table28[[#This Row],[start_year]],CPI!$A$3:$A$31,0),3)</f>
        <v>0.75328634010354445</v>
      </c>
      <c r="X395" s="282" t="s">
        <v>1241</v>
      </c>
      <c r="Y395" s="282"/>
      <c r="Z395" s="282" t="s">
        <v>4840</v>
      </c>
      <c r="AA395" s="282">
        <v>52.46098439</v>
      </c>
      <c r="AB395" s="55" t="s">
        <v>72</v>
      </c>
      <c r="AC395" t="s">
        <v>71</v>
      </c>
    </row>
    <row r="396" spans="1:29" x14ac:dyDescent="0.2">
      <c r="A396" s="282">
        <v>4036</v>
      </c>
      <c r="B396" s="282">
        <v>11154</v>
      </c>
      <c r="C396" s="282" t="s">
        <v>3410</v>
      </c>
      <c r="D396" s="282" t="str">
        <f>IF(Table28[[#This Row],[% Leakage Reduction (Calculated)]]&gt;0.4, "Greater than 40% Air Reduction", "Less than 40% Air Reduction")</f>
        <v>Less than 40% Air Reduction</v>
      </c>
      <c r="E396" s="282" t="s">
        <v>4831</v>
      </c>
      <c r="F396" s="282" t="s">
        <v>4832</v>
      </c>
      <c r="G396" s="282" t="s">
        <v>4833</v>
      </c>
      <c r="H396" s="282" t="s">
        <v>4838</v>
      </c>
      <c r="I396" s="282">
        <v>2548</v>
      </c>
      <c r="J396" s="282" t="s">
        <v>4852</v>
      </c>
      <c r="K396" s="282">
        <v>1981</v>
      </c>
      <c r="L396" s="282" t="s">
        <v>4853</v>
      </c>
      <c r="M396" s="283">
        <f t="shared" si="12"/>
        <v>0.22252747252747251</v>
      </c>
      <c r="N396" s="282">
        <v>1358</v>
      </c>
      <c r="O396" s="282"/>
      <c r="P396" s="282">
        <v>1930</v>
      </c>
      <c r="Q396" s="282">
        <f>2023-Table28[[#This Row],[year_built]]</f>
        <v>93</v>
      </c>
      <c r="R396" s="282">
        <v>865.53</v>
      </c>
      <c r="S396" s="282" t="s">
        <v>4970</v>
      </c>
      <c r="T396" s="282" t="s">
        <v>4969</v>
      </c>
      <c r="U396" s="282">
        <v>2019</v>
      </c>
      <c r="V396" s="284">
        <f t="shared" si="13"/>
        <v>0.63735640648011782</v>
      </c>
      <c r="W396" s="292">
        <f>Table28[[#This Row],[$/sqft]]/INDEX(CPI!$A$3:$C$31,MATCH(Table28[[#This Row],[start_year]],CPI!$A$3:$A$31,0),3)</f>
        <v>0.7579979789229716</v>
      </c>
      <c r="X396" s="282" t="s">
        <v>1241</v>
      </c>
      <c r="Y396" s="282"/>
      <c r="Z396" s="282" t="s">
        <v>4840</v>
      </c>
      <c r="AA396" s="282">
        <v>22.252747249999999</v>
      </c>
      <c r="AB396" s="55" t="s">
        <v>72</v>
      </c>
      <c r="AC396" t="s">
        <v>71</v>
      </c>
    </row>
    <row r="397" spans="1:29" x14ac:dyDescent="0.2">
      <c r="A397" s="282">
        <v>5211</v>
      </c>
      <c r="B397" s="282">
        <v>13261</v>
      </c>
      <c r="C397" s="282" t="s">
        <v>3410</v>
      </c>
      <c r="D397" s="282" t="str">
        <f>IF(Table28[[#This Row],[% Leakage Reduction (Calculated)]]&gt;0.4, "Greater than 40% Air Reduction", "Less than 40% Air Reduction")</f>
        <v>Less than 40% Air Reduction</v>
      </c>
      <c r="E397" s="282" t="s">
        <v>4831</v>
      </c>
      <c r="F397" s="282" t="s">
        <v>4832</v>
      </c>
      <c r="G397" s="282" t="s">
        <v>4833</v>
      </c>
      <c r="H397" s="282" t="s">
        <v>4838</v>
      </c>
      <c r="I397" s="282">
        <v>4176</v>
      </c>
      <c r="J397" s="282" t="s">
        <v>4852</v>
      </c>
      <c r="K397" s="282">
        <v>3374</v>
      </c>
      <c r="L397" s="282" t="s">
        <v>4853</v>
      </c>
      <c r="M397" s="283">
        <f t="shared" si="12"/>
        <v>0.19204980842911878</v>
      </c>
      <c r="N397" s="282">
        <v>1200</v>
      </c>
      <c r="O397" s="282"/>
      <c r="P397" s="282">
        <v>1971</v>
      </c>
      <c r="Q397" s="282">
        <f>2023-Table28[[#This Row],[year_built]]</f>
        <v>52</v>
      </c>
      <c r="R397" s="282">
        <v>751.69</v>
      </c>
      <c r="S397" s="282" t="s">
        <v>4900</v>
      </c>
      <c r="T397" s="282" t="s">
        <v>4979</v>
      </c>
      <c r="U397" s="282">
        <v>2018</v>
      </c>
      <c r="V397" s="284">
        <f t="shared" si="13"/>
        <v>0.62640833333333334</v>
      </c>
      <c r="W397" s="292">
        <f>Table28[[#This Row],[$/sqft]]/INDEX(CPI!$A$3:$C$31,MATCH(Table28[[#This Row],[start_year]],CPI!$A$3:$A$31,0),3)</f>
        <v>0.75862514602416042</v>
      </c>
      <c r="X397" s="282" t="s">
        <v>4844</v>
      </c>
      <c r="Y397" s="282"/>
      <c r="Z397" s="282" t="s">
        <v>4840</v>
      </c>
      <c r="AA397" s="282">
        <v>19.204980840000001</v>
      </c>
      <c r="AB397" s="55" t="s">
        <v>72</v>
      </c>
      <c r="AC397" t="s">
        <v>71</v>
      </c>
    </row>
    <row r="398" spans="1:29" x14ac:dyDescent="0.2">
      <c r="A398" s="282">
        <v>3258</v>
      </c>
      <c r="B398" s="282">
        <v>9960</v>
      </c>
      <c r="C398" s="282" t="s">
        <v>3410</v>
      </c>
      <c r="D398" s="282" t="str">
        <f>IF(Table28[[#This Row],[% Leakage Reduction (Calculated)]]&gt;0.4, "Greater than 40% Air Reduction", "Less than 40% Air Reduction")</f>
        <v>Less than 40% Air Reduction</v>
      </c>
      <c r="E398" s="282" t="s">
        <v>4831</v>
      </c>
      <c r="F398" s="282" t="s">
        <v>4832</v>
      </c>
      <c r="G398" s="282" t="s">
        <v>4833</v>
      </c>
      <c r="H398" s="282" t="s">
        <v>4913</v>
      </c>
      <c r="I398" s="282">
        <v>20.46</v>
      </c>
      <c r="J398" s="282" t="s">
        <v>4834</v>
      </c>
      <c r="K398" s="282">
        <v>13.56</v>
      </c>
      <c r="L398" s="282" t="s">
        <v>4835</v>
      </c>
      <c r="M398" s="283">
        <f t="shared" si="12"/>
        <v>0.33724340175953077</v>
      </c>
      <c r="N398" s="282">
        <v>1547</v>
      </c>
      <c r="O398" s="282">
        <v>2</v>
      </c>
      <c r="P398" s="282">
        <v>1950</v>
      </c>
      <c r="Q398" s="282">
        <f>2023-Table28[[#This Row],[year_built]]</f>
        <v>73</v>
      </c>
      <c r="R398" s="282">
        <v>1000</v>
      </c>
      <c r="S398" s="282" t="s">
        <v>4960</v>
      </c>
      <c r="T398" s="282" t="s">
        <v>4906</v>
      </c>
      <c r="U398" s="282">
        <v>2020</v>
      </c>
      <c r="V398" s="284">
        <f t="shared" si="13"/>
        <v>0.64641241111829351</v>
      </c>
      <c r="W398" s="292">
        <f>Table28[[#This Row],[$/sqft]]/INDEX(CPI!$A$3:$C$31,MATCH(Table28[[#This Row],[start_year]],CPI!$A$3:$A$31,0),3)</f>
        <v>0.75955956035963312</v>
      </c>
      <c r="X398" s="282"/>
      <c r="Y398" s="282" t="s">
        <v>217</v>
      </c>
      <c r="Z398" s="282" t="s">
        <v>4907</v>
      </c>
      <c r="AA398" s="282">
        <v>33.724340179999999</v>
      </c>
      <c r="AB398" s="55" t="s">
        <v>72</v>
      </c>
      <c r="AC398" t="s">
        <v>71</v>
      </c>
    </row>
    <row r="399" spans="1:29" x14ac:dyDescent="0.2">
      <c r="A399" s="282">
        <v>5117</v>
      </c>
      <c r="B399" s="282">
        <v>12709</v>
      </c>
      <c r="C399" s="282" t="s">
        <v>3410</v>
      </c>
      <c r="D399" s="282" t="str">
        <f>IF(Table28[[#This Row],[% Leakage Reduction (Calculated)]]&gt;0.4, "Greater than 40% Air Reduction", "Less than 40% Air Reduction")</f>
        <v>Less than 40% Air Reduction</v>
      </c>
      <c r="E399" s="282" t="s">
        <v>4831</v>
      </c>
      <c r="F399" s="282" t="s">
        <v>4832</v>
      </c>
      <c r="G399" s="282" t="s">
        <v>4833</v>
      </c>
      <c r="H399" s="282" t="s">
        <v>4838</v>
      </c>
      <c r="I399" s="282">
        <v>7797</v>
      </c>
      <c r="J399" s="282" t="s">
        <v>4852</v>
      </c>
      <c r="K399" s="282">
        <v>6021</v>
      </c>
      <c r="L399" s="282" t="s">
        <v>4853</v>
      </c>
      <c r="M399" s="283">
        <f t="shared" si="12"/>
        <v>0.22777991535205849</v>
      </c>
      <c r="N399" s="282">
        <v>1500</v>
      </c>
      <c r="O399" s="282"/>
      <c r="P399" s="282">
        <v>1975</v>
      </c>
      <c r="Q399" s="282">
        <f>2023-Table28[[#This Row],[year_built]]</f>
        <v>48</v>
      </c>
      <c r="R399" s="282">
        <v>943.11</v>
      </c>
      <c r="S399" s="282" t="s">
        <v>4900</v>
      </c>
      <c r="T399" s="282" t="s">
        <v>4979</v>
      </c>
      <c r="U399" s="282">
        <v>2018</v>
      </c>
      <c r="V399" s="284">
        <f t="shared" si="13"/>
        <v>0.62873999999999997</v>
      </c>
      <c r="W399" s="292">
        <f>Table28[[#This Row],[$/sqft]]/INDEX(CPI!$A$3:$C$31,MATCH(Table28[[#This Row],[start_year]],CPI!$A$3:$A$31,0),3)</f>
        <v>0.76144896057347677</v>
      </c>
      <c r="X399" s="282" t="s">
        <v>1241</v>
      </c>
      <c r="Y399" s="282"/>
      <c r="Z399" s="282" t="s">
        <v>4840</v>
      </c>
      <c r="AA399" s="282">
        <v>22.777991539999999</v>
      </c>
      <c r="AB399" s="55" t="s">
        <v>72</v>
      </c>
      <c r="AC399" t="s">
        <v>71</v>
      </c>
    </row>
    <row r="400" spans="1:29" x14ac:dyDescent="0.2">
      <c r="A400" s="282">
        <v>5103</v>
      </c>
      <c r="B400" s="282">
        <v>12620</v>
      </c>
      <c r="C400" s="282" t="s">
        <v>3410</v>
      </c>
      <c r="D400" s="282" t="str">
        <f>IF(Table28[[#This Row],[% Leakage Reduction (Calculated)]]&gt;0.4, "Greater than 40% Air Reduction", "Less than 40% Air Reduction")</f>
        <v>Less than 40% Air Reduction</v>
      </c>
      <c r="E400" s="282" t="s">
        <v>4831</v>
      </c>
      <c r="F400" s="282" t="s">
        <v>4832</v>
      </c>
      <c r="G400" s="282" t="s">
        <v>4833</v>
      </c>
      <c r="H400" s="282" t="s">
        <v>4838</v>
      </c>
      <c r="I400" s="282">
        <v>2540</v>
      </c>
      <c r="J400" s="282" t="s">
        <v>4852</v>
      </c>
      <c r="K400" s="282">
        <v>1955</v>
      </c>
      <c r="L400" s="282" t="s">
        <v>4853</v>
      </c>
      <c r="M400" s="283">
        <f t="shared" si="12"/>
        <v>0.23031496062992127</v>
      </c>
      <c r="N400" s="282">
        <v>1250</v>
      </c>
      <c r="O400" s="282"/>
      <c r="P400" s="282">
        <v>1980</v>
      </c>
      <c r="Q400" s="282">
        <f>2023-Table28[[#This Row],[year_built]]</f>
        <v>43</v>
      </c>
      <c r="R400" s="282">
        <v>796.34</v>
      </c>
      <c r="S400" s="282" t="s">
        <v>4994</v>
      </c>
      <c r="T400" s="282" t="s">
        <v>4979</v>
      </c>
      <c r="U400" s="282">
        <v>2018</v>
      </c>
      <c r="V400" s="284">
        <f t="shared" si="13"/>
        <v>0.63707199999999997</v>
      </c>
      <c r="W400" s="292">
        <f>Table28[[#This Row],[$/sqft]]/INDEX(CPI!$A$3:$C$31,MATCH(Table28[[#This Row],[start_year]],CPI!$A$3:$A$31,0),3)</f>
        <v>0.77153960653126252</v>
      </c>
      <c r="X400" s="282" t="s">
        <v>1241</v>
      </c>
      <c r="Y400" s="282"/>
      <c r="Z400" s="282" t="s">
        <v>4840</v>
      </c>
      <c r="AA400" s="282">
        <v>23.031496059999998</v>
      </c>
      <c r="AB400" s="55" t="s">
        <v>72</v>
      </c>
      <c r="AC400" t="s">
        <v>71</v>
      </c>
    </row>
    <row r="401" spans="1:29" x14ac:dyDescent="0.2">
      <c r="A401" s="282">
        <v>5190</v>
      </c>
      <c r="B401" s="282">
        <v>13150</v>
      </c>
      <c r="C401" s="282" t="s">
        <v>3410</v>
      </c>
      <c r="D401" s="282" t="str">
        <f>IF(Table28[[#This Row],[% Leakage Reduction (Calculated)]]&gt;0.4, "Greater than 40% Air Reduction", "Less than 40% Air Reduction")</f>
        <v>Greater than 40% Air Reduction</v>
      </c>
      <c r="E401" s="282" t="s">
        <v>4831</v>
      </c>
      <c r="F401" s="282" t="s">
        <v>4832</v>
      </c>
      <c r="G401" s="282" t="s">
        <v>4833</v>
      </c>
      <c r="H401" s="282" t="s">
        <v>4838</v>
      </c>
      <c r="I401" s="282">
        <v>2717</v>
      </c>
      <c r="J401" s="282" t="s">
        <v>4852</v>
      </c>
      <c r="K401" s="282">
        <v>1326</v>
      </c>
      <c r="L401" s="282" t="s">
        <v>4853</v>
      </c>
      <c r="M401" s="283">
        <f t="shared" si="12"/>
        <v>0.51196172248803828</v>
      </c>
      <c r="N401" s="282">
        <v>1000</v>
      </c>
      <c r="O401" s="282"/>
      <c r="P401" s="282">
        <v>1978</v>
      </c>
      <c r="Q401" s="282">
        <f>2023-Table28[[#This Row],[year_built]]</f>
        <v>45</v>
      </c>
      <c r="R401" s="282">
        <v>623</v>
      </c>
      <c r="S401" s="282" t="s">
        <v>4988</v>
      </c>
      <c r="T401" s="282" t="s">
        <v>4979</v>
      </c>
      <c r="U401" s="282">
        <v>2017</v>
      </c>
      <c r="V401" s="284">
        <f t="shared" si="13"/>
        <v>0.623</v>
      </c>
      <c r="W401" s="292">
        <f>Table28[[#This Row],[$/sqft]]/INDEX(CPI!$A$3:$C$31,MATCH(Table28[[#This Row],[start_year]],CPI!$A$3:$A$31,0),3)</f>
        <v>0.77296736026111801</v>
      </c>
      <c r="X401" s="282" t="s">
        <v>4844</v>
      </c>
      <c r="Y401" s="282"/>
      <c r="Z401" s="282" t="s">
        <v>4840</v>
      </c>
      <c r="AA401" s="282">
        <v>51.196172249999996</v>
      </c>
      <c r="AB401" s="55" t="s">
        <v>72</v>
      </c>
      <c r="AC401" t="s">
        <v>71</v>
      </c>
    </row>
    <row r="402" spans="1:29" x14ac:dyDescent="0.2">
      <c r="A402" s="282">
        <v>3023</v>
      </c>
      <c r="B402" s="282">
        <v>9113</v>
      </c>
      <c r="C402" s="282" t="s">
        <v>3410</v>
      </c>
      <c r="D402" s="282" t="str">
        <f>IF(Table28[[#This Row],[% Leakage Reduction (Calculated)]]&gt;0.4, "Greater than 40% Air Reduction", "Less than 40% Air Reduction")</f>
        <v>Greater than 40% Air Reduction</v>
      </c>
      <c r="E402" s="282" t="s">
        <v>4831</v>
      </c>
      <c r="F402" s="282" t="s">
        <v>4832</v>
      </c>
      <c r="G402" s="282" t="s">
        <v>4833</v>
      </c>
      <c r="H402" s="282" t="s">
        <v>4838</v>
      </c>
      <c r="I402" s="282">
        <v>20.52</v>
      </c>
      <c r="J402" s="282" t="s">
        <v>4834</v>
      </c>
      <c r="K402" s="282">
        <v>9.4499999999999993</v>
      </c>
      <c r="L402" s="282" t="s">
        <v>4835</v>
      </c>
      <c r="M402" s="283">
        <f t="shared" si="12"/>
        <v>0.53947368421052633</v>
      </c>
      <c r="N402" s="282">
        <v>1440</v>
      </c>
      <c r="O402" s="282">
        <v>2</v>
      </c>
      <c r="P402" s="282">
        <v>1954</v>
      </c>
      <c r="Q402" s="282">
        <f>2023-Table28[[#This Row],[year_built]]</f>
        <v>69</v>
      </c>
      <c r="R402" s="282">
        <v>920</v>
      </c>
      <c r="S402" s="282" t="s">
        <v>4921</v>
      </c>
      <c r="T402" s="282" t="s">
        <v>4906</v>
      </c>
      <c r="U402" s="282">
        <v>2018</v>
      </c>
      <c r="V402" s="284">
        <f t="shared" si="13"/>
        <v>0.63888888888888884</v>
      </c>
      <c r="W402" s="292">
        <f>Table28[[#This Row],[$/sqft]]/INDEX(CPI!$A$3:$C$31,MATCH(Table28[[#This Row],[start_year]],CPI!$A$3:$A$31,0),3)</f>
        <v>0.7737399884950662</v>
      </c>
      <c r="X402" s="282"/>
      <c r="Y402" s="282" t="s">
        <v>4872</v>
      </c>
      <c r="Z402" s="282" t="s">
        <v>4907</v>
      </c>
      <c r="AA402" s="282">
        <v>53.947368419999997</v>
      </c>
      <c r="AB402" s="55" t="s">
        <v>72</v>
      </c>
      <c r="AC402" t="s">
        <v>71</v>
      </c>
    </row>
    <row r="403" spans="1:29" x14ac:dyDescent="0.2">
      <c r="A403" s="282">
        <v>4054</v>
      </c>
      <c r="B403" s="282">
        <v>11232</v>
      </c>
      <c r="C403" s="282" t="s">
        <v>3410</v>
      </c>
      <c r="D403" s="282" t="str">
        <f>IF(Table28[[#This Row],[% Leakage Reduction (Calculated)]]&gt;0.4, "Greater than 40% Air Reduction", "Less than 40% Air Reduction")</f>
        <v>Less than 40% Air Reduction</v>
      </c>
      <c r="E403" s="282" t="s">
        <v>4831</v>
      </c>
      <c r="F403" s="282" t="s">
        <v>4832</v>
      </c>
      <c r="G403" s="282" t="s">
        <v>4833</v>
      </c>
      <c r="H403" s="282" t="s">
        <v>4838</v>
      </c>
      <c r="I403" s="282">
        <v>1990</v>
      </c>
      <c r="J403" s="282" t="s">
        <v>4852</v>
      </c>
      <c r="K403" s="282">
        <v>1353</v>
      </c>
      <c r="L403" s="282" t="s">
        <v>4853</v>
      </c>
      <c r="M403" s="283">
        <f t="shared" si="12"/>
        <v>0.32010050251256283</v>
      </c>
      <c r="N403" s="282">
        <v>1607</v>
      </c>
      <c r="O403" s="282"/>
      <c r="P403" s="282">
        <v>1980</v>
      </c>
      <c r="Q403" s="282">
        <f>2023-Table28[[#This Row],[year_built]]</f>
        <v>43</v>
      </c>
      <c r="R403" s="282">
        <v>1047.5</v>
      </c>
      <c r="S403" s="282" t="s">
        <v>4975</v>
      </c>
      <c r="T403" s="282" t="s">
        <v>4969</v>
      </c>
      <c r="U403" s="282">
        <v>2019</v>
      </c>
      <c r="V403" s="284">
        <f t="shared" si="13"/>
        <v>0.65183571873055379</v>
      </c>
      <c r="W403" s="292">
        <f>Table28[[#This Row],[$/sqft]]/INDEX(CPI!$A$3:$C$31,MATCH(Table28[[#This Row],[start_year]],CPI!$A$3:$A$31,0),3)</f>
        <v>0.77521799791146428</v>
      </c>
      <c r="X403" s="282" t="s">
        <v>1241</v>
      </c>
      <c r="Y403" s="282"/>
      <c r="Z403" s="282" t="s">
        <v>4840</v>
      </c>
      <c r="AA403" s="282">
        <v>32.010050249999999</v>
      </c>
      <c r="AB403" s="55" t="s">
        <v>72</v>
      </c>
      <c r="AC403" t="s">
        <v>71</v>
      </c>
    </row>
    <row r="404" spans="1:29" x14ac:dyDescent="0.2">
      <c r="A404" s="282">
        <v>5206</v>
      </c>
      <c r="B404" s="282">
        <v>13233</v>
      </c>
      <c r="C404" s="282" t="s">
        <v>3410</v>
      </c>
      <c r="D404" s="282" t="str">
        <f>IF(Table28[[#This Row],[% Leakage Reduction (Calculated)]]&gt;0.4, "Greater than 40% Air Reduction", "Less than 40% Air Reduction")</f>
        <v>Less than 40% Air Reduction</v>
      </c>
      <c r="E404" s="282" t="s">
        <v>4831</v>
      </c>
      <c r="F404" s="282" t="s">
        <v>4832</v>
      </c>
      <c r="G404" s="282" t="s">
        <v>4833</v>
      </c>
      <c r="H404" s="282" t="s">
        <v>4838</v>
      </c>
      <c r="I404" s="282">
        <v>1615</v>
      </c>
      <c r="J404" s="282" t="s">
        <v>4852</v>
      </c>
      <c r="K404" s="282">
        <v>1128</v>
      </c>
      <c r="L404" s="282" t="s">
        <v>4853</v>
      </c>
      <c r="M404" s="283">
        <f t="shared" si="12"/>
        <v>0.30154798761609908</v>
      </c>
      <c r="N404" s="282">
        <v>730</v>
      </c>
      <c r="O404" s="282"/>
      <c r="P404" s="282">
        <v>1974</v>
      </c>
      <c r="Q404" s="282">
        <f>2023-Table28[[#This Row],[year_built]]</f>
        <v>49</v>
      </c>
      <c r="R404" s="282">
        <v>468.47</v>
      </c>
      <c r="S404" s="282" t="s">
        <v>4981</v>
      </c>
      <c r="T404" s="282" t="s">
        <v>4979</v>
      </c>
      <c r="U404" s="282">
        <v>2018</v>
      </c>
      <c r="V404" s="284">
        <f t="shared" si="13"/>
        <v>0.64173972602739726</v>
      </c>
      <c r="W404" s="292">
        <f>Table28[[#This Row],[$/sqft]]/INDEX(CPI!$A$3:$C$31,MATCH(Table28[[#This Row],[start_year]],CPI!$A$3:$A$31,0),3)</f>
        <v>0.77719255549554567</v>
      </c>
      <c r="X404" s="282" t="s">
        <v>4844</v>
      </c>
      <c r="Y404" s="282"/>
      <c r="Z404" s="282" t="s">
        <v>4840</v>
      </c>
      <c r="AA404" s="282">
        <v>30.154798759999998</v>
      </c>
      <c r="AB404" s="55" t="s">
        <v>72</v>
      </c>
      <c r="AC404" t="s">
        <v>71</v>
      </c>
    </row>
    <row r="405" spans="1:29" x14ac:dyDescent="0.2">
      <c r="A405" s="282">
        <v>5161</v>
      </c>
      <c r="B405" s="282">
        <v>12981</v>
      </c>
      <c r="C405" s="282" t="s">
        <v>3410</v>
      </c>
      <c r="D405" s="282" t="str">
        <f>IF(Table28[[#This Row],[% Leakage Reduction (Calculated)]]&gt;0.4, "Greater than 40% Air Reduction", "Less than 40% Air Reduction")</f>
        <v>Greater than 40% Air Reduction</v>
      </c>
      <c r="E405" s="282" t="s">
        <v>4831</v>
      </c>
      <c r="F405" s="282" t="s">
        <v>4832</v>
      </c>
      <c r="G405" s="282" t="s">
        <v>4833</v>
      </c>
      <c r="H405" s="282" t="s">
        <v>4838</v>
      </c>
      <c r="I405" s="282">
        <v>3701</v>
      </c>
      <c r="J405" s="282" t="s">
        <v>4852</v>
      </c>
      <c r="K405" s="282">
        <v>1301</v>
      </c>
      <c r="L405" s="282" t="s">
        <v>4853</v>
      </c>
      <c r="M405" s="283">
        <f t="shared" si="12"/>
        <v>0.64847338557146716</v>
      </c>
      <c r="N405" s="282">
        <v>1900</v>
      </c>
      <c r="O405" s="282"/>
      <c r="P405" s="282">
        <v>1957</v>
      </c>
      <c r="Q405" s="282">
        <f>2023-Table28[[#This Row],[year_built]]</f>
        <v>66</v>
      </c>
      <c r="R405" s="282">
        <v>1223.19</v>
      </c>
      <c r="S405" s="282" t="s">
        <v>4997</v>
      </c>
      <c r="T405" s="282" t="s">
        <v>4979</v>
      </c>
      <c r="U405" s="282">
        <v>2018</v>
      </c>
      <c r="V405" s="284">
        <f t="shared" si="13"/>
        <v>0.64378421052631585</v>
      </c>
      <c r="W405" s="292">
        <f>Table28[[#This Row],[$/sqft]]/INDEX(CPI!$A$3:$C$31,MATCH(Table28[[#This Row],[start_year]],CPI!$A$3:$A$31,0),3)</f>
        <v>0.77966857196755346</v>
      </c>
      <c r="X405" s="282" t="s">
        <v>4844</v>
      </c>
      <c r="Y405" s="282"/>
      <c r="Z405" s="282" t="s">
        <v>4840</v>
      </c>
      <c r="AA405" s="282">
        <v>64.847338559999997</v>
      </c>
      <c r="AB405" s="55" t="s">
        <v>72</v>
      </c>
      <c r="AC405" t="s">
        <v>71</v>
      </c>
    </row>
    <row r="406" spans="1:29" x14ac:dyDescent="0.2">
      <c r="A406" s="282">
        <v>3048</v>
      </c>
      <c r="B406" s="282">
        <v>9224</v>
      </c>
      <c r="C406" s="282" t="s">
        <v>3410</v>
      </c>
      <c r="D406" s="282" t="str">
        <f>IF(Table28[[#This Row],[% Leakage Reduction (Calculated)]]&gt;0.4, "Greater than 40% Air Reduction", "Less than 40% Air Reduction")</f>
        <v>Less than 40% Air Reduction</v>
      </c>
      <c r="E406" s="282" t="s">
        <v>4831</v>
      </c>
      <c r="F406" s="282" t="s">
        <v>4832</v>
      </c>
      <c r="G406" s="282" t="s">
        <v>4833</v>
      </c>
      <c r="H406" s="282" t="s">
        <v>4838</v>
      </c>
      <c r="I406" s="282">
        <v>9.83</v>
      </c>
      <c r="J406" s="282" t="s">
        <v>4834</v>
      </c>
      <c r="K406" s="282">
        <v>5.98</v>
      </c>
      <c r="L406" s="282" t="s">
        <v>4835</v>
      </c>
      <c r="M406" s="283">
        <f t="shared" si="12"/>
        <v>0.39165818921668361</v>
      </c>
      <c r="N406" s="282">
        <v>1920</v>
      </c>
      <c r="O406" s="282">
        <v>2</v>
      </c>
      <c r="P406" s="282">
        <v>1958</v>
      </c>
      <c r="Q406" s="282">
        <f>2023-Table28[[#This Row],[year_built]]</f>
        <v>65</v>
      </c>
      <c r="R406" s="282">
        <v>1260</v>
      </c>
      <c r="S406" s="282" t="s">
        <v>4930</v>
      </c>
      <c r="T406" s="282" t="s">
        <v>4906</v>
      </c>
      <c r="U406" s="282">
        <v>2019</v>
      </c>
      <c r="V406" s="284">
        <f t="shared" si="13"/>
        <v>0.65625</v>
      </c>
      <c r="W406" s="292">
        <f>Table28[[#This Row],[$/sqft]]/INDEX(CPI!$A$3:$C$31,MATCH(Table28[[#This Row],[start_year]],CPI!$A$3:$A$31,0),3)</f>
        <v>0.78046783339851389</v>
      </c>
      <c r="X406" s="282"/>
      <c r="Y406" s="282" t="s">
        <v>4917</v>
      </c>
      <c r="Z406" s="282" t="s">
        <v>4907</v>
      </c>
      <c r="AA406" s="282">
        <v>39.16581892</v>
      </c>
      <c r="AB406" s="55" t="s">
        <v>72</v>
      </c>
      <c r="AC406" t="s">
        <v>71</v>
      </c>
    </row>
    <row r="407" spans="1:29" x14ac:dyDescent="0.2">
      <c r="A407" s="282">
        <v>3293</v>
      </c>
      <c r="B407" s="282">
        <v>10075</v>
      </c>
      <c r="C407" s="282" t="s">
        <v>3410</v>
      </c>
      <c r="D407" s="282" t="str">
        <f>IF(Table28[[#This Row],[% Leakage Reduction (Calculated)]]&gt;0.4, "Greater than 40% Air Reduction", "Less than 40% Air Reduction")</f>
        <v>Less than 40% Air Reduction</v>
      </c>
      <c r="E407" s="282" t="s">
        <v>4831</v>
      </c>
      <c r="F407" s="282" t="s">
        <v>4832</v>
      </c>
      <c r="G407" s="282" t="s">
        <v>4833</v>
      </c>
      <c r="H407" s="282" t="s">
        <v>4838</v>
      </c>
      <c r="I407" s="282">
        <v>12.94</v>
      </c>
      <c r="J407" s="282" t="s">
        <v>4834</v>
      </c>
      <c r="K407" s="282">
        <v>10.33</v>
      </c>
      <c r="L407" s="282" t="s">
        <v>4835</v>
      </c>
      <c r="M407" s="283">
        <f t="shared" si="12"/>
        <v>0.20170015455950538</v>
      </c>
      <c r="N407" s="282">
        <v>1204</v>
      </c>
      <c r="O407" s="282">
        <v>1</v>
      </c>
      <c r="P407" s="282">
        <v>1963</v>
      </c>
      <c r="Q407" s="282">
        <f>2023-Table28[[#This Row],[year_built]]</f>
        <v>60</v>
      </c>
      <c r="R407" s="282">
        <v>800</v>
      </c>
      <c r="S407" s="282" t="s">
        <v>4946</v>
      </c>
      <c r="T407" s="282" t="s">
        <v>4906</v>
      </c>
      <c r="U407" s="282">
        <v>2020</v>
      </c>
      <c r="V407" s="284">
        <f t="shared" si="13"/>
        <v>0.66445182724252494</v>
      </c>
      <c r="W407" s="292">
        <f>Table28[[#This Row],[$/sqft]]/INDEX(CPI!$A$3:$C$31,MATCH(Table28[[#This Row],[start_year]],CPI!$A$3:$A$31,0),3)</f>
        <v>0.78075657134641363</v>
      </c>
      <c r="X407" s="282"/>
      <c r="Y407" s="282" t="s">
        <v>4839</v>
      </c>
      <c r="Z407" s="282" t="s">
        <v>4907</v>
      </c>
      <c r="AA407" s="282">
        <v>20.170015459999998</v>
      </c>
      <c r="AB407" s="55" t="s">
        <v>72</v>
      </c>
      <c r="AC407" t="s">
        <v>71</v>
      </c>
    </row>
    <row r="408" spans="1:29" x14ac:dyDescent="0.2">
      <c r="A408" s="282">
        <v>1296</v>
      </c>
      <c r="B408" s="282">
        <v>3777</v>
      </c>
      <c r="C408" s="282" t="s">
        <v>3410</v>
      </c>
      <c r="D408" s="282" t="str">
        <f>IF(Table28[[#This Row],[% Leakage Reduction (Calculated)]]&gt;0.4, "Greater than 40% Air Reduction", "Less than 40% Air Reduction")</f>
        <v>Less than 40% Air Reduction</v>
      </c>
      <c r="E408" s="282" t="s">
        <v>4831</v>
      </c>
      <c r="F408" s="282" t="s">
        <v>4832</v>
      </c>
      <c r="G408" s="282" t="s">
        <v>4833</v>
      </c>
      <c r="H408" s="282" t="s">
        <v>4838</v>
      </c>
      <c r="I408" s="282">
        <v>1570</v>
      </c>
      <c r="J408" s="282" t="s">
        <v>4852</v>
      </c>
      <c r="K408" s="282">
        <v>1130</v>
      </c>
      <c r="L408" s="282" t="s">
        <v>4853</v>
      </c>
      <c r="M408" s="283">
        <f t="shared" si="12"/>
        <v>0.28025477707006369</v>
      </c>
      <c r="N408" s="282">
        <v>1400</v>
      </c>
      <c r="O408" s="282">
        <v>2</v>
      </c>
      <c r="P408" s="282" t="s">
        <v>5294</v>
      </c>
      <c r="Q408" s="282" t="e">
        <f>2023-Table28[[#This Row],[year_built]]</f>
        <v>#VALUE!</v>
      </c>
      <c r="R408" s="282">
        <v>863</v>
      </c>
      <c r="S408" s="282" t="s">
        <v>4870</v>
      </c>
      <c r="T408" s="282" t="s">
        <v>4859</v>
      </c>
      <c r="U408" s="282">
        <v>2016</v>
      </c>
      <c r="V408" s="284">
        <f t="shared" si="13"/>
        <v>0.61642857142857144</v>
      </c>
      <c r="W408" s="292">
        <f>Table28[[#This Row],[$/sqft]]/INDEX(CPI!$A$3:$C$31,MATCH(Table28[[#This Row],[start_year]],CPI!$A$3:$A$31,0),3)</f>
        <v>0.78104358860961798</v>
      </c>
      <c r="X408" s="282" t="s">
        <v>4844</v>
      </c>
      <c r="Y408" s="282" t="s">
        <v>1241</v>
      </c>
      <c r="Z408" s="282" t="s">
        <v>4861</v>
      </c>
      <c r="AA408" s="282">
        <v>28.025477710000001</v>
      </c>
      <c r="AB408" s="55" t="s">
        <v>72</v>
      </c>
      <c r="AC408" t="s">
        <v>72</v>
      </c>
    </row>
    <row r="409" spans="1:29" x14ac:dyDescent="0.2">
      <c r="A409" s="282">
        <v>5155</v>
      </c>
      <c r="B409" s="282">
        <v>12947</v>
      </c>
      <c r="C409" s="282" t="s">
        <v>3410</v>
      </c>
      <c r="D409" s="282" t="str">
        <f>IF(Table28[[#This Row],[% Leakage Reduction (Calculated)]]&gt;0.4, "Greater than 40% Air Reduction", "Less than 40% Air Reduction")</f>
        <v>Greater than 40% Air Reduction</v>
      </c>
      <c r="E409" s="282" t="s">
        <v>4831</v>
      </c>
      <c r="F409" s="282" t="s">
        <v>4832</v>
      </c>
      <c r="G409" s="282" t="s">
        <v>4833</v>
      </c>
      <c r="H409" s="282" t="s">
        <v>4838</v>
      </c>
      <c r="I409" s="282">
        <v>3271</v>
      </c>
      <c r="J409" s="282" t="s">
        <v>4852</v>
      </c>
      <c r="K409" s="282">
        <v>1109</v>
      </c>
      <c r="L409" s="282" t="s">
        <v>4853</v>
      </c>
      <c r="M409" s="283">
        <f t="shared" si="12"/>
        <v>0.66095995108529504</v>
      </c>
      <c r="N409" s="282">
        <v>1167</v>
      </c>
      <c r="O409" s="282"/>
      <c r="P409" s="282">
        <v>1993</v>
      </c>
      <c r="Q409" s="282">
        <f>2023-Table28[[#This Row],[year_built]]</f>
        <v>30</v>
      </c>
      <c r="R409" s="282">
        <v>735.7</v>
      </c>
      <c r="S409" s="282" t="s">
        <v>5000</v>
      </c>
      <c r="T409" s="282" t="s">
        <v>4979</v>
      </c>
      <c r="U409" s="282">
        <v>2017</v>
      </c>
      <c r="V409" s="284">
        <f t="shared" si="13"/>
        <v>0.63041988003427596</v>
      </c>
      <c r="W409" s="292">
        <f>Table28[[#This Row],[$/sqft]]/INDEX(CPI!$A$3:$C$31,MATCH(Table28[[#This Row],[start_year]],CPI!$A$3:$A$31,0),3)</f>
        <v>0.78217333952845103</v>
      </c>
      <c r="X409" s="282" t="s">
        <v>4844</v>
      </c>
      <c r="Y409" s="282"/>
      <c r="Z409" s="282" t="s">
        <v>4840</v>
      </c>
      <c r="AA409" s="282">
        <v>66.095995110000004</v>
      </c>
      <c r="AB409" s="55" t="s">
        <v>72</v>
      </c>
      <c r="AC409" t="s">
        <v>71</v>
      </c>
    </row>
    <row r="410" spans="1:29" x14ac:dyDescent="0.2">
      <c r="A410" s="282">
        <v>3243</v>
      </c>
      <c r="B410" s="282">
        <v>9913</v>
      </c>
      <c r="C410" s="282" t="s">
        <v>3410</v>
      </c>
      <c r="D410" s="282" t="str">
        <f>IF(Table28[[#This Row],[% Leakage Reduction (Calculated)]]&gt;0.4, "Greater than 40% Air Reduction", "Less than 40% Air Reduction")</f>
        <v>Greater than 40% Air Reduction</v>
      </c>
      <c r="E410" s="282" t="s">
        <v>4831</v>
      </c>
      <c r="F410" s="282" t="s">
        <v>4832</v>
      </c>
      <c r="G410" s="282" t="s">
        <v>4833</v>
      </c>
      <c r="H410" s="282" t="s">
        <v>4838</v>
      </c>
      <c r="I410" s="282">
        <v>20.39</v>
      </c>
      <c r="J410" s="282" t="s">
        <v>4834</v>
      </c>
      <c r="K410" s="282">
        <v>6.9</v>
      </c>
      <c r="L410" s="282" t="s">
        <v>4835</v>
      </c>
      <c r="M410" s="283">
        <f t="shared" si="12"/>
        <v>0.66159882295242767</v>
      </c>
      <c r="N410" s="282">
        <v>1520</v>
      </c>
      <c r="O410" s="282">
        <v>1</v>
      </c>
      <c r="P410" s="282">
        <v>1974</v>
      </c>
      <c r="Q410" s="282">
        <f>2023-Table28[[#This Row],[year_built]]</f>
        <v>49</v>
      </c>
      <c r="R410" s="282">
        <v>1000</v>
      </c>
      <c r="S410" s="282" t="s">
        <v>4899</v>
      </c>
      <c r="T410" s="282" t="s">
        <v>4906</v>
      </c>
      <c r="U410" s="282">
        <v>2019</v>
      </c>
      <c r="V410" s="284">
        <f t="shared" si="13"/>
        <v>0.65789473684210531</v>
      </c>
      <c r="W410" s="292">
        <f>Table28[[#This Row],[$/sqft]]/INDEX(CPI!$A$3:$C$31,MATCH(Table28[[#This Row],[start_year]],CPI!$A$3:$A$31,0),3)</f>
        <v>0.78242389313134231</v>
      </c>
      <c r="X410" s="282"/>
      <c r="Y410" s="282" t="s">
        <v>217</v>
      </c>
      <c r="Z410" s="282" t="s">
        <v>4907</v>
      </c>
      <c r="AA410" s="282">
        <v>66.159882300000007</v>
      </c>
      <c r="AB410" s="55" t="s">
        <v>72</v>
      </c>
      <c r="AC410" t="s">
        <v>71</v>
      </c>
    </row>
    <row r="411" spans="1:29" x14ac:dyDescent="0.2">
      <c r="A411" s="282">
        <v>5026</v>
      </c>
      <c r="B411" s="282">
        <v>12159</v>
      </c>
      <c r="C411" s="282" t="s">
        <v>3410</v>
      </c>
      <c r="D411" s="282" t="str">
        <f>IF(Table28[[#This Row],[% Leakage Reduction (Calculated)]]&gt;0.4, "Greater than 40% Air Reduction", "Less than 40% Air Reduction")</f>
        <v>Less than 40% Air Reduction</v>
      </c>
      <c r="E411" s="282" t="s">
        <v>4831</v>
      </c>
      <c r="F411" s="282" t="s">
        <v>4832</v>
      </c>
      <c r="G411" s="282" t="s">
        <v>4833</v>
      </c>
      <c r="H411" s="282" t="s">
        <v>4838</v>
      </c>
      <c r="I411" s="282">
        <v>2838</v>
      </c>
      <c r="J411" s="282" t="s">
        <v>4852</v>
      </c>
      <c r="K411" s="282">
        <v>2112</v>
      </c>
      <c r="L411" s="282" t="s">
        <v>4853</v>
      </c>
      <c r="M411" s="283">
        <f t="shared" si="12"/>
        <v>0.2558139534883721</v>
      </c>
      <c r="N411" s="282">
        <v>1248</v>
      </c>
      <c r="O411" s="282"/>
      <c r="P411" s="282">
        <v>1973</v>
      </c>
      <c r="Q411" s="282">
        <f>2023-Table28[[#This Row],[year_built]]</f>
        <v>50</v>
      </c>
      <c r="R411" s="282">
        <v>818.75</v>
      </c>
      <c r="S411" s="282" t="s">
        <v>4981</v>
      </c>
      <c r="T411" s="282" t="s">
        <v>4979</v>
      </c>
      <c r="U411" s="282">
        <v>2018</v>
      </c>
      <c r="V411" s="284">
        <f t="shared" si="13"/>
        <v>0.65604967948717952</v>
      </c>
      <c r="W411" s="292">
        <f>Table28[[#This Row],[$/sqft]]/INDEX(CPI!$A$3:$C$31,MATCH(Table28[[#This Row],[start_year]],CPI!$A$3:$A$31,0),3)</f>
        <v>0.79452292923955126</v>
      </c>
      <c r="X411" s="282" t="s">
        <v>4844</v>
      </c>
      <c r="Y411" s="282"/>
      <c r="Z411" s="282" t="s">
        <v>4840</v>
      </c>
      <c r="AA411" s="282">
        <v>25.581395350000001</v>
      </c>
      <c r="AB411" s="55" t="s">
        <v>72</v>
      </c>
      <c r="AC411" t="s">
        <v>71</v>
      </c>
    </row>
    <row r="412" spans="1:29" x14ac:dyDescent="0.2">
      <c r="A412" s="282">
        <v>4007</v>
      </c>
      <c r="B412" s="282">
        <v>11032</v>
      </c>
      <c r="C412" s="282" t="s">
        <v>3410</v>
      </c>
      <c r="D412" s="282" t="str">
        <f>IF(Table28[[#This Row],[% Leakage Reduction (Calculated)]]&gt;0.4, "Greater than 40% Air Reduction", "Less than 40% Air Reduction")</f>
        <v>Less than 40% Air Reduction</v>
      </c>
      <c r="E412" s="282" t="s">
        <v>4831</v>
      </c>
      <c r="F412" s="282" t="s">
        <v>4832</v>
      </c>
      <c r="G412" s="282" t="s">
        <v>4833</v>
      </c>
      <c r="H412" s="282" t="s">
        <v>4838</v>
      </c>
      <c r="I412" s="282">
        <v>4164</v>
      </c>
      <c r="J412" s="282" t="s">
        <v>4852</v>
      </c>
      <c r="K412" s="282">
        <v>3084</v>
      </c>
      <c r="L412" s="282" t="s">
        <v>4853</v>
      </c>
      <c r="M412" s="283">
        <f t="shared" si="12"/>
        <v>0.25936599423631124</v>
      </c>
      <c r="N412" s="282">
        <v>1470</v>
      </c>
      <c r="O412" s="282"/>
      <c r="P412" s="282">
        <v>1964</v>
      </c>
      <c r="Q412" s="282">
        <f>2023-Table28[[#This Row],[year_built]]</f>
        <v>59</v>
      </c>
      <c r="R412" s="282">
        <v>990.04</v>
      </c>
      <c r="S412" s="282" t="s">
        <v>4973</v>
      </c>
      <c r="T412" s="282" t="s">
        <v>4969</v>
      </c>
      <c r="U412" s="282">
        <v>2019</v>
      </c>
      <c r="V412" s="284">
        <f t="shared" si="13"/>
        <v>0.67349659863945577</v>
      </c>
      <c r="W412" s="292">
        <f>Table28[[#This Row],[$/sqft]]/INDEX(CPI!$A$3:$C$31,MATCH(Table28[[#This Row],[start_year]],CPI!$A$3:$A$31,0),3)</f>
        <v>0.80097894269166414</v>
      </c>
      <c r="X412" s="282" t="s">
        <v>1241</v>
      </c>
      <c r="Y412" s="282"/>
      <c r="Z412" s="282" t="s">
        <v>4840</v>
      </c>
      <c r="AA412" s="282">
        <v>25.93659942</v>
      </c>
      <c r="AB412" s="55" t="s">
        <v>72</v>
      </c>
      <c r="AC412" t="s">
        <v>71</v>
      </c>
    </row>
    <row r="413" spans="1:29" x14ac:dyDescent="0.2">
      <c r="A413" s="282">
        <v>5258</v>
      </c>
      <c r="B413" s="282">
        <v>13522</v>
      </c>
      <c r="C413" s="282" t="s">
        <v>3410</v>
      </c>
      <c r="D413" s="282" t="str">
        <f>IF(Table28[[#This Row],[% Leakage Reduction (Calculated)]]&gt;0.4, "Greater than 40% Air Reduction", "Less than 40% Air Reduction")</f>
        <v>Less than 40% Air Reduction</v>
      </c>
      <c r="E413" s="282" t="s">
        <v>4831</v>
      </c>
      <c r="F413" s="282" t="s">
        <v>4832</v>
      </c>
      <c r="G413" s="282" t="s">
        <v>4833</v>
      </c>
      <c r="H413" s="282" t="s">
        <v>4972</v>
      </c>
      <c r="I413" s="282">
        <v>2509</v>
      </c>
      <c r="J413" s="282" t="s">
        <v>4852</v>
      </c>
      <c r="K413" s="282">
        <v>1944</v>
      </c>
      <c r="L413" s="282" t="s">
        <v>4853</v>
      </c>
      <c r="M413" s="283">
        <f t="shared" si="12"/>
        <v>0.22518931845356716</v>
      </c>
      <c r="N413" s="282">
        <v>1430</v>
      </c>
      <c r="O413" s="282"/>
      <c r="P413" s="282">
        <v>2006</v>
      </c>
      <c r="Q413" s="282">
        <f>2023-Table28[[#This Row],[year_built]]</f>
        <v>17</v>
      </c>
      <c r="R413" s="282">
        <v>949.93</v>
      </c>
      <c r="S413" s="282" t="s">
        <v>4981</v>
      </c>
      <c r="T413" s="282" t="s">
        <v>4979</v>
      </c>
      <c r="U413" s="282">
        <v>2018</v>
      </c>
      <c r="V413" s="284">
        <f t="shared" si="13"/>
        <v>0.66428671328671329</v>
      </c>
      <c r="W413" s="292">
        <f>Table28[[#This Row],[$/sqft]]/INDEX(CPI!$A$3:$C$31,MATCH(Table28[[#This Row],[start_year]],CPI!$A$3:$A$31,0),3)</f>
        <v>0.80449856435877953</v>
      </c>
      <c r="X413" s="282" t="s">
        <v>4844</v>
      </c>
      <c r="Y413" s="282"/>
      <c r="Z413" s="282" t="s">
        <v>4840</v>
      </c>
      <c r="AA413" s="282">
        <v>22.518931850000001</v>
      </c>
      <c r="AB413" s="55" t="s">
        <v>72</v>
      </c>
      <c r="AC413" t="s">
        <v>71</v>
      </c>
    </row>
    <row r="414" spans="1:29" x14ac:dyDescent="0.2">
      <c r="A414" s="282">
        <v>3086</v>
      </c>
      <c r="B414" s="282">
        <v>9383</v>
      </c>
      <c r="C414" s="282" t="s">
        <v>3410</v>
      </c>
      <c r="D414" s="282" t="str">
        <f>IF(Table28[[#This Row],[% Leakage Reduction (Calculated)]]&gt;0.4, "Greater than 40% Air Reduction", "Less than 40% Air Reduction")</f>
        <v>Less than 40% Air Reduction</v>
      </c>
      <c r="E414" s="282" t="s">
        <v>4831</v>
      </c>
      <c r="F414" s="282" t="s">
        <v>4832</v>
      </c>
      <c r="G414" s="282" t="s">
        <v>4833</v>
      </c>
      <c r="H414" s="282" t="s">
        <v>4838</v>
      </c>
      <c r="I414" s="282">
        <v>14.69</v>
      </c>
      <c r="J414" s="282" t="s">
        <v>4834</v>
      </c>
      <c r="K414" s="282">
        <v>9.4</v>
      </c>
      <c r="L414" s="282" t="s">
        <v>4835</v>
      </c>
      <c r="M414" s="283">
        <f t="shared" si="12"/>
        <v>0.36010891763104147</v>
      </c>
      <c r="N414" s="282">
        <v>1020</v>
      </c>
      <c r="O414" s="282">
        <v>2</v>
      </c>
      <c r="P414" s="282">
        <v>1939</v>
      </c>
      <c r="Q414" s="282">
        <f>2023-Table28[[#This Row],[year_built]]</f>
        <v>84</v>
      </c>
      <c r="R414" s="282">
        <v>700</v>
      </c>
      <c r="S414" s="282" t="s">
        <v>4943</v>
      </c>
      <c r="T414" s="282" t="s">
        <v>4906</v>
      </c>
      <c r="U414" s="282">
        <v>2019</v>
      </c>
      <c r="V414" s="284">
        <f t="shared" si="13"/>
        <v>0.68627450980392157</v>
      </c>
      <c r="W414" s="292">
        <f>Table28[[#This Row],[$/sqft]]/INDEX(CPI!$A$3:$C$31,MATCH(Table28[[#This Row],[start_year]],CPI!$A$3:$A$31,0),3)</f>
        <v>0.81617551205073358</v>
      </c>
      <c r="X414" s="282"/>
      <c r="Y414" s="282" t="s">
        <v>217</v>
      </c>
      <c r="Z414" s="282" t="s">
        <v>4907</v>
      </c>
      <c r="AA414" s="282">
        <v>36.01089176</v>
      </c>
      <c r="AB414" s="55" t="s">
        <v>72</v>
      </c>
      <c r="AC414" t="s">
        <v>71</v>
      </c>
    </row>
    <row r="415" spans="1:29" x14ac:dyDescent="0.2">
      <c r="A415" s="282">
        <v>5119</v>
      </c>
      <c r="B415" s="282">
        <v>12721</v>
      </c>
      <c r="C415" s="282" t="s">
        <v>3410</v>
      </c>
      <c r="D415" s="282" t="str">
        <f>IF(Table28[[#This Row],[% Leakage Reduction (Calculated)]]&gt;0.4, "Greater than 40% Air Reduction", "Less than 40% Air Reduction")</f>
        <v>Less than 40% Air Reduction</v>
      </c>
      <c r="E415" s="282" t="s">
        <v>4831</v>
      </c>
      <c r="F415" s="282" t="s">
        <v>4832</v>
      </c>
      <c r="G415" s="282" t="s">
        <v>4833</v>
      </c>
      <c r="H415" s="282" t="s">
        <v>4838</v>
      </c>
      <c r="I415" s="282">
        <v>9129</v>
      </c>
      <c r="J415" s="282" t="s">
        <v>4852</v>
      </c>
      <c r="K415" s="282">
        <v>7965</v>
      </c>
      <c r="L415" s="282" t="s">
        <v>4853</v>
      </c>
      <c r="M415" s="283">
        <f t="shared" si="12"/>
        <v>0.12750575090371344</v>
      </c>
      <c r="N415" s="282">
        <v>2000</v>
      </c>
      <c r="O415" s="282"/>
      <c r="P415" s="282">
        <v>1949</v>
      </c>
      <c r="Q415" s="282">
        <f>2023-Table28[[#This Row],[year_built]]</f>
        <v>74</v>
      </c>
      <c r="R415" s="282">
        <v>1356.65</v>
      </c>
      <c r="S415" s="282" t="s">
        <v>4988</v>
      </c>
      <c r="T415" s="282" t="s">
        <v>4979</v>
      </c>
      <c r="U415" s="282">
        <v>2018</v>
      </c>
      <c r="V415" s="284">
        <f t="shared" si="13"/>
        <v>0.67832500000000007</v>
      </c>
      <c r="W415" s="292">
        <f>Table28[[#This Row],[$/sqft]]/INDEX(CPI!$A$3:$C$31,MATCH(Table28[[#This Row],[start_year]],CPI!$A$3:$A$31,0),3)</f>
        <v>0.82149993030665092</v>
      </c>
      <c r="X415" s="282" t="s">
        <v>4844</v>
      </c>
      <c r="Y415" s="282"/>
      <c r="Z415" s="282" t="s">
        <v>4840</v>
      </c>
      <c r="AA415" s="282">
        <v>12.75057509</v>
      </c>
      <c r="AB415" s="55" t="s">
        <v>72</v>
      </c>
      <c r="AC415" t="s">
        <v>71</v>
      </c>
    </row>
    <row r="416" spans="1:29" x14ac:dyDescent="0.2">
      <c r="A416" s="282">
        <v>3069</v>
      </c>
      <c r="B416" s="282">
        <v>9309</v>
      </c>
      <c r="C416" s="282" t="s">
        <v>3410</v>
      </c>
      <c r="D416" s="282" t="str">
        <f>IF(Table28[[#This Row],[% Leakage Reduction (Calculated)]]&gt;0.4, "Greater than 40% Air Reduction", "Less than 40% Air Reduction")</f>
        <v>Less than 40% Air Reduction</v>
      </c>
      <c r="E416" s="282" t="s">
        <v>4831</v>
      </c>
      <c r="F416" s="282" t="s">
        <v>4832</v>
      </c>
      <c r="G416" s="282" t="s">
        <v>4833</v>
      </c>
      <c r="H416" s="282" t="s">
        <v>4838</v>
      </c>
      <c r="I416" s="282">
        <v>17.27</v>
      </c>
      <c r="J416" s="282" t="s">
        <v>4834</v>
      </c>
      <c r="K416" s="282">
        <v>10.85</v>
      </c>
      <c r="L416" s="282" t="s">
        <v>4835</v>
      </c>
      <c r="M416" s="283">
        <f t="shared" si="12"/>
        <v>0.37174290677475391</v>
      </c>
      <c r="N416" s="282">
        <v>1856</v>
      </c>
      <c r="O416" s="282">
        <v>1.83</v>
      </c>
      <c r="P416" s="282">
        <v>1940</v>
      </c>
      <c r="Q416" s="282">
        <f>2023-Table28[[#This Row],[year_built]]</f>
        <v>83</v>
      </c>
      <c r="R416" s="282">
        <v>1293.1300000000001</v>
      </c>
      <c r="S416" s="282" t="s">
        <v>4937</v>
      </c>
      <c r="T416" s="282" t="s">
        <v>4906</v>
      </c>
      <c r="U416" s="282">
        <v>2019</v>
      </c>
      <c r="V416" s="284">
        <f t="shared" si="13"/>
        <v>0.69672952586206904</v>
      </c>
      <c r="W416" s="292">
        <f>Table28[[#This Row],[$/sqft]]/INDEX(CPI!$A$3:$C$31,MATCH(Table28[[#This Row],[start_year]],CPI!$A$3:$A$31,0),3)</f>
        <v>0.82860949868852252</v>
      </c>
      <c r="X416" s="282"/>
      <c r="Y416" s="282" t="s">
        <v>4872</v>
      </c>
      <c r="Z416" s="282" t="s">
        <v>4907</v>
      </c>
      <c r="AA416" s="282">
        <v>37.174290679999999</v>
      </c>
      <c r="AB416" s="55" t="s">
        <v>72</v>
      </c>
      <c r="AC416" t="s">
        <v>71</v>
      </c>
    </row>
    <row r="417" spans="1:29" x14ac:dyDescent="0.2">
      <c r="A417" s="282">
        <v>1304</v>
      </c>
      <c r="B417" s="282">
        <v>3864</v>
      </c>
      <c r="C417" s="282" t="s">
        <v>3410</v>
      </c>
      <c r="D417" s="282" t="str">
        <f>IF(Table28[[#This Row],[% Leakage Reduction (Calculated)]]&gt;0.4, "Greater than 40% Air Reduction", "Less than 40% Air Reduction")</f>
        <v>Less than 40% Air Reduction</v>
      </c>
      <c r="E417" s="282" t="s">
        <v>4831</v>
      </c>
      <c r="F417" s="282" t="s">
        <v>4832</v>
      </c>
      <c r="G417" s="282" t="s">
        <v>4833</v>
      </c>
      <c r="H417" s="282" t="s">
        <v>4838</v>
      </c>
      <c r="I417" s="282">
        <v>1747</v>
      </c>
      <c r="J417" s="282" t="s">
        <v>4852</v>
      </c>
      <c r="K417" s="282">
        <v>1462</v>
      </c>
      <c r="L417" s="282" t="s">
        <v>4853</v>
      </c>
      <c r="M417" s="283">
        <f t="shared" si="12"/>
        <v>0.1631368059530624</v>
      </c>
      <c r="N417" s="282">
        <v>1315</v>
      </c>
      <c r="O417" s="282">
        <v>2</v>
      </c>
      <c r="P417" s="282">
        <v>1920</v>
      </c>
      <c r="Q417" s="282">
        <f>2023-Table28[[#This Row],[year_built]]</f>
        <v>103</v>
      </c>
      <c r="R417" s="282">
        <v>880</v>
      </c>
      <c r="S417" s="282" t="s">
        <v>4879</v>
      </c>
      <c r="T417" s="282" t="s">
        <v>4859</v>
      </c>
      <c r="U417" s="282">
        <v>2017</v>
      </c>
      <c r="V417" s="284">
        <f t="shared" si="13"/>
        <v>0.66920152091254748</v>
      </c>
      <c r="W417" s="292">
        <f>Table28[[#This Row],[$/sqft]]/INDEX(CPI!$A$3:$C$31,MATCH(Table28[[#This Row],[start_year]],CPI!$A$3:$A$31,0),3)</f>
        <v>0.83029042231540473</v>
      </c>
      <c r="X417" s="282" t="s">
        <v>4844</v>
      </c>
      <c r="Y417" s="282" t="s">
        <v>217</v>
      </c>
      <c r="Z417" s="282" t="s">
        <v>4861</v>
      </c>
      <c r="AA417" s="282">
        <v>16.313680600000001</v>
      </c>
      <c r="AB417" s="55" t="s">
        <v>72</v>
      </c>
      <c r="AC417" t="s">
        <v>72</v>
      </c>
    </row>
    <row r="418" spans="1:29" x14ac:dyDescent="0.2">
      <c r="A418" s="282">
        <v>5195</v>
      </c>
      <c r="B418" s="282">
        <v>13179</v>
      </c>
      <c r="C418" s="282" t="s">
        <v>3410</v>
      </c>
      <c r="D418" s="282" t="str">
        <f>IF(Table28[[#This Row],[% Leakage Reduction (Calculated)]]&gt;0.4, "Greater than 40% Air Reduction", "Less than 40% Air Reduction")</f>
        <v>Greater than 40% Air Reduction</v>
      </c>
      <c r="E418" s="282" t="s">
        <v>4831</v>
      </c>
      <c r="F418" s="282" t="s">
        <v>4832</v>
      </c>
      <c r="G418" s="282" t="s">
        <v>4833</v>
      </c>
      <c r="H418" s="282" t="s">
        <v>4838</v>
      </c>
      <c r="I418" s="282">
        <v>3313</v>
      </c>
      <c r="J418" s="282" t="s">
        <v>4852</v>
      </c>
      <c r="K418" s="282">
        <v>1863</v>
      </c>
      <c r="L418" s="282" t="s">
        <v>4853</v>
      </c>
      <c r="M418" s="283">
        <f t="shared" si="12"/>
        <v>0.43766978569272563</v>
      </c>
      <c r="N418" s="282">
        <v>1000</v>
      </c>
      <c r="O418" s="282"/>
      <c r="P418" s="282">
        <v>1970</v>
      </c>
      <c r="Q418" s="282">
        <f>2023-Table28[[#This Row],[year_built]]</f>
        <v>53</v>
      </c>
      <c r="R418" s="282">
        <v>686.5</v>
      </c>
      <c r="S418" s="282" t="s">
        <v>4978</v>
      </c>
      <c r="T418" s="282" t="s">
        <v>4979</v>
      </c>
      <c r="U418" s="282">
        <v>2018</v>
      </c>
      <c r="V418" s="284">
        <f t="shared" si="13"/>
        <v>0.6865</v>
      </c>
      <c r="W418" s="292">
        <f>Table28[[#This Row],[$/sqft]]/INDEX(CPI!$A$3:$C$31,MATCH(Table28[[#This Row],[start_year]],CPI!$A$3:$A$31,0),3)</f>
        <v>0.83140043807248121</v>
      </c>
      <c r="X418" s="282" t="s">
        <v>4844</v>
      </c>
      <c r="Y418" s="282"/>
      <c r="Z418" s="282" t="s">
        <v>4840</v>
      </c>
      <c r="AA418" s="282">
        <v>43.766978569999999</v>
      </c>
      <c r="AB418" s="55" t="s">
        <v>72</v>
      </c>
      <c r="AC418" t="s">
        <v>71</v>
      </c>
    </row>
    <row r="419" spans="1:29" x14ac:dyDescent="0.2">
      <c r="A419" s="282">
        <v>5242</v>
      </c>
      <c r="B419" s="282">
        <v>13431</v>
      </c>
      <c r="C419" s="282" t="s">
        <v>3410</v>
      </c>
      <c r="D419" s="282" t="str">
        <f>IF(Table28[[#This Row],[% Leakage Reduction (Calculated)]]&gt;0.4, "Greater than 40% Air Reduction", "Less than 40% Air Reduction")</f>
        <v>Greater than 40% Air Reduction</v>
      </c>
      <c r="E419" s="282" t="s">
        <v>4831</v>
      </c>
      <c r="F419" s="282" t="s">
        <v>4832</v>
      </c>
      <c r="G419" s="282" t="s">
        <v>4833</v>
      </c>
      <c r="H419" s="282" t="s">
        <v>4838</v>
      </c>
      <c r="I419" s="282">
        <v>4970</v>
      </c>
      <c r="J419" s="282" t="s">
        <v>4852</v>
      </c>
      <c r="K419" s="282">
        <v>2449</v>
      </c>
      <c r="L419" s="282" t="s">
        <v>4853</v>
      </c>
      <c r="M419" s="283">
        <f t="shared" si="12"/>
        <v>0.50724346076458748</v>
      </c>
      <c r="N419" s="282">
        <v>1300</v>
      </c>
      <c r="O419" s="282"/>
      <c r="P419" s="282">
        <v>1983</v>
      </c>
      <c r="Q419" s="282">
        <f>2023-Table28[[#This Row],[year_built]]</f>
        <v>40</v>
      </c>
      <c r="R419" s="282">
        <v>892.6</v>
      </c>
      <c r="S419" s="282" t="s">
        <v>5000</v>
      </c>
      <c r="T419" s="282" t="s">
        <v>4979</v>
      </c>
      <c r="U419" s="282">
        <v>2018</v>
      </c>
      <c r="V419" s="284">
        <f t="shared" si="13"/>
        <v>0.68661538461538463</v>
      </c>
      <c r="W419" s="292">
        <f>Table28[[#This Row],[$/sqft]]/INDEX(CPI!$A$3:$C$31,MATCH(Table28[[#This Row],[start_year]],CPI!$A$3:$A$31,0),3)</f>
        <v>0.83154017706705885</v>
      </c>
      <c r="X419" s="282" t="s">
        <v>4844</v>
      </c>
      <c r="Y419" s="282"/>
      <c r="Z419" s="282" t="s">
        <v>4840</v>
      </c>
      <c r="AA419" s="282">
        <v>50.724346079999997</v>
      </c>
      <c r="AB419" s="55" t="s">
        <v>72</v>
      </c>
      <c r="AC419" t="s">
        <v>71</v>
      </c>
    </row>
    <row r="420" spans="1:29" x14ac:dyDescent="0.2">
      <c r="A420" s="282">
        <v>3271</v>
      </c>
      <c r="B420" s="282">
        <v>10004</v>
      </c>
      <c r="C420" s="282" t="s">
        <v>3410</v>
      </c>
      <c r="D420" s="282" t="str">
        <f>IF(Table28[[#This Row],[% Leakage Reduction (Calculated)]]&gt;0.4, "Greater than 40% Air Reduction", "Less than 40% Air Reduction")</f>
        <v>Less than 40% Air Reduction</v>
      </c>
      <c r="E420" s="282" t="s">
        <v>4831</v>
      </c>
      <c r="F420" s="282" t="s">
        <v>4832</v>
      </c>
      <c r="G420" s="282" t="s">
        <v>4833</v>
      </c>
      <c r="H420" s="282" t="s">
        <v>4838</v>
      </c>
      <c r="I420" s="282">
        <v>19.47</v>
      </c>
      <c r="J420" s="282" t="s">
        <v>4834</v>
      </c>
      <c r="K420" s="282">
        <v>12.1</v>
      </c>
      <c r="L420" s="282" t="s">
        <v>4835</v>
      </c>
      <c r="M420" s="283">
        <f t="shared" si="12"/>
        <v>0.37853107344632769</v>
      </c>
      <c r="N420" s="282">
        <v>1400</v>
      </c>
      <c r="O420" s="282">
        <v>1</v>
      </c>
      <c r="P420" s="282">
        <v>1962</v>
      </c>
      <c r="Q420" s="282">
        <f>2023-Table28[[#This Row],[year_built]]</f>
        <v>61</v>
      </c>
      <c r="R420" s="282">
        <v>1000</v>
      </c>
      <c r="S420" s="282" t="s">
        <v>4937</v>
      </c>
      <c r="T420" s="282" t="s">
        <v>4906</v>
      </c>
      <c r="U420" s="282">
        <v>2020</v>
      </c>
      <c r="V420" s="284">
        <f t="shared" si="13"/>
        <v>0.7142857142857143</v>
      </c>
      <c r="W420" s="292">
        <f>Table28[[#This Row],[$/sqft]]/INDEX(CPI!$A$3:$C$31,MATCH(Table28[[#This Row],[start_year]],CPI!$A$3:$A$31,0),3)</f>
        <v>0.83931331419739463</v>
      </c>
      <c r="X420" s="282"/>
      <c r="Y420" s="282" t="s">
        <v>217</v>
      </c>
      <c r="Z420" s="282" t="s">
        <v>4907</v>
      </c>
      <c r="AA420" s="282">
        <v>37.853107340000001</v>
      </c>
      <c r="AB420" s="55" t="s">
        <v>72</v>
      </c>
      <c r="AC420" t="s">
        <v>71</v>
      </c>
    </row>
    <row r="421" spans="1:29" x14ac:dyDescent="0.2">
      <c r="A421" s="282">
        <v>3265</v>
      </c>
      <c r="B421" s="282">
        <v>9986</v>
      </c>
      <c r="C421" s="282" t="s">
        <v>3410</v>
      </c>
      <c r="D421" s="282" t="str">
        <f>IF(Table28[[#This Row],[% Leakage Reduction (Calculated)]]&gt;0.4, "Greater than 40% Air Reduction", "Less than 40% Air Reduction")</f>
        <v>Greater than 40% Air Reduction</v>
      </c>
      <c r="E421" s="282" t="s">
        <v>4831</v>
      </c>
      <c r="F421" s="282" t="s">
        <v>4832</v>
      </c>
      <c r="G421" s="282" t="s">
        <v>4833</v>
      </c>
      <c r="H421" s="282" t="s">
        <v>4843</v>
      </c>
      <c r="I421" s="282">
        <v>22.61</v>
      </c>
      <c r="J421" s="282" t="s">
        <v>4834</v>
      </c>
      <c r="K421" s="282">
        <v>11.06</v>
      </c>
      <c r="L421" s="282" t="s">
        <v>4835</v>
      </c>
      <c r="M421" s="283">
        <f t="shared" si="12"/>
        <v>0.51083591331269351</v>
      </c>
      <c r="N421" s="282">
        <v>1370</v>
      </c>
      <c r="O421" s="282">
        <v>2</v>
      </c>
      <c r="P421" s="282">
        <v>1972</v>
      </c>
      <c r="Q421" s="282">
        <f>2023-Table28[[#This Row],[year_built]]</f>
        <v>51</v>
      </c>
      <c r="R421" s="282">
        <v>1000</v>
      </c>
      <c r="S421" s="282" t="s">
        <v>4964</v>
      </c>
      <c r="T421" s="282" t="s">
        <v>4906</v>
      </c>
      <c r="U421" s="282">
        <v>2020</v>
      </c>
      <c r="V421" s="284">
        <f t="shared" si="13"/>
        <v>0.72992700729927007</v>
      </c>
      <c r="W421" s="292">
        <f>Table28[[#This Row],[$/sqft]]/INDEX(CPI!$A$3:$C$31,MATCH(Table28[[#This Row],[start_year]],CPI!$A$3:$A$31,0),3)</f>
        <v>0.85769243786595062</v>
      </c>
      <c r="X421" s="282"/>
      <c r="Y421" s="282" t="s">
        <v>217</v>
      </c>
      <c r="Z421" s="282" t="s">
        <v>4907</v>
      </c>
      <c r="AA421" s="282">
        <v>51.083591329999997</v>
      </c>
      <c r="AB421" s="55" t="s">
        <v>72</v>
      </c>
      <c r="AC421" t="s">
        <v>71</v>
      </c>
    </row>
    <row r="422" spans="1:29" x14ac:dyDescent="0.2">
      <c r="A422" s="282">
        <v>5005</v>
      </c>
      <c r="B422" s="282">
        <v>12028</v>
      </c>
      <c r="C422" s="282" t="s">
        <v>3410</v>
      </c>
      <c r="D422" s="282" t="str">
        <f>IF(Table28[[#This Row],[% Leakage Reduction (Calculated)]]&gt;0.4, "Greater than 40% Air Reduction", "Less than 40% Air Reduction")</f>
        <v>Less than 40% Air Reduction</v>
      </c>
      <c r="E422" s="282" t="s">
        <v>4831</v>
      </c>
      <c r="F422" s="282" t="s">
        <v>4832</v>
      </c>
      <c r="G422" s="282" t="s">
        <v>4833</v>
      </c>
      <c r="H422" s="282" t="s">
        <v>4838</v>
      </c>
      <c r="I422" s="282">
        <v>2209</v>
      </c>
      <c r="J422" s="282" t="s">
        <v>4852</v>
      </c>
      <c r="K422" s="282">
        <v>1854</v>
      </c>
      <c r="L422" s="282" t="s">
        <v>4853</v>
      </c>
      <c r="M422" s="283">
        <f t="shared" si="12"/>
        <v>0.16070620190131282</v>
      </c>
      <c r="N422" s="282">
        <v>1000</v>
      </c>
      <c r="O422" s="282"/>
      <c r="P422" s="282">
        <v>1982</v>
      </c>
      <c r="Q422" s="282">
        <f>2023-Table28[[#This Row],[year_built]]</f>
        <v>41</v>
      </c>
      <c r="R422" s="282">
        <v>712.66</v>
      </c>
      <c r="S422" s="282" t="s">
        <v>4983</v>
      </c>
      <c r="T422" s="282" t="s">
        <v>4979</v>
      </c>
      <c r="U422" s="282">
        <v>2018</v>
      </c>
      <c r="V422" s="284">
        <f t="shared" si="13"/>
        <v>0.71265999999999996</v>
      </c>
      <c r="W422" s="292">
        <f>Table28[[#This Row],[$/sqft]]/INDEX(CPI!$A$3:$C$31,MATCH(Table28[[#This Row],[start_year]],CPI!$A$3:$A$31,0),3)</f>
        <v>0.86308206292313827</v>
      </c>
      <c r="X422" s="282" t="s">
        <v>1241</v>
      </c>
      <c r="Y422" s="282"/>
      <c r="Z422" s="282" t="s">
        <v>4840</v>
      </c>
      <c r="AA422" s="282">
        <v>16.07062019</v>
      </c>
      <c r="AB422" s="55" t="s">
        <v>72</v>
      </c>
      <c r="AC422" t="s">
        <v>71</v>
      </c>
    </row>
    <row r="423" spans="1:29" x14ac:dyDescent="0.2">
      <c r="A423" s="282">
        <v>5054</v>
      </c>
      <c r="B423" s="282">
        <v>12331</v>
      </c>
      <c r="C423" s="282" t="s">
        <v>3410</v>
      </c>
      <c r="D423" s="282" t="str">
        <f>IF(Table28[[#This Row],[% Leakage Reduction (Calculated)]]&gt;0.4, "Greater than 40% Air Reduction", "Less than 40% Air Reduction")</f>
        <v>Less than 40% Air Reduction</v>
      </c>
      <c r="E423" s="282" t="s">
        <v>4831</v>
      </c>
      <c r="F423" s="282" t="s">
        <v>4832</v>
      </c>
      <c r="G423" s="282" t="s">
        <v>4833</v>
      </c>
      <c r="H423" s="282" t="s">
        <v>4972</v>
      </c>
      <c r="I423" s="282">
        <v>2885</v>
      </c>
      <c r="J423" s="282" t="s">
        <v>4852</v>
      </c>
      <c r="K423" s="282">
        <v>1916</v>
      </c>
      <c r="L423" s="282" t="s">
        <v>4853</v>
      </c>
      <c r="M423" s="283">
        <f t="shared" si="12"/>
        <v>0.33587521663778164</v>
      </c>
      <c r="N423" s="282">
        <v>1000</v>
      </c>
      <c r="O423" s="282"/>
      <c r="P423" s="282">
        <v>1995</v>
      </c>
      <c r="Q423" s="282">
        <f>2023-Table28[[#This Row],[year_built]]</f>
        <v>28</v>
      </c>
      <c r="R423" s="282">
        <v>719.17</v>
      </c>
      <c r="S423" s="282" t="s">
        <v>4988</v>
      </c>
      <c r="T423" s="282" t="s">
        <v>4979</v>
      </c>
      <c r="U423" s="282">
        <v>2018</v>
      </c>
      <c r="V423" s="284">
        <f t="shared" si="13"/>
        <v>0.71916999999999998</v>
      </c>
      <c r="W423" s="292">
        <f>Table28[[#This Row],[$/sqft]]/INDEX(CPI!$A$3:$C$31,MATCH(Table28[[#This Row],[start_year]],CPI!$A$3:$A$31,0),3)</f>
        <v>0.87096613699721226</v>
      </c>
      <c r="X423" s="282" t="s">
        <v>4844</v>
      </c>
      <c r="Y423" s="282"/>
      <c r="Z423" s="282" t="s">
        <v>4840</v>
      </c>
      <c r="AA423" s="282">
        <v>33.58752166</v>
      </c>
      <c r="AB423" s="55" t="s">
        <v>72</v>
      </c>
      <c r="AC423" t="s">
        <v>71</v>
      </c>
    </row>
    <row r="424" spans="1:29" x14ac:dyDescent="0.2">
      <c r="A424" s="282">
        <v>1292</v>
      </c>
      <c r="B424" s="282">
        <v>3734</v>
      </c>
      <c r="C424" s="282" t="s">
        <v>3410</v>
      </c>
      <c r="D424" s="282" t="str">
        <f>IF(Table28[[#This Row],[% Leakage Reduction (Calculated)]]&gt;0.4, "Greater than 40% Air Reduction", "Less than 40% Air Reduction")</f>
        <v>Greater than 40% Air Reduction</v>
      </c>
      <c r="E424" s="282" t="s">
        <v>4831</v>
      </c>
      <c r="F424" s="282" t="s">
        <v>4832</v>
      </c>
      <c r="G424" s="282" t="s">
        <v>4833</v>
      </c>
      <c r="H424" s="282" t="s">
        <v>4838</v>
      </c>
      <c r="I424" s="282">
        <v>8000</v>
      </c>
      <c r="J424" s="282" t="s">
        <v>4852</v>
      </c>
      <c r="K424" s="282">
        <v>4200</v>
      </c>
      <c r="L424" s="282" t="s">
        <v>4853</v>
      </c>
      <c r="M424" s="283">
        <f t="shared" si="12"/>
        <v>0.47499999999999998</v>
      </c>
      <c r="N424" s="282">
        <v>1752</v>
      </c>
      <c r="O424" s="282">
        <v>2</v>
      </c>
      <c r="P424" s="282">
        <v>1850</v>
      </c>
      <c r="Q424" s="282">
        <f>2023-Table28[[#This Row],[year_built]]</f>
        <v>173</v>
      </c>
      <c r="R424" s="282">
        <v>1212</v>
      </c>
      <c r="S424" s="282" t="s">
        <v>4866</v>
      </c>
      <c r="T424" s="282" t="s">
        <v>4859</v>
      </c>
      <c r="U424" s="282">
        <v>2016</v>
      </c>
      <c r="V424" s="284">
        <f t="shared" si="13"/>
        <v>0.69178082191780821</v>
      </c>
      <c r="W424" s="292">
        <f>Table28[[#This Row],[$/sqft]]/INDEX(CPI!$A$3:$C$31,MATCH(Table28[[#This Row],[start_year]],CPI!$A$3:$A$31,0),3)</f>
        <v>0.87651838465213716</v>
      </c>
      <c r="X424" s="282" t="s">
        <v>4844</v>
      </c>
      <c r="Y424" s="282" t="s">
        <v>217</v>
      </c>
      <c r="Z424" s="282" t="s">
        <v>4861</v>
      </c>
      <c r="AA424" s="282">
        <v>47.5</v>
      </c>
      <c r="AB424" s="55" t="s">
        <v>72</v>
      </c>
      <c r="AC424" t="s">
        <v>72</v>
      </c>
    </row>
    <row r="425" spans="1:29" x14ac:dyDescent="0.2">
      <c r="A425" s="282">
        <v>1255</v>
      </c>
      <c r="B425" s="282">
        <v>3299</v>
      </c>
      <c r="C425" s="282" t="s">
        <v>3410</v>
      </c>
      <c r="D425" s="282" t="str">
        <f>IF(Table28[[#This Row],[% Leakage Reduction (Calculated)]]&gt;0.4, "Greater than 40% Air Reduction", "Less than 40% Air Reduction")</f>
        <v>Greater than 40% Air Reduction</v>
      </c>
      <c r="E425" s="282" t="s">
        <v>4831</v>
      </c>
      <c r="F425" s="282" t="s">
        <v>4832</v>
      </c>
      <c r="G425" s="282" t="s">
        <v>4833</v>
      </c>
      <c r="H425" s="282" t="s">
        <v>4838</v>
      </c>
      <c r="I425" s="282">
        <v>11</v>
      </c>
      <c r="J425" s="282" t="s">
        <v>4834</v>
      </c>
      <c r="K425" s="282">
        <v>5.39</v>
      </c>
      <c r="L425" s="282" t="s">
        <v>4835</v>
      </c>
      <c r="M425" s="283">
        <f t="shared" si="12"/>
        <v>0.51</v>
      </c>
      <c r="N425" s="282">
        <v>952</v>
      </c>
      <c r="O425" s="282">
        <v>1</v>
      </c>
      <c r="P425" s="282">
        <v>1987</v>
      </c>
      <c r="Q425" s="282">
        <f>2023-Table28[[#This Row],[year_built]]</f>
        <v>36</v>
      </c>
      <c r="R425" s="282">
        <v>600</v>
      </c>
      <c r="S425" s="282" t="s">
        <v>4848</v>
      </c>
      <c r="T425" s="282" t="s">
        <v>4837</v>
      </c>
      <c r="U425" s="282">
        <v>2010</v>
      </c>
      <c r="V425" s="284">
        <f t="shared" si="13"/>
        <v>0.63025210084033612</v>
      </c>
      <c r="W425" s="292">
        <f>Table28[[#This Row],[$/sqft]]/INDEX(CPI!$A$3:$C$31,MATCH(Table28[[#This Row],[start_year]],CPI!$A$3:$A$31,0),3)</f>
        <v>0.87894698547871286</v>
      </c>
      <c r="X425" s="282" t="s">
        <v>4844</v>
      </c>
      <c r="Y425" s="282" t="s">
        <v>4839</v>
      </c>
      <c r="Z425" s="282" t="s">
        <v>4840</v>
      </c>
      <c r="AA425" s="282">
        <v>51</v>
      </c>
      <c r="AB425" s="55" t="s">
        <v>72</v>
      </c>
      <c r="AC425" t="s">
        <v>71</v>
      </c>
    </row>
    <row r="426" spans="1:29" x14ac:dyDescent="0.2">
      <c r="A426" s="282">
        <v>5160</v>
      </c>
      <c r="B426" s="282">
        <v>12976</v>
      </c>
      <c r="C426" s="282" t="s">
        <v>3410</v>
      </c>
      <c r="D426" s="282" t="str">
        <f>IF(Table28[[#This Row],[% Leakage Reduction (Calculated)]]&gt;0.4, "Greater than 40% Air Reduction", "Less than 40% Air Reduction")</f>
        <v>Greater than 40% Air Reduction</v>
      </c>
      <c r="E426" s="282" t="s">
        <v>4831</v>
      </c>
      <c r="F426" s="282" t="s">
        <v>4832</v>
      </c>
      <c r="G426" s="282" t="s">
        <v>4833</v>
      </c>
      <c r="H426" s="282" t="s">
        <v>4838</v>
      </c>
      <c r="I426" s="282">
        <v>3283</v>
      </c>
      <c r="J426" s="282" t="s">
        <v>4852</v>
      </c>
      <c r="K426" s="282">
        <v>1884</v>
      </c>
      <c r="L426" s="282" t="s">
        <v>4853</v>
      </c>
      <c r="M426" s="283">
        <f t="shared" si="12"/>
        <v>0.42613463295766069</v>
      </c>
      <c r="N426" s="282">
        <v>1457</v>
      </c>
      <c r="O426" s="282"/>
      <c r="P426" s="282">
        <v>1940</v>
      </c>
      <c r="Q426" s="282">
        <f>2023-Table28[[#This Row],[year_built]]</f>
        <v>83</v>
      </c>
      <c r="R426" s="282">
        <v>1037</v>
      </c>
      <c r="S426" s="282" t="s">
        <v>4978</v>
      </c>
      <c r="T426" s="282" t="s">
        <v>4979</v>
      </c>
      <c r="U426" s="282">
        <v>2017</v>
      </c>
      <c r="V426" s="284">
        <f t="shared" si="13"/>
        <v>0.71173644474948528</v>
      </c>
      <c r="W426" s="292">
        <f>Table28[[#This Row],[$/sqft]]/INDEX(CPI!$A$3:$C$31,MATCH(Table28[[#This Row],[start_year]],CPI!$A$3:$A$31,0),3)</f>
        <v>0.88306427110697061</v>
      </c>
      <c r="X426" s="282" t="s">
        <v>4844</v>
      </c>
      <c r="Y426" s="282"/>
      <c r="Z426" s="282" t="s">
        <v>4840</v>
      </c>
      <c r="AA426" s="282">
        <v>42.613463299999999</v>
      </c>
      <c r="AB426" s="55" t="s">
        <v>72</v>
      </c>
      <c r="AC426" t="s">
        <v>71</v>
      </c>
    </row>
    <row r="427" spans="1:29" x14ac:dyDescent="0.2">
      <c r="A427" s="282">
        <v>3305</v>
      </c>
      <c r="B427" s="282">
        <v>10109</v>
      </c>
      <c r="C427" s="282" t="s">
        <v>3410</v>
      </c>
      <c r="D427" s="282" t="str">
        <f>IF(Table28[[#This Row],[% Leakage Reduction (Calculated)]]&gt;0.4, "Greater than 40% Air Reduction", "Less than 40% Air Reduction")</f>
        <v>Greater than 40% Air Reduction</v>
      </c>
      <c r="E427" s="282" t="s">
        <v>4831</v>
      </c>
      <c r="F427" s="282" t="s">
        <v>4832</v>
      </c>
      <c r="G427" s="282" t="s">
        <v>4833</v>
      </c>
      <c r="H427" s="282" t="s">
        <v>4838</v>
      </c>
      <c r="I427" s="282">
        <v>13.84</v>
      </c>
      <c r="J427" s="282" t="s">
        <v>4834</v>
      </c>
      <c r="K427" s="282">
        <v>8.17</v>
      </c>
      <c r="L427" s="282" t="s">
        <v>4835</v>
      </c>
      <c r="M427" s="283">
        <f t="shared" si="12"/>
        <v>0.40968208092485547</v>
      </c>
      <c r="N427" s="282">
        <v>1328</v>
      </c>
      <c r="O427" s="282">
        <v>1</v>
      </c>
      <c r="P427" s="282">
        <v>1964</v>
      </c>
      <c r="Q427" s="282">
        <f>2023-Table28[[#This Row],[year_built]]</f>
        <v>59</v>
      </c>
      <c r="R427" s="282">
        <v>1000</v>
      </c>
      <c r="S427" s="282" t="s">
        <v>4931</v>
      </c>
      <c r="T427" s="282" t="s">
        <v>4906</v>
      </c>
      <c r="U427" s="282">
        <v>2020</v>
      </c>
      <c r="V427" s="284">
        <f t="shared" si="13"/>
        <v>0.75301204819277112</v>
      </c>
      <c r="W427" s="292">
        <f>Table28[[#This Row],[$/sqft]]/INDEX(CPI!$A$3:$C$31,MATCH(Table28[[#This Row],[start_year]],CPI!$A$3:$A$31,0),3)</f>
        <v>0.88481825291894012</v>
      </c>
      <c r="X427" s="282"/>
      <c r="Y427" s="282" t="s">
        <v>217</v>
      </c>
      <c r="Z427" s="282" t="s">
        <v>4907</v>
      </c>
      <c r="AA427" s="282">
        <v>40.968208089999997</v>
      </c>
      <c r="AB427" s="55" t="s">
        <v>72</v>
      </c>
      <c r="AC427" t="s">
        <v>71</v>
      </c>
    </row>
    <row r="428" spans="1:29" x14ac:dyDescent="0.2">
      <c r="A428" s="282">
        <v>5227</v>
      </c>
      <c r="B428" s="282">
        <v>13349</v>
      </c>
      <c r="C428" s="282" t="s">
        <v>3410</v>
      </c>
      <c r="D428" s="282" t="str">
        <f>IF(Table28[[#This Row],[% Leakage Reduction (Calculated)]]&gt;0.4, "Greater than 40% Air Reduction", "Less than 40% Air Reduction")</f>
        <v>Less than 40% Air Reduction</v>
      </c>
      <c r="E428" s="282" t="s">
        <v>4831</v>
      </c>
      <c r="F428" s="282" t="s">
        <v>4832</v>
      </c>
      <c r="G428" s="282" t="s">
        <v>4833</v>
      </c>
      <c r="H428" s="282" t="s">
        <v>4838</v>
      </c>
      <c r="I428" s="282">
        <v>5957</v>
      </c>
      <c r="J428" s="282" t="s">
        <v>4852</v>
      </c>
      <c r="K428" s="282">
        <v>4415</v>
      </c>
      <c r="L428" s="282" t="s">
        <v>4853</v>
      </c>
      <c r="M428" s="283">
        <f t="shared" si="12"/>
        <v>0.2588551284203458</v>
      </c>
      <c r="N428" s="282">
        <v>1425</v>
      </c>
      <c r="O428" s="282"/>
      <c r="P428" s="282">
        <v>1977</v>
      </c>
      <c r="Q428" s="282">
        <f>2023-Table28[[#This Row],[year_built]]</f>
        <v>46</v>
      </c>
      <c r="R428" s="282">
        <v>1016.9</v>
      </c>
      <c r="S428" s="282" t="s">
        <v>4900</v>
      </c>
      <c r="T428" s="282" t="s">
        <v>4979</v>
      </c>
      <c r="U428" s="282">
        <v>2017</v>
      </c>
      <c r="V428" s="284">
        <f t="shared" si="13"/>
        <v>0.71361403508771926</v>
      </c>
      <c r="W428" s="292">
        <f>Table28[[#This Row],[$/sqft]]/INDEX(CPI!$A$3:$C$31,MATCH(Table28[[#This Row],[start_year]],CPI!$A$3:$A$31,0),3)</f>
        <v>0.88539383137566485</v>
      </c>
      <c r="X428" s="282" t="s">
        <v>4844</v>
      </c>
      <c r="Y428" s="282"/>
      <c r="Z428" s="282" t="s">
        <v>4840</v>
      </c>
      <c r="AA428" s="282">
        <v>25.885512840000001</v>
      </c>
      <c r="AB428" s="55" t="s">
        <v>72</v>
      </c>
      <c r="AC428" t="s">
        <v>71</v>
      </c>
    </row>
    <row r="429" spans="1:29" x14ac:dyDescent="0.2">
      <c r="A429" s="282">
        <v>5012</v>
      </c>
      <c r="B429" s="282">
        <v>12073</v>
      </c>
      <c r="C429" s="282" t="s">
        <v>3410</v>
      </c>
      <c r="D429" s="282" t="str">
        <f>IF(Table28[[#This Row],[% Leakage Reduction (Calculated)]]&gt;0.4, "Greater than 40% Air Reduction", "Less than 40% Air Reduction")</f>
        <v>Less than 40% Air Reduction</v>
      </c>
      <c r="E429" s="282" t="s">
        <v>4831</v>
      </c>
      <c r="F429" s="282" t="s">
        <v>4832</v>
      </c>
      <c r="G429" s="282" t="s">
        <v>4833</v>
      </c>
      <c r="H429" s="282" t="s">
        <v>4972</v>
      </c>
      <c r="I429" s="282">
        <v>3547</v>
      </c>
      <c r="J429" s="282" t="s">
        <v>4852</v>
      </c>
      <c r="K429" s="282">
        <v>2206</v>
      </c>
      <c r="L429" s="282" t="s">
        <v>4853</v>
      </c>
      <c r="M429" s="283">
        <f t="shared" si="12"/>
        <v>0.37806597124330421</v>
      </c>
      <c r="N429" s="282">
        <v>1152</v>
      </c>
      <c r="O429" s="282"/>
      <c r="P429" s="282">
        <v>2000</v>
      </c>
      <c r="Q429" s="282">
        <f>2023-Table28[[#This Row],[year_built]]</f>
        <v>23</v>
      </c>
      <c r="R429" s="282">
        <v>830.5</v>
      </c>
      <c r="S429" s="282" t="s">
        <v>4985</v>
      </c>
      <c r="T429" s="282" t="s">
        <v>4979</v>
      </c>
      <c r="U429" s="282">
        <v>2017</v>
      </c>
      <c r="V429" s="284">
        <f t="shared" si="13"/>
        <v>0.72092013888888884</v>
      </c>
      <c r="W429" s="292">
        <f>Table28[[#This Row],[$/sqft]]/INDEX(CPI!$A$3:$C$31,MATCH(Table28[[#This Row],[start_year]],CPI!$A$3:$A$31,0),3)</f>
        <v>0.89445864641416206</v>
      </c>
      <c r="X429" s="282" t="s">
        <v>1241</v>
      </c>
      <c r="Y429" s="282"/>
      <c r="Z429" s="282" t="s">
        <v>4840</v>
      </c>
      <c r="AA429" s="282">
        <v>37.806597119999999</v>
      </c>
      <c r="AB429" s="55" t="s">
        <v>72</v>
      </c>
      <c r="AC429" t="s">
        <v>71</v>
      </c>
    </row>
    <row r="430" spans="1:29" x14ac:dyDescent="0.2">
      <c r="A430" s="282">
        <v>5136</v>
      </c>
      <c r="B430" s="282">
        <v>12826</v>
      </c>
      <c r="C430" s="282" t="s">
        <v>3410</v>
      </c>
      <c r="D430" s="282" t="str">
        <f>IF(Table28[[#This Row],[% Leakage Reduction (Calculated)]]&gt;0.4, "Greater than 40% Air Reduction", "Less than 40% Air Reduction")</f>
        <v>Less than 40% Air Reduction</v>
      </c>
      <c r="E430" s="282" t="s">
        <v>4831</v>
      </c>
      <c r="F430" s="282" t="s">
        <v>4832</v>
      </c>
      <c r="G430" s="282" t="s">
        <v>4833</v>
      </c>
      <c r="H430" s="282" t="s">
        <v>4838</v>
      </c>
      <c r="I430" s="282">
        <v>2634</v>
      </c>
      <c r="J430" s="282" t="s">
        <v>4852</v>
      </c>
      <c r="K430" s="282">
        <v>2134</v>
      </c>
      <c r="L430" s="282" t="s">
        <v>4853</v>
      </c>
      <c r="M430" s="283">
        <f t="shared" si="12"/>
        <v>0.18982536066818528</v>
      </c>
      <c r="N430" s="282">
        <v>1035</v>
      </c>
      <c r="O430" s="282"/>
      <c r="P430" s="282">
        <v>1985</v>
      </c>
      <c r="Q430" s="282">
        <f>2023-Table28[[#This Row],[year_built]]</f>
        <v>38</v>
      </c>
      <c r="R430" s="282">
        <v>764.86</v>
      </c>
      <c r="S430" s="282" t="s">
        <v>4900</v>
      </c>
      <c r="T430" s="282" t="s">
        <v>4979</v>
      </c>
      <c r="U430" s="282">
        <v>2018</v>
      </c>
      <c r="V430" s="284">
        <f t="shared" si="13"/>
        <v>0.73899516908212559</v>
      </c>
      <c r="W430" s="292">
        <f>Table28[[#This Row],[$/sqft]]/INDEX(CPI!$A$3:$C$31,MATCH(Table28[[#This Row],[start_year]],CPI!$A$3:$A$31,0),3)</f>
        <v>0.89497583001941228</v>
      </c>
      <c r="X430" s="282" t="s">
        <v>4844</v>
      </c>
      <c r="Y430" s="282"/>
      <c r="Z430" s="282" t="s">
        <v>4840</v>
      </c>
      <c r="AA430" s="282">
        <v>18.982536069999998</v>
      </c>
      <c r="AB430" s="55" t="s">
        <v>72</v>
      </c>
      <c r="AC430" t="s">
        <v>71</v>
      </c>
    </row>
    <row r="431" spans="1:29" x14ac:dyDescent="0.2">
      <c r="A431" s="282">
        <v>1289</v>
      </c>
      <c r="B431" s="282">
        <v>3702</v>
      </c>
      <c r="C431" s="282" t="s">
        <v>3410</v>
      </c>
      <c r="D431" s="282" t="str">
        <f>IF(Table28[[#This Row],[% Leakage Reduction (Calculated)]]&gt;0.4, "Greater than 40% Air Reduction", "Less than 40% Air Reduction")</f>
        <v>Greater than 40% Air Reduction</v>
      </c>
      <c r="E431" s="282" t="s">
        <v>4831</v>
      </c>
      <c r="F431" s="282" t="s">
        <v>4832</v>
      </c>
      <c r="G431" s="282" t="s">
        <v>4833</v>
      </c>
      <c r="H431" s="282" t="s">
        <v>4838</v>
      </c>
      <c r="I431" s="282">
        <v>2028</v>
      </c>
      <c r="J431" s="282" t="s">
        <v>4852</v>
      </c>
      <c r="K431" s="282">
        <v>1000</v>
      </c>
      <c r="L431" s="282" t="s">
        <v>4853</v>
      </c>
      <c r="M431" s="283">
        <f t="shared" si="12"/>
        <v>0.50690335305719925</v>
      </c>
      <c r="N431" s="282">
        <v>2050</v>
      </c>
      <c r="O431" s="282">
        <v>2</v>
      </c>
      <c r="P431" s="282">
        <v>1970</v>
      </c>
      <c r="Q431" s="282">
        <f>2023-Table28[[#This Row],[year_built]]</f>
        <v>53</v>
      </c>
      <c r="R431" s="282">
        <v>1455</v>
      </c>
      <c r="S431" s="282" t="s">
        <v>4858</v>
      </c>
      <c r="T431" s="282" t="s">
        <v>4859</v>
      </c>
      <c r="U431" s="282">
        <v>2016</v>
      </c>
      <c r="V431" s="284">
        <f t="shared" si="13"/>
        <v>0.70975609756097557</v>
      </c>
      <c r="W431" s="292">
        <f>Table28[[#This Row],[$/sqft]]/INDEX(CPI!$A$3:$C$31,MATCH(Table28[[#This Row],[start_year]],CPI!$A$3:$A$31,0),3)</f>
        <v>0.89929389254602021</v>
      </c>
      <c r="X431" s="282" t="s">
        <v>4844</v>
      </c>
      <c r="Y431" s="282" t="s">
        <v>4863</v>
      </c>
      <c r="Z431" s="282" t="s">
        <v>4861</v>
      </c>
      <c r="AA431" s="282">
        <v>50.690335310000002</v>
      </c>
      <c r="AB431" s="55" t="s">
        <v>72</v>
      </c>
      <c r="AC431" t="s">
        <v>72</v>
      </c>
    </row>
    <row r="432" spans="1:29" x14ac:dyDescent="0.2">
      <c r="A432" s="282">
        <v>3319</v>
      </c>
      <c r="B432" s="282">
        <v>10145</v>
      </c>
      <c r="C432" s="282" t="s">
        <v>3410</v>
      </c>
      <c r="D432" s="282" t="str">
        <f>IF(Table28[[#This Row],[% Leakage Reduction (Calculated)]]&gt;0.4, "Greater than 40% Air Reduction", "Less than 40% Air Reduction")</f>
        <v>Less than 40% Air Reduction</v>
      </c>
      <c r="E432" s="282" t="s">
        <v>4831</v>
      </c>
      <c r="F432" s="282" t="s">
        <v>4832</v>
      </c>
      <c r="G432" s="282" t="s">
        <v>4833</v>
      </c>
      <c r="H432" s="282" t="s">
        <v>4838</v>
      </c>
      <c r="I432" s="282">
        <v>19.23</v>
      </c>
      <c r="J432" s="282" t="s">
        <v>4834</v>
      </c>
      <c r="K432" s="282">
        <v>14.52</v>
      </c>
      <c r="L432" s="282" t="s">
        <v>4835</v>
      </c>
      <c r="M432" s="283">
        <f t="shared" si="12"/>
        <v>0.2449297971918877</v>
      </c>
      <c r="N432" s="282">
        <v>1304</v>
      </c>
      <c r="O432" s="282">
        <v>1</v>
      </c>
      <c r="P432" s="282">
        <v>1955</v>
      </c>
      <c r="Q432" s="282">
        <f>2023-Table28[[#This Row],[year_built]]</f>
        <v>68</v>
      </c>
      <c r="R432" s="282">
        <v>1000</v>
      </c>
      <c r="S432" s="282" t="s">
        <v>4943</v>
      </c>
      <c r="T432" s="282" t="s">
        <v>4906</v>
      </c>
      <c r="U432" s="282">
        <v>2020</v>
      </c>
      <c r="V432" s="284">
        <f t="shared" si="13"/>
        <v>0.76687116564417179</v>
      </c>
      <c r="W432" s="292">
        <f>Table28[[#This Row],[$/sqft]]/INDEX(CPI!$A$3:$C$31,MATCH(Table28[[#This Row],[start_year]],CPI!$A$3:$A$31,0),3)</f>
        <v>0.90110325143892056</v>
      </c>
      <c r="X432" s="282"/>
      <c r="Y432" s="282" t="s">
        <v>4917</v>
      </c>
      <c r="Z432" s="282" t="s">
        <v>4907</v>
      </c>
      <c r="AA432" s="282">
        <v>24.492979720000001</v>
      </c>
      <c r="AB432" s="55" t="s">
        <v>72</v>
      </c>
      <c r="AC432" t="s">
        <v>71</v>
      </c>
    </row>
    <row r="433" spans="1:29" x14ac:dyDescent="0.2">
      <c r="A433" s="282">
        <v>5131</v>
      </c>
      <c r="B433" s="282">
        <v>12793</v>
      </c>
      <c r="C433" s="282" t="s">
        <v>3410</v>
      </c>
      <c r="D433" s="282" t="str">
        <f>IF(Table28[[#This Row],[% Leakage Reduction (Calculated)]]&gt;0.4, "Greater than 40% Air Reduction", "Less than 40% Air Reduction")</f>
        <v>Less than 40% Air Reduction</v>
      </c>
      <c r="E433" s="282" t="s">
        <v>4831</v>
      </c>
      <c r="F433" s="282" t="s">
        <v>4832</v>
      </c>
      <c r="G433" s="282" t="s">
        <v>4833</v>
      </c>
      <c r="H433" s="282" t="s">
        <v>4838</v>
      </c>
      <c r="I433" s="282">
        <v>3567</v>
      </c>
      <c r="J433" s="282" t="s">
        <v>4852</v>
      </c>
      <c r="K433" s="282">
        <v>3054</v>
      </c>
      <c r="L433" s="282" t="s">
        <v>4853</v>
      </c>
      <c r="M433" s="283">
        <f t="shared" si="12"/>
        <v>0.1438183347350715</v>
      </c>
      <c r="N433" s="282">
        <v>1200</v>
      </c>
      <c r="O433" s="282"/>
      <c r="P433" s="282">
        <v>1973</v>
      </c>
      <c r="Q433" s="282">
        <f>2023-Table28[[#This Row],[year_built]]</f>
        <v>50</v>
      </c>
      <c r="R433" s="282">
        <v>895.19</v>
      </c>
      <c r="S433" s="282" t="s">
        <v>4900</v>
      </c>
      <c r="T433" s="282" t="s">
        <v>4979</v>
      </c>
      <c r="U433" s="282">
        <v>2018</v>
      </c>
      <c r="V433" s="284">
        <f t="shared" si="13"/>
        <v>0.74599166666666672</v>
      </c>
      <c r="W433" s="292">
        <f>Table28[[#This Row],[$/sqft]]/INDEX(CPI!$A$3:$C$31,MATCH(Table28[[#This Row],[start_year]],CPI!$A$3:$A$31,0),3)</f>
        <v>0.90344908734899787</v>
      </c>
      <c r="X433" s="282" t="s">
        <v>4844</v>
      </c>
      <c r="Y433" s="282"/>
      <c r="Z433" s="282" t="s">
        <v>4840</v>
      </c>
      <c r="AA433" s="282">
        <v>14.38183347</v>
      </c>
      <c r="AB433" s="55" t="s">
        <v>72</v>
      </c>
      <c r="AC433" t="s">
        <v>71</v>
      </c>
    </row>
    <row r="434" spans="1:29" x14ac:dyDescent="0.2">
      <c r="A434" s="282">
        <v>2229</v>
      </c>
      <c r="B434" s="282">
        <v>6502</v>
      </c>
      <c r="C434" s="282" t="s">
        <v>3410</v>
      </c>
      <c r="D434" s="282" t="str">
        <f>IF(Table28[[#This Row],[% Leakage Reduction (Calculated)]]&gt;0.4, "Greater than 40% Air Reduction", "Less than 40% Air Reduction")</f>
        <v>Greater than 40% Air Reduction</v>
      </c>
      <c r="E434" s="282" t="s">
        <v>4831</v>
      </c>
      <c r="F434" s="282" t="s">
        <v>4832</v>
      </c>
      <c r="G434" s="282" t="s">
        <v>4833</v>
      </c>
      <c r="H434" s="282"/>
      <c r="I434" s="282">
        <v>3323</v>
      </c>
      <c r="J434" s="282" t="s">
        <v>4853</v>
      </c>
      <c r="K434" s="282">
        <v>5607</v>
      </c>
      <c r="L434" s="282" t="s">
        <v>4852</v>
      </c>
      <c r="M434" s="283">
        <f t="shared" si="12"/>
        <v>0.68733072524826966</v>
      </c>
      <c r="N434" s="282">
        <v>2889</v>
      </c>
      <c r="O434" s="282"/>
      <c r="P434" s="282">
        <v>1975</v>
      </c>
      <c r="Q434" s="282">
        <f>2023-Table28[[#This Row],[year_built]]</f>
        <v>48</v>
      </c>
      <c r="R434" s="282">
        <v>2222</v>
      </c>
      <c r="S434" s="282" t="s">
        <v>4895</v>
      </c>
      <c r="T434" s="282" t="s">
        <v>4857</v>
      </c>
      <c r="U434" s="282">
        <v>2020</v>
      </c>
      <c r="V434" s="284">
        <f t="shared" si="13"/>
        <v>0.76912426445136728</v>
      </c>
      <c r="W434" s="292">
        <f>Table28[[#This Row],[$/sqft]]/INDEX(CPI!$A$3:$C$31,MATCH(Table28[[#This Row],[start_year]],CPI!$A$3:$A$31,0),3)</f>
        <v>0.90375072959683456</v>
      </c>
      <c r="X434" s="282"/>
      <c r="Y434" s="282"/>
      <c r="Z434" s="282" t="s">
        <v>4840</v>
      </c>
      <c r="AA434" s="282">
        <v>40.73479579</v>
      </c>
      <c r="AB434" s="55" t="s">
        <v>72</v>
      </c>
      <c r="AC434" t="s">
        <v>71</v>
      </c>
    </row>
    <row r="435" spans="1:29" x14ac:dyDescent="0.2">
      <c r="A435" s="282">
        <v>3167</v>
      </c>
      <c r="B435" s="282">
        <v>9675</v>
      </c>
      <c r="C435" s="282" t="s">
        <v>3410</v>
      </c>
      <c r="D435" s="282" t="str">
        <f>IF(Table28[[#This Row],[% Leakage Reduction (Calculated)]]&gt;0.4, "Greater than 40% Air Reduction", "Less than 40% Air Reduction")</f>
        <v>Greater than 40% Air Reduction</v>
      </c>
      <c r="E435" s="282" t="s">
        <v>4831</v>
      </c>
      <c r="F435" s="282" t="s">
        <v>4832</v>
      </c>
      <c r="G435" s="282" t="s">
        <v>4833</v>
      </c>
      <c r="H435" s="282" t="s">
        <v>4838</v>
      </c>
      <c r="I435" s="282">
        <v>30.27</v>
      </c>
      <c r="J435" s="282" t="s">
        <v>4834</v>
      </c>
      <c r="K435" s="282">
        <v>16.66</v>
      </c>
      <c r="L435" s="282" t="s">
        <v>4835</v>
      </c>
      <c r="M435" s="283">
        <f t="shared" si="12"/>
        <v>0.44962008589362401</v>
      </c>
      <c r="N435" s="282">
        <v>1380</v>
      </c>
      <c r="O435" s="282">
        <v>1</v>
      </c>
      <c r="P435" s="282">
        <v>1957</v>
      </c>
      <c r="Q435" s="282">
        <f>2023-Table28[[#This Row],[year_built]]</f>
        <v>66</v>
      </c>
      <c r="R435" s="282">
        <v>1070</v>
      </c>
      <c r="S435" s="282" t="s">
        <v>4939</v>
      </c>
      <c r="T435" s="282" t="s">
        <v>4906</v>
      </c>
      <c r="U435" s="282">
        <v>2019</v>
      </c>
      <c r="V435" s="284">
        <f t="shared" si="13"/>
        <v>0.77536231884057971</v>
      </c>
      <c r="W435" s="292">
        <f>Table28[[#This Row],[$/sqft]]/INDEX(CPI!$A$3:$C$31,MATCH(Table28[[#This Row],[start_year]],CPI!$A$3:$A$31,0),3)</f>
        <v>0.92212624622377903</v>
      </c>
      <c r="X435" s="282"/>
      <c r="Y435" s="282" t="s">
        <v>217</v>
      </c>
      <c r="Z435" s="282" t="s">
        <v>4907</v>
      </c>
      <c r="AA435" s="282">
        <v>44.962008590000003</v>
      </c>
      <c r="AB435" s="55" t="s">
        <v>72</v>
      </c>
      <c r="AC435" t="s">
        <v>71</v>
      </c>
    </row>
    <row r="436" spans="1:29" x14ac:dyDescent="0.2">
      <c r="A436" s="282">
        <v>4027</v>
      </c>
      <c r="B436" s="282">
        <v>11112</v>
      </c>
      <c r="C436" s="282" t="s">
        <v>3410</v>
      </c>
      <c r="D436" s="282" t="str">
        <f>IF(Table28[[#This Row],[% Leakage Reduction (Calculated)]]&gt;0.4, "Greater than 40% Air Reduction", "Less than 40% Air Reduction")</f>
        <v>Less than 40% Air Reduction</v>
      </c>
      <c r="E436" s="282" t="s">
        <v>4831</v>
      </c>
      <c r="F436" s="282" t="s">
        <v>4832</v>
      </c>
      <c r="G436" s="282" t="s">
        <v>4833</v>
      </c>
      <c r="H436" s="282" t="s">
        <v>4838</v>
      </c>
      <c r="I436" s="282">
        <v>3256</v>
      </c>
      <c r="J436" s="282" t="s">
        <v>4852</v>
      </c>
      <c r="K436" s="282">
        <v>2618</v>
      </c>
      <c r="L436" s="282" t="s">
        <v>4853</v>
      </c>
      <c r="M436" s="283">
        <f t="shared" si="12"/>
        <v>0.19594594594594594</v>
      </c>
      <c r="N436" s="282">
        <v>920</v>
      </c>
      <c r="O436" s="282"/>
      <c r="P436" s="282">
        <v>1950</v>
      </c>
      <c r="Q436" s="282">
        <f>2023-Table28[[#This Row],[year_built]]</f>
        <v>73</v>
      </c>
      <c r="R436" s="282">
        <v>716.68</v>
      </c>
      <c r="S436" s="282" t="s">
        <v>4971</v>
      </c>
      <c r="T436" s="282" t="s">
        <v>4969</v>
      </c>
      <c r="U436" s="282">
        <v>2019</v>
      </c>
      <c r="V436" s="284">
        <f t="shared" si="13"/>
        <v>0.77899999999999991</v>
      </c>
      <c r="W436" s="292">
        <f>Table28[[#This Row],[$/sqft]]/INDEX(CPI!$A$3:$C$31,MATCH(Table28[[#This Row],[start_year]],CPI!$A$3:$A$31,0),3)</f>
        <v>0.92645248337895969</v>
      </c>
      <c r="X436" s="282" t="s">
        <v>4844</v>
      </c>
      <c r="Y436" s="282"/>
      <c r="Z436" s="282" t="s">
        <v>4840</v>
      </c>
      <c r="AA436" s="282">
        <v>19.59459459</v>
      </c>
      <c r="AB436" s="55" t="s">
        <v>72</v>
      </c>
      <c r="AC436" t="s">
        <v>71</v>
      </c>
    </row>
    <row r="437" spans="1:29" x14ac:dyDescent="0.2">
      <c r="A437" s="282">
        <v>5243</v>
      </c>
      <c r="B437" s="282">
        <v>13438</v>
      </c>
      <c r="C437" s="282" t="s">
        <v>3410</v>
      </c>
      <c r="D437" s="282" t="str">
        <f>IF(Table28[[#This Row],[% Leakage Reduction (Calculated)]]&gt;0.4, "Greater than 40% Air Reduction", "Less than 40% Air Reduction")</f>
        <v>Less than 40% Air Reduction</v>
      </c>
      <c r="E437" s="282" t="s">
        <v>4831</v>
      </c>
      <c r="F437" s="282" t="s">
        <v>4832</v>
      </c>
      <c r="G437" s="282" t="s">
        <v>4833</v>
      </c>
      <c r="H437" s="282" t="s">
        <v>4838</v>
      </c>
      <c r="I437" s="282">
        <v>2185</v>
      </c>
      <c r="J437" s="282" t="s">
        <v>4852</v>
      </c>
      <c r="K437" s="282">
        <v>1608</v>
      </c>
      <c r="L437" s="282" t="s">
        <v>4853</v>
      </c>
      <c r="M437" s="283">
        <f t="shared" si="12"/>
        <v>0.26407322654462245</v>
      </c>
      <c r="N437" s="282">
        <v>927</v>
      </c>
      <c r="O437" s="282"/>
      <c r="P437" s="282">
        <v>1959</v>
      </c>
      <c r="Q437" s="282">
        <f>2023-Table28[[#This Row],[year_built]]</f>
        <v>64</v>
      </c>
      <c r="R437" s="282">
        <v>709.6</v>
      </c>
      <c r="S437" s="282" t="s">
        <v>4981</v>
      </c>
      <c r="T437" s="282" t="s">
        <v>4979</v>
      </c>
      <c r="U437" s="282">
        <v>2018</v>
      </c>
      <c r="V437" s="284">
        <f t="shared" si="13"/>
        <v>0.76548004314994611</v>
      </c>
      <c r="W437" s="292">
        <f>Table28[[#This Row],[$/sqft]]/INDEX(CPI!$A$3:$C$31,MATCH(Table28[[#This Row],[start_year]],CPI!$A$3:$A$31,0),3)</f>
        <v>0.92705090052528327</v>
      </c>
      <c r="X437" s="282" t="s">
        <v>4844</v>
      </c>
      <c r="Y437" s="282"/>
      <c r="Z437" s="282" t="s">
        <v>4840</v>
      </c>
      <c r="AA437" s="282">
        <v>26.407322650000001</v>
      </c>
      <c r="AB437" s="55" t="s">
        <v>72</v>
      </c>
      <c r="AC437" t="s">
        <v>71</v>
      </c>
    </row>
    <row r="438" spans="1:29" x14ac:dyDescent="0.2">
      <c r="A438" s="282">
        <v>3262</v>
      </c>
      <c r="B438" s="282">
        <v>9975</v>
      </c>
      <c r="C438" s="282" t="s">
        <v>3410</v>
      </c>
      <c r="D438" s="282" t="str">
        <f>IF(Table28[[#This Row],[% Leakage Reduction (Calculated)]]&gt;0.4, "Greater than 40% Air Reduction", "Less than 40% Air Reduction")</f>
        <v>Less than 40% Air Reduction</v>
      </c>
      <c r="E438" s="282" t="s">
        <v>4831</v>
      </c>
      <c r="F438" s="282" t="s">
        <v>4832</v>
      </c>
      <c r="G438" s="282" t="s">
        <v>4833</v>
      </c>
      <c r="H438" s="282" t="s">
        <v>4838</v>
      </c>
      <c r="I438" s="282">
        <v>12.78</v>
      </c>
      <c r="J438" s="282" t="s">
        <v>4834</v>
      </c>
      <c r="K438" s="282">
        <v>9.69</v>
      </c>
      <c r="L438" s="282" t="s">
        <v>4835</v>
      </c>
      <c r="M438" s="283">
        <f t="shared" si="12"/>
        <v>0.24178403755868544</v>
      </c>
      <c r="N438" s="282">
        <v>2280</v>
      </c>
      <c r="O438" s="282">
        <v>1</v>
      </c>
      <c r="P438" s="282">
        <v>1962</v>
      </c>
      <c r="Q438" s="282">
        <f>2023-Table28[[#This Row],[year_built]]</f>
        <v>61</v>
      </c>
      <c r="R438" s="282">
        <v>1800</v>
      </c>
      <c r="S438" s="282" t="s">
        <v>4962</v>
      </c>
      <c r="T438" s="282" t="s">
        <v>4906</v>
      </c>
      <c r="U438" s="282">
        <v>2020</v>
      </c>
      <c r="V438" s="284">
        <f t="shared" si="13"/>
        <v>0.78947368421052633</v>
      </c>
      <c r="W438" s="292">
        <f>Table28[[#This Row],[$/sqft]]/INDEX(CPI!$A$3:$C$31,MATCH(Table28[[#This Row],[start_year]],CPI!$A$3:$A$31,0),3)</f>
        <v>0.92766208411290985</v>
      </c>
      <c r="X438" s="282"/>
      <c r="Y438" s="282" t="s">
        <v>4839</v>
      </c>
      <c r="Z438" s="282" t="s">
        <v>4907</v>
      </c>
      <c r="AA438" s="282">
        <v>24.178403759999998</v>
      </c>
      <c r="AB438" s="55" t="s">
        <v>72</v>
      </c>
      <c r="AC438" t="s">
        <v>71</v>
      </c>
    </row>
    <row r="439" spans="1:29" x14ac:dyDescent="0.2">
      <c r="A439" s="282">
        <v>3268</v>
      </c>
      <c r="B439" s="282">
        <v>9997</v>
      </c>
      <c r="C439" s="282" t="s">
        <v>3410</v>
      </c>
      <c r="D439" s="282" t="str">
        <f>IF(Table28[[#This Row],[% Leakage Reduction (Calculated)]]&gt;0.4, "Greater than 40% Air Reduction", "Less than 40% Air Reduction")</f>
        <v>Less than 40% Air Reduction</v>
      </c>
      <c r="E439" s="282" t="s">
        <v>4831</v>
      </c>
      <c r="F439" s="282" t="s">
        <v>4832</v>
      </c>
      <c r="G439" s="282" t="s">
        <v>4833</v>
      </c>
      <c r="H439" s="282" t="s">
        <v>4838</v>
      </c>
      <c r="I439" s="282">
        <v>14.36</v>
      </c>
      <c r="J439" s="282" t="s">
        <v>4834</v>
      </c>
      <c r="K439" s="282">
        <v>9.15</v>
      </c>
      <c r="L439" s="282" t="s">
        <v>4835</v>
      </c>
      <c r="M439" s="283">
        <f t="shared" si="12"/>
        <v>0.36281337047353757</v>
      </c>
      <c r="N439" s="282">
        <v>1248</v>
      </c>
      <c r="O439" s="282">
        <v>1</v>
      </c>
      <c r="P439" s="282">
        <v>1985</v>
      </c>
      <c r="Q439" s="282">
        <f>2023-Table28[[#This Row],[year_built]]</f>
        <v>38</v>
      </c>
      <c r="R439" s="282">
        <v>1000</v>
      </c>
      <c r="S439" s="282" t="s">
        <v>4928</v>
      </c>
      <c r="T439" s="282" t="s">
        <v>4906</v>
      </c>
      <c r="U439" s="282">
        <v>2020</v>
      </c>
      <c r="V439" s="284">
        <f t="shared" si="13"/>
        <v>0.80128205128205132</v>
      </c>
      <c r="W439" s="292">
        <f>Table28[[#This Row],[$/sqft]]/INDEX(CPI!$A$3:$C$31,MATCH(Table28[[#This Row],[start_year]],CPI!$A$3:$A$31,0),3)</f>
        <v>0.94153737169579521</v>
      </c>
      <c r="X439" s="282"/>
      <c r="Y439" s="282" t="s">
        <v>217</v>
      </c>
      <c r="Z439" s="282" t="s">
        <v>4907</v>
      </c>
      <c r="AA439" s="282">
        <v>36.281337049999998</v>
      </c>
      <c r="AB439" s="55" t="s">
        <v>72</v>
      </c>
      <c r="AC439" t="s">
        <v>71</v>
      </c>
    </row>
    <row r="440" spans="1:29" x14ac:dyDescent="0.2">
      <c r="A440" s="282">
        <v>3059</v>
      </c>
      <c r="B440" s="282">
        <v>9264</v>
      </c>
      <c r="C440" s="282" t="s">
        <v>3410</v>
      </c>
      <c r="D440" s="282" t="str">
        <f>IF(Table28[[#This Row],[% Leakage Reduction (Calculated)]]&gt;0.4, "Greater than 40% Air Reduction", "Less than 40% Air Reduction")</f>
        <v>Greater than 40% Air Reduction</v>
      </c>
      <c r="E440" s="282" t="s">
        <v>4831</v>
      </c>
      <c r="F440" s="282" t="s">
        <v>4832</v>
      </c>
      <c r="G440" s="282" t="s">
        <v>4833</v>
      </c>
      <c r="H440" s="282" t="s">
        <v>4838</v>
      </c>
      <c r="I440" s="282">
        <v>28.58</v>
      </c>
      <c r="J440" s="282" t="s">
        <v>4834</v>
      </c>
      <c r="K440" s="282">
        <v>14.45</v>
      </c>
      <c r="L440" s="282" t="s">
        <v>4835</v>
      </c>
      <c r="M440" s="283">
        <f t="shared" si="12"/>
        <v>0.49440167949615116</v>
      </c>
      <c r="N440" s="282">
        <v>704</v>
      </c>
      <c r="O440" s="282">
        <v>1</v>
      </c>
      <c r="P440" s="282">
        <v>1955</v>
      </c>
      <c r="Q440" s="282">
        <f>2023-Table28[[#This Row],[year_built]]</f>
        <v>68</v>
      </c>
      <c r="R440" s="282">
        <v>558</v>
      </c>
      <c r="S440" s="282" t="s">
        <v>4915</v>
      </c>
      <c r="T440" s="282" t="s">
        <v>4906</v>
      </c>
      <c r="U440" s="282">
        <v>2019</v>
      </c>
      <c r="V440" s="284">
        <f t="shared" si="13"/>
        <v>0.79261363636363635</v>
      </c>
      <c r="W440" s="292">
        <f>Table28[[#This Row],[$/sqft]]/INDEX(CPI!$A$3:$C$31,MATCH(Table28[[#This Row],[start_year]],CPI!$A$3:$A$31,0),3)</f>
        <v>0.94264296761119215</v>
      </c>
      <c r="X440" s="282"/>
      <c r="Y440" s="282" t="s">
        <v>217</v>
      </c>
      <c r="Z440" s="282" t="s">
        <v>4840</v>
      </c>
      <c r="AA440" s="282">
        <v>49.440167950000003</v>
      </c>
      <c r="AB440" s="55" t="s">
        <v>72</v>
      </c>
      <c r="AC440" t="s">
        <v>71</v>
      </c>
    </row>
    <row r="441" spans="1:29" x14ac:dyDescent="0.2">
      <c r="A441" s="282">
        <v>1297</v>
      </c>
      <c r="B441" s="282">
        <v>3789</v>
      </c>
      <c r="C441" s="282" t="s">
        <v>3410</v>
      </c>
      <c r="D441" s="282" t="str">
        <f>IF(Table28[[#This Row],[% Leakage Reduction (Calculated)]]&gt;0.4, "Greater than 40% Air Reduction", "Less than 40% Air Reduction")</f>
        <v>Less than 40% Air Reduction</v>
      </c>
      <c r="E441" s="282" t="s">
        <v>4831</v>
      </c>
      <c r="F441" s="282" t="s">
        <v>4832</v>
      </c>
      <c r="G441" s="282" t="s">
        <v>4833</v>
      </c>
      <c r="H441" s="282" t="s">
        <v>4838</v>
      </c>
      <c r="I441" s="282">
        <v>5141</v>
      </c>
      <c r="J441" s="282" t="s">
        <v>4852</v>
      </c>
      <c r="K441" s="282">
        <v>3303</v>
      </c>
      <c r="L441" s="282" t="s">
        <v>4853</v>
      </c>
      <c r="M441" s="283">
        <f t="shared" si="12"/>
        <v>0.35751799260844191</v>
      </c>
      <c r="N441" s="282">
        <v>1391</v>
      </c>
      <c r="O441" s="282">
        <v>2</v>
      </c>
      <c r="P441" s="282" t="s">
        <v>5294</v>
      </c>
      <c r="Q441" s="282" t="e">
        <f>2023-Table28[[#This Row],[year_built]]</f>
        <v>#VALUE!</v>
      </c>
      <c r="R441" s="282">
        <v>1036</v>
      </c>
      <c r="S441" s="282" t="s">
        <v>4871</v>
      </c>
      <c r="T441" s="282" t="s">
        <v>4859</v>
      </c>
      <c r="U441" s="282">
        <v>2016</v>
      </c>
      <c r="V441" s="284">
        <f t="shared" si="13"/>
        <v>0.74478792235801583</v>
      </c>
      <c r="W441" s="292">
        <f>Table28[[#This Row],[$/sqft]]/INDEX(CPI!$A$3:$C$31,MATCH(Table28[[#This Row],[start_year]],CPI!$A$3:$A$31,0),3)</f>
        <v>0.94368083926332402</v>
      </c>
      <c r="X441" s="282" t="s">
        <v>4844</v>
      </c>
      <c r="Y441" s="282" t="s">
        <v>4872</v>
      </c>
      <c r="Z441" s="282" t="s">
        <v>4861</v>
      </c>
      <c r="AA441" s="282">
        <v>35.751799259999999</v>
      </c>
      <c r="AB441" s="55" t="s">
        <v>72</v>
      </c>
      <c r="AC441" t="s">
        <v>72</v>
      </c>
    </row>
    <row r="442" spans="1:29" x14ac:dyDescent="0.2">
      <c r="A442" s="282">
        <v>3164</v>
      </c>
      <c r="B442" s="282">
        <v>9667</v>
      </c>
      <c r="C442" s="282" t="s">
        <v>3410</v>
      </c>
      <c r="D442" s="282" t="str">
        <f>IF(Table28[[#This Row],[% Leakage Reduction (Calculated)]]&gt;0.4, "Greater than 40% Air Reduction", "Less than 40% Air Reduction")</f>
        <v>Less than 40% Air Reduction</v>
      </c>
      <c r="E442" s="282" t="s">
        <v>4831</v>
      </c>
      <c r="F442" s="282" t="s">
        <v>4832</v>
      </c>
      <c r="G442" s="282" t="s">
        <v>4833</v>
      </c>
      <c r="H442" s="282" t="s">
        <v>4838</v>
      </c>
      <c r="I442" s="282">
        <v>17.82</v>
      </c>
      <c r="J442" s="282" t="s">
        <v>4834</v>
      </c>
      <c r="K442" s="282">
        <v>12.32</v>
      </c>
      <c r="L442" s="282" t="s">
        <v>4835</v>
      </c>
      <c r="M442" s="283">
        <f t="shared" si="12"/>
        <v>0.30864197530864196</v>
      </c>
      <c r="N442" s="282">
        <v>1488</v>
      </c>
      <c r="O442" s="282">
        <v>1</v>
      </c>
      <c r="P442" s="282">
        <v>1941</v>
      </c>
      <c r="Q442" s="282">
        <f>2023-Table28[[#This Row],[year_built]]</f>
        <v>82</v>
      </c>
      <c r="R442" s="282">
        <v>1200</v>
      </c>
      <c r="S442" s="282" t="s">
        <v>4909</v>
      </c>
      <c r="T442" s="282" t="s">
        <v>4906</v>
      </c>
      <c r="U442" s="282">
        <v>2019</v>
      </c>
      <c r="V442" s="284">
        <f t="shared" si="13"/>
        <v>0.80645161290322576</v>
      </c>
      <c r="W442" s="292">
        <f>Table28[[#This Row],[$/sqft]]/INDEX(CPI!$A$3:$C$31,MATCH(Table28[[#This Row],[start_year]],CPI!$A$3:$A$31,0),3)</f>
        <v>0.95910025609648397</v>
      </c>
      <c r="X442" s="282"/>
      <c r="Y442" s="282" t="s">
        <v>4872</v>
      </c>
      <c r="Z442" s="282" t="s">
        <v>4907</v>
      </c>
      <c r="AA442" s="282">
        <v>30.864197529999998</v>
      </c>
      <c r="AB442" s="55" t="s">
        <v>72</v>
      </c>
      <c r="AC442" t="s">
        <v>71</v>
      </c>
    </row>
    <row r="443" spans="1:29" x14ac:dyDescent="0.2">
      <c r="A443" s="282">
        <v>2502</v>
      </c>
      <c r="B443" s="282">
        <v>5020</v>
      </c>
      <c r="C443" s="282" t="s">
        <v>3410</v>
      </c>
      <c r="D443" s="282" t="str">
        <f>IF(Table28[[#This Row],[% Leakage Reduction (Calculated)]]&gt;0.4, "Greater than 40% Air Reduction", "Less than 40% Air Reduction")</f>
        <v>Greater than 40% Air Reduction</v>
      </c>
      <c r="E443" s="282" t="s">
        <v>4831</v>
      </c>
      <c r="F443" s="282" t="s">
        <v>4832</v>
      </c>
      <c r="G443" s="282" t="s">
        <v>4833</v>
      </c>
      <c r="H443" s="282"/>
      <c r="I443" s="282">
        <v>3558</v>
      </c>
      <c r="J443" s="282" t="s">
        <v>4853</v>
      </c>
      <c r="K443" s="282">
        <v>5443</v>
      </c>
      <c r="L443" s="282" t="s">
        <v>4852</v>
      </c>
      <c r="M443" s="283">
        <f t="shared" si="12"/>
        <v>0.52979201798763353</v>
      </c>
      <c r="N443" s="282">
        <v>1200</v>
      </c>
      <c r="O443" s="282">
        <v>1</v>
      </c>
      <c r="P443" s="282">
        <v>1975</v>
      </c>
      <c r="Q443" s="282">
        <f>2023-Table28[[#This Row],[year_built]]</f>
        <v>48</v>
      </c>
      <c r="R443" s="282">
        <v>980</v>
      </c>
      <c r="S443" s="282" t="s">
        <v>4891</v>
      </c>
      <c r="T443" s="282" t="s">
        <v>4857</v>
      </c>
      <c r="U443" s="282">
        <v>2020</v>
      </c>
      <c r="V443" s="284">
        <f t="shared" si="13"/>
        <v>0.81666666666666665</v>
      </c>
      <c r="W443" s="292">
        <f>Table28[[#This Row],[$/sqft]]/INDEX(CPI!$A$3:$C$31,MATCH(Table28[[#This Row],[start_year]],CPI!$A$3:$A$31,0),3)</f>
        <v>0.9596148892323545</v>
      </c>
      <c r="X443" s="282"/>
      <c r="Y443" s="282"/>
      <c r="Z443" s="282" t="s">
        <v>4840</v>
      </c>
      <c r="AA443" s="282">
        <v>34.631636960000002</v>
      </c>
      <c r="AB443" s="55" t="s">
        <v>72</v>
      </c>
      <c r="AC443" t="s">
        <v>71</v>
      </c>
    </row>
    <row r="444" spans="1:29" x14ac:dyDescent="0.2">
      <c r="A444" s="282">
        <v>1226</v>
      </c>
      <c r="B444" s="282">
        <v>2999</v>
      </c>
      <c r="C444" s="282" t="s">
        <v>3410</v>
      </c>
      <c r="D444" s="282" t="str">
        <f>IF(Table28[[#This Row],[% Leakage Reduction (Calculated)]]&gt;0.4, "Greater than 40% Air Reduction", "Less than 40% Air Reduction")</f>
        <v>Less than 40% Air Reduction</v>
      </c>
      <c r="E444" s="282" t="s">
        <v>4831</v>
      </c>
      <c r="F444" s="282" t="s">
        <v>4832</v>
      </c>
      <c r="G444" s="282" t="s">
        <v>4833</v>
      </c>
      <c r="H444" s="282" t="s">
        <v>4838</v>
      </c>
      <c r="I444" s="282">
        <v>14.04</v>
      </c>
      <c r="J444" s="282" t="s">
        <v>4834</v>
      </c>
      <c r="K444" s="282">
        <v>10.52</v>
      </c>
      <c r="L444" s="282" t="s">
        <v>4835</v>
      </c>
      <c r="M444" s="283">
        <f t="shared" si="12"/>
        <v>0.25071225071225067</v>
      </c>
      <c r="N444" s="282">
        <v>1260</v>
      </c>
      <c r="O444" s="282">
        <v>1</v>
      </c>
      <c r="P444" s="282">
        <v>1958</v>
      </c>
      <c r="Q444" s="282">
        <f>2023-Table28[[#This Row],[year_built]]</f>
        <v>65</v>
      </c>
      <c r="R444" s="282">
        <v>900</v>
      </c>
      <c r="S444" s="282" t="s">
        <v>4836</v>
      </c>
      <c r="T444" s="282" t="s">
        <v>4837</v>
      </c>
      <c r="U444" s="282">
        <v>2011</v>
      </c>
      <c r="V444" s="284">
        <f t="shared" si="13"/>
        <v>0.7142857142857143</v>
      </c>
      <c r="W444" s="292">
        <f>Table28[[#This Row],[$/sqft]]/INDEX(CPI!$A$3:$C$31,MATCH(Table28[[#This Row],[start_year]],CPI!$A$3:$A$31,0),3)</f>
        <v>0.96565862617992315</v>
      </c>
      <c r="X444" s="282" t="s">
        <v>56</v>
      </c>
      <c r="Y444" s="282" t="s">
        <v>4839</v>
      </c>
      <c r="Z444" s="282" t="s">
        <v>4840</v>
      </c>
      <c r="AA444" s="282">
        <v>25.071225070000001</v>
      </c>
      <c r="AB444" s="55" t="s">
        <v>72</v>
      </c>
      <c r="AC444" t="s">
        <v>71</v>
      </c>
    </row>
    <row r="445" spans="1:29" x14ac:dyDescent="0.2">
      <c r="A445" s="282">
        <v>3358</v>
      </c>
      <c r="B445" s="282">
        <v>10243</v>
      </c>
      <c r="C445" s="282" t="s">
        <v>3410</v>
      </c>
      <c r="D445" s="282" t="str">
        <f>IF(Table28[[#This Row],[% Leakage Reduction (Calculated)]]&gt;0.4, "Greater than 40% Air Reduction", "Less than 40% Air Reduction")</f>
        <v>Less than 40% Air Reduction</v>
      </c>
      <c r="E445" s="282" t="s">
        <v>4831</v>
      </c>
      <c r="F445" s="282" t="s">
        <v>4832</v>
      </c>
      <c r="G445" s="282" t="s">
        <v>4833</v>
      </c>
      <c r="H445" s="282" t="s">
        <v>4850</v>
      </c>
      <c r="I445" s="282">
        <v>71.900000000000006</v>
      </c>
      <c r="J445" s="282" t="s">
        <v>4834</v>
      </c>
      <c r="K445" s="282">
        <v>51.62</v>
      </c>
      <c r="L445" s="282" t="s">
        <v>4835</v>
      </c>
      <c r="M445" s="283">
        <f t="shared" si="12"/>
        <v>0.28205841446453417</v>
      </c>
      <c r="N445" s="282">
        <v>1214</v>
      </c>
      <c r="O445" s="282">
        <v>1</v>
      </c>
      <c r="P445" s="282">
        <v>1905</v>
      </c>
      <c r="Q445" s="282">
        <f>2023-Table28[[#This Row],[year_built]]</f>
        <v>118</v>
      </c>
      <c r="R445" s="282">
        <v>1000</v>
      </c>
      <c r="S445" s="282" t="s">
        <v>4966</v>
      </c>
      <c r="T445" s="282" t="s">
        <v>4906</v>
      </c>
      <c r="U445" s="282">
        <v>2020</v>
      </c>
      <c r="V445" s="284">
        <f t="shared" si="13"/>
        <v>0.82372322899505768</v>
      </c>
      <c r="W445" s="292">
        <f>Table28[[#This Row],[$/sqft]]/INDEX(CPI!$A$3:$C$31,MATCH(Table28[[#This Row],[start_year]],CPI!$A$3:$A$31,0),3)</f>
        <v>0.96790662263290972</v>
      </c>
      <c r="X445" s="282"/>
      <c r="Y445" s="282" t="s">
        <v>217</v>
      </c>
      <c r="Z445" s="282" t="s">
        <v>4907</v>
      </c>
      <c r="AA445" s="282">
        <v>28.205841450000001</v>
      </c>
      <c r="AB445" s="55" t="s">
        <v>72</v>
      </c>
      <c r="AC445" t="s">
        <v>71</v>
      </c>
    </row>
    <row r="446" spans="1:29" x14ac:dyDescent="0.2">
      <c r="A446" s="282">
        <v>2298</v>
      </c>
      <c r="B446" s="282">
        <v>7097</v>
      </c>
      <c r="C446" s="282" t="s">
        <v>3410</v>
      </c>
      <c r="D446" s="282" t="str">
        <f>IF(Table28[[#This Row],[% Leakage Reduction (Calculated)]]&gt;0.4, "Greater than 40% Air Reduction", "Less than 40% Air Reduction")</f>
        <v>Greater than 40% Air Reduction</v>
      </c>
      <c r="E446" s="282" t="s">
        <v>4831</v>
      </c>
      <c r="F446" s="282" t="s">
        <v>4832</v>
      </c>
      <c r="G446" s="282" t="s">
        <v>4833</v>
      </c>
      <c r="H446" s="282"/>
      <c r="I446" s="282">
        <v>1371</v>
      </c>
      <c r="J446" s="282" t="s">
        <v>4853</v>
      </c>
      <c r="K446" s="282">
        <v>2527</v>
      </c>
      <c r="L446" s="282" t="s">
        <v>4852</v>
      </c>
      <c r="M446" s="283">
        <f t="shared" si="12"/>
        <v>0.84318016046681254</v>
      </c>
      <c r="N446" s="282">
        <v>1087</v>
      </c>
      <c r="O446" s="282"/>
      <c r="P446" s="282">
        <v>1975</v>
      </c>
      <c r="Q446" s="282">
        <f>2023-Table28[[#This Row],[year_built]]</f>
        <v>48</v>
      </c>
      <c r="R446" s="282">
        <v>900</v>
      </c>
      <c r="S446" s="282" t="s">
        <v>4898</v>
      </c>
      <c r="T446" s="282" t="s">
        <v>4857</v>
      </c>
      <c r="U446" s="282">
        <v>2020</v>
      </c>
      <c r="V446" s="284">
        <f t="shared" si="13"/>
        <v>0.82796688132474705</v>
      </c>
      <c r="W446" s="292">
        <f>Table28[[#This Row],[$/sqft]]/INDEX(CPI!$A$3:$C$31,MATCH(Table28[[#This Row],[start_year]],CPI!$A$3:$A$31,0),3)</f>
        <v>0.9728930780944961</v>
      </c>
      <c r="X446" s="282"/>
      <c r="Y446" s="282"/>
      <c r="Z446" s="282" t="s">
        <v>4840</v>
      </c>
      <c r="AA446" s="282">
        <v>45.74594381</v>
      </c>
      <c r="AB446" s="55" t="s">
        <v>72</v>
      </c>
      <c r="AC446" t="s">
        <v>71</v>
      </c>
    </row>
    <row r="447" spans="1:29" x14ac:dyDescent="0.2">
      <c r="A447" s="282">
        <v>3264</v>
      </c>
      <c r="B447" s="282">
        <v>9981</v>
      </c>
      <c r="C447" s="282" t="s">
        <v>3410</v>
      </c>
      <c r="D447" s="282" t="str">
        <f>IF(Table28[[#This Row],[% Leakage Reduction (Calculated)]]&gt;0.4, "Greater than 40% Air Reduction", "Less than 40% Air Reduction")</f>
        <v>Greater than 40% Air Reduction</v>
      </c>
      <c r="E447" s="282" t="s">
        <v>4831</v>
      </c>
      <c r="F447" s="282" t="s">
        <v>4832</v>
      </c>
      <c r="G447" s="282" t="s">
        <v>4833</v>
      </c>
      <c r="H447" s="282" t="s">
        <v>4838</v>
      </c>
      <c r="I447" s="282">
        <v>22.71</v>
      </c>
      <c r="J447" s="282" t="s">
        <v>4834</v>
      </c>
      <c r="K447" s="282">
        <v>8.4499999999999993</v>
      </c>
      <c r="L447" s="282" t="s">
        <v>4835</v>
      </c>
      <c r="M447" s="283">
        <f t="shared" si="12"/>
        <v>0.6279172170849846</v>
      </c>
      <c r="N447" s="282">
        <v>1376</v>
      </c>
      <c r="O447" s="282">
        <v>1</v>
      </c>
      <c r="P447" s="282">
        <v>1960</v>
      </c>
      <c r="Q447" s="282">
        <f>2023-Table28[[#This Row],[year_built]]</f>
        <v>63</v>
      </c>
      <c r="R447" s="282">
        <v>1200</v>
      </c>
      <c r="S447" s="282" t="s">
        <v>4963</v>
      </c>
      <c r="T447" s="282" t="s">
        <v>4906</v>
      </c>
      <c r="U447" s="282">
        <v>2020</v>
      </c>
      <c r="V447" s="284">
        <f t="shared" si="13"/>
        <v>0.87209302325581395</v>
      </c>
      <c r="W447" s="292">
        <f>Table28[[#This Row],[$/sqft]]/INDEX(CPI!$A$3:$C$31,MATCH(Table28[[#This Row],[start_year]],CPI!$A$3:$A$31,0),3)</f>
        <v>1.0247429998921678</v>
      </c>
      <c r="X447" s="282"/>
      <c r="Y447" s="282" t="s">
        <v>4839</v>
      </c>
      <c r="Z447" s="282" t="s">
        <v>4907</v>
      </c>
      <c r="AA447" s="282">
        <v>62.791721709999997</v>
      </c>
      <c r="AB447" s="55" t="s">
        <v>72</v>
      </c>
      <c r="AC447" t="s">
        <v>71</v>
      </c>
    </row>
    <row r="448" spans="1:29" x14ac:dyDescent="0.2">
      <c r="A448" s="282">
        <v>3306</v>
      </c>
      <c r="B448" s="282">
        <v>10112</v>
      </c>
      <c r="C448" s="282" t="s">
        <v>3410</v>
      </c>
      <c r="D448" s="282" t="str">
        <f>IF(Table28[[#This Row],[% Leakage Reduction (Calculated)]]&gt;0.4, "Greater than 40% Air Reduction", "Less than 40% Air Reduction")</f>
        <v>Greater than 40% Air Reduction</v>
      </c>
      <c r="E448" s="282" t="s">
        <v>4831</v>
      </c>
      <c r="F448" s="282" t="s">
        <v>4832</v>
      </c>
      <c r="G448" s="282" t="s">
        <v>4833</v>
      </c>
      <c r="H448" s="282" t="s">
        <v>4838</v>
      </c>
      <c r="I448" s="282">
        <v>27.71</v>
      </c>
      <c r="J448" s="282" t="s">
        <v>4834</v>
      </c>
      <c r="K448" s="282">
        <v>11.47</v>
      </c>
      <c r="L448" s="282" t="s">
        <v>4835</v>
      </c>
      <c r="M448" s="283">
        <f t="shared" si="12"/>
        <v>0.58607001082641652</v>
      </c>
      <c r="N448" s="282">
        <v>1136</v>
      </c>
      <c r="O448" s="282">
        <v>1</v>
      </c>
      <c r="P448" s="282">
        <v>1957</v>
      </c>
      <c r="Q448" s="282">
        <f>2023-Table28[[#This Row],[year_built]]</f>
        <v>66</v>
      </c>
      <c r="R448" s="282">
        <v>1000</v>
      </c>
      <c r="S448" s="282" t="s">
        <v>4944</v>
      </c>
      <c r="T448" s="282" t="s">
        <v>4906</v>
      </c>
      <c r="U448" s="282">
        <v>2020</v>
      </c>
      <c r="V448" s="284">
        <f t="shared" si="13"/>
        <v>0.88028169014084512</v>
      </c>
      <c r="W448" s="292">
        <f>Table28[[#This Row],[$/sqft]]/INDEX(CPI!$A$3:$C$31,MATCH(Table28[[#This Row],[start_year]],CPI!$A$3:$A$31,0),3)</f>
        <v>1.0343649998911553</v>
      </c>
      <c r="X448" s="282"/>
      <c r="Y448" s="282" t="s">
        <v>217</v>
      </c>
      <c r="Z448" s="282" t="s">
        <v>4907</v>
      </c>
      <c r="AA448" s="282">
        <v>58.607001080000003</v>
      </c>
      <c r="AB448" s="55" t="s">
        <v>72</v>
      </c>
      <c r="AC448" t="s">
        <v>71</v>
      </c>
    </row>
    <row r="449" spans="1:29" x14ac:dyDescent="0.2">
      <c r="A449" s="282">
        <v>3122</v>
      </c>
      <c r="B449" s="282">
        <v>9526</v>
      </c>
      <c r="C449" s="282" t="s">
        <v>3410</v>
      </c>
      <c r="D449" s="282" t="str">
        <f>IF(Table28[[#This Row],[% Leakage Reduction (Calculated)]]&gt;0.4, "Greater than 40% Air Reduction", "Less than 40% Air Reduction")</f>
        <v>Greater than 40% Air Reduction</v>
      </c>
      <c r="E449" s="282" t="s">
        <v>4831</v>
      </c>
      <c r="F449" s="282" t="s">
        <v>4832</v>
      </c>
      <c r="G449" s="282" t="s">
        <v>4833</v>
      </c>
      <c r="H449" s="282" t="s">
        <v>4838</v>
      </c>
      <c r="I449" s="282">
        <v>12.75</v>
      </c>
      <c r="J449" s="282" t="s">
        <v>4834</v>
      </c>
      <c r="K449" s="282">
        <v>3.64</v>
      </c>
      <c r="L449" s="282" t="s">
        <v>4835</v>
      </c>
      <c r="M449" s="283">
        <f t="shared" si="12"/>
        <v>0.7145098039215686</v>
      </c>
      <c r="N449" s="282">
        <v>1720</v>
      </c>
      <c r="O449" s="282">
        <v>2</v>
      </c>
      <c r="P449" s="282">
        <v>1926</v>
      </c>
      <c r="Q449" s="282">
        <f>2023-Table28[[#This Row],[year_built]]</f>
        <v>97</v>
      </c>
      <c r="R449" s="282">
        <v>1500</v>
      </c>
      <c r="S449" s="282" t="s">
        <v>4878</v>
      </c>
      <c r="T449" s="282" t="s">
        <v>4906</v>
      </c>
      <c r="U449" s="282">
        <v>2019</v>
      </c>
      <c r="V449" s="284">
        <f t="shared" si="13"/>
        <v>0.87209302325581395</v>
      </c>
      <c r="W449" s="292">
        <f>Table28[[#This Row],[$/sqft]]/INDEX(CPI!$A$3:$C$31,MATCH(Table28[[#This Row],[start_year]],CPI!$A$3:$A$31,0),3)</f>
        <v>1.0371665560113141</v>
      </c>
      <c r="X449" s="282"/>
      <c r="Y449" s="282" t="s">
        <v>217</v>
      </c>
      <c r="Z449" s="282" t="s">
        <v>4840</v>
      </c>
      <c r="AA449" s="282">
        <v>71.450980389999998</v>
      </c>
      <c r="AB449" s="55" t="s">
        <v>72</v>
      </c>
      <c r="AC449" t="s">
        <v>71</v>
      </c>
    </row>
    <row r="450" spans="1:29" x14ac:dyDescent="0.2">
      <c r="A450" s="282">
        <v>3287</v>
      </c>
      <c r="B450" s="282">
        <v>10053</v>
      </c>
      <c r="C450" s="282" t="s">
        <v>3410</v>
      </c>
      <c r="D450" s="282" t="str">
        <f>IF(Table28[[#This Row],[% Leakage Reduction (Calculated)]]&gt;0.4, "Greater than 40% Air Reduction", "Less than 40% Air Reduction")</f>
        <v>Greater than 40% Air Reduction</v>
      </c>
      <c r="E450" s="282" t="s">
        <v>4831</v>
      </c>
      <c r="F450" s="282" t="s">
        <v>4832</v>
      </c>
      <c r="G450" s="282" t="s">
        <v>4833</v>
      </c>
      <c r="H450" s="282" t="s">
        <v>4838</v>
      </c>
      <c r="I450" s="282">
        <v>21.52</v>
      </c>
      <c r="J450" s="282" t="s">
        <v>4834</v>
      </c>
      <c r="K450" s="282">
        <v>11.77</v>
      </c>
      <c r="L450" s="282" t="s">
        <v>4835</v>
      </c>
      <c r="M450" s="283">
        <f t="shared" si="12"/>
        <v>0.45306691449814129</v>
      </c>
      <c r="N450" s="282">
        <v>1128</v>
      </c>
      <c r="O450" s="282">
        <v>1</v>
      </c>
      <c r="P450" s="282">
        <v>1958</v>
      </c>
      <c r="Q450" s="282">
        <f>2023-Table28[[#This Row],[year_built]]</f>
        <v>65</v>
      </c>
      <c r="R450" s="282">
        <v>1000</v>
      </c>
      <c r="S450" s="282" t="s">
        <v>4947</v>
      </c>
      <c r="T450" s="282" t="s">
        <v>4906</v>
      </c>
      <c r="U450" s="282">
        <v>2020</v>
      </c>
      <c r="V450" s="284">
        <f t="shared" si="13"/>
        <v>0.88652482269503541</v>
      </c>
      <c r="W450" s="292">
        <f>Table28[[#This Row],[$/sqft]]/INDEX(CPI!$A$3:$C$31,MATCH(Table28[[#This Row],[start_year]],CPI!$A$3:$A$31,0),3)</f>
        <v>1.0417009218761988</v>
      </c>
      <c r="X450" s="282"/>
      <c r="Y450" s="282" t="s">
        <v>217</v>
      </c>
      <c r="Z450" s="282" t="s">
        <v>4907</v>
      </c>
      <c r="AA450" s="282">
        <v>45.306691450000002</v>
      </c>
      <c r="AB450" s="55" t="s">
        <v>72</v>
      </c>
      <c r="AC450" t="s">
        <v>71</v>
      </c>
    </row>
    <row r="451" spans="1:29" x14ac:dyDescent="0.2">
      <c r="A451" s="282">
        <v>5199</v>
      </c>
      <c r="B451" s="282">
        <v>13197</v>
      </c>
      <c r="C451" s="282" t="s">
        <v>3410</v>
      </c>
      <c r="D451" s="282" t="str">
        <f>IF(Table28[[#This Row],[% Leakage Reduction (Calculated)]]&gt;0.4, "Greater than 40% Air Reduction", "Less than 40% Air Reduction")</f>
        <v>Less than 40% Air Reduction</v>
      </c>
      <c r="E451" s="282" t="s">
        <v>4831</v>
      </c>
      <c r="F451" s="282" t="s">
        <v>4832</v>
      </c>
      <c r="G451" s="282" t="s">
        <v>4833</v>
      </c>
      <c r="H451" s="282" t="s">
        <v>4838</v>
      </c>
      <c r="I451" s="282">
        <v>3086</v>
      </c>
      <c r="J451" s="282" t="s">
        <v>4852</v>
      </c>
      <c r="K451" s="282">
        <v>2436</v>
      </c>
      <c r="L451" s="282" t="s">
        <v>4853</v>
      </c>
      <c r="M451" s="283">
        <f t="shared" si="12"/>
        <v>0.21062864549578741</v>
      </c>
      <c r="N451" s="282">
        <v>1155</v>
      </c>
      <c r="O451" s="282"/>
      <c r="P451" s="282">
        <v>1962</v>
      </c>
      <c r="Q451" s="282">
        <f>2023-Table28[[#This Row],[year_built]]</f>
        <v>61</v>
      </c>
      <c r="R451" s="282">
        <v>976.64</v>
      </c>
      <c r="S451" s="282" t="s">
        <v>4982</v>
      </c>
      <c r="T451" s="282" t="s">
        <v>4979</v>
      </c>
      <c r="U451" s="282">
        <v>2017</v>
      </c>
      <c r="V451" s="284">
        <f t="shared" si="13"/>
        <v>0.84557575757575754</v>
      </c>
      <c r="W451" s="292">
        <f>Table28[[#This Row],[$/sqft]]/INDEX(CPI!$A$3:$C$31,MATCH(Table28[[#This Row],[start_year]],CPI!$A$3:$A$31,0),3)</f>
        <v>1.0491211255764501</v>
      </c>
      <c r="X451" s="282" t="s">
        <v>1241</v>
      </c>
      <c r="Y451" s="282"/>
      <c r="Z451" s="282" t="s">
        <v>4840</v>
      </c>
      <c r="AA451" s="282">
        <v>21.06286455</v>
      </c>
      <c r="AB451" s="55" t="s">
        <v>72</v>
      </c>
      <c r="AC451" t="s">
        <v>71</v>
      </c>
    </row>
    <row r="452" spans="1:29" x14ac:dyDescent="0.2">
      <c r="A452" s="282">
        <v>2545</v>
      </c>
      <c r="B452" s="282">
        <v>8346</v>
      </c>
      <c r="C452" s="282" t="s">
        <v>3410</v>
      </c>
      <c r="D452" s="282" t="str">
        <f>IF(Table28[[#This Row],[% Leakage Reduction (Calculated)]]&gt;0.4, "Greater than 40% Air Reduction", "Less than 40% Air Reduction")</f>
        <v>Greater than 40% Air Reduction</v>
      </c>
      <c r="E452" s="282" t="s">
        <v>4831</v>
      </c>
      <c r="F452" s="282" t="s">
        <v>4832</v>
      </c>
      <c r="G452" s="282" t="s">
        <v>4833</v>
      </c>
      <c r="H452" s="282"/>
      <c r="I452" s="282">
        <v>1625</v>
      </c>
      <c r="J452" s="282" t="s">
        <v>4853</v>
      </c>
      <c r="K452" s="282">
        <v>2495</v>
      </c>
      <c r="L452" s="282" t="s">
        <v>4852</v>
      </c>
      <c r="M452" s="283">
        <f t="shared" ref="M452:M515" si="14">ABS((I452-K452)/I452)</f>
        <v>0.53538461538461535</v>
      </c>
      <c r="N452" s="282">
        <v>1110</v>
      </c>
      <c r="O452" s="282"/>
      <c r="P452" s="282">
        <v>1975</v>
      </c>
      <c r="Q452" s="282">
        <f>2023-Table28[[#This Row],[year_built]]</f>
        <v>48</v>
      </c>
      <c r="R452" s="282">
        <v>995</v>
      </c>
      <c r="S452" s="282" t="s">
        <v>4893</v>
      </c>
      <c r="T452" s="282" t="s">
        <v>4857</v>
      </c>
      <c r="U452" s="282">
        <v>2020</v>
      </c>
      <c r="V452" s="284">
        <f t="shared" ref="V452:V515" si="15">IFERROR(IF(R452/N452&lt;&gt;0, R452/N452, ""), "")</f>
        <v>0.89639639639639634</v>
      </c>
      <c r="W452" s="292">
        <f>Table28[[#This Row],[$/sqft]]/INDEX(CPI!$A$3:$C$31,MATCH(Table28[[#This Row],[start_year]],CPI!$A$3:$A$31,0),3)</f>
        <v>1.0533004024116852</v>
      </c>
      <c r="X452" s="282"/>
      <c r="Y452" s="282"/>
      <c r="Z452" s="282" t="s">
        <v>4840</v>
      </c>
      <c r="AA452" s="282">
        <v>34.86973948</v>
      </c>
      <c r="AB452" s="55" t="s">
        <v>72</v>
      </c>
      <c r="AC452" t="s">
        <v>71</v>
      </c>
    </row>
    <row r="453" spans="1:29" x14ac:dyDescent="0.2">
      <c r="A453" s="282">
        <v>3276</v>
      </c>
      <c r="B453" s="282">
        <v>10024</v>
      </c>
      <c r="C453" s="282" t="s">
        <v>3410</v>
      </c>
      <c r="D453" s="282" t="str">
        <f>IF(Table28[[#This Row],[% Leakage Reduction (Calculated)]]&gt;0.4, "Greater than 40% Air Reduction", "Less than 40% Air Reduction")</f>
        <v>Less than 40% Air Reduction</v>
      </c>
      <c r="E453" s="282" t="s">
        <v>4831</v>
      </c>
      <c r="F453" s="282" t="s">
        <v>4832</v>
      </c>
      <c r="G453" s="282" t="s">
        <v>4833</v>
      </c>
      <c r="H453" s="282" t="s">
        <v>4838</v>
      </c>
      <c r="I453" s="282">
        <v>13.11</v>
      </c>
      <c r="J453" s="282" t="s">
        <v>4834</v>
      </c>
      <c r="K453" s="282">
        <v>9.2799999999999994</v>
      </c>
      <c r="L453" s="282" t="s">
        <v>4835</v>
      </c>
      <c r="M453" s="283">
        <f t="shared" si="14"/>
        <v>0.29214340198321892</v>
      </c>
      <c r="N453" s="282">
        <v>1666</v>
      </c>
      <c r="O453" s="282">
        <v>1.5</v>
      </c>
      <c r="P453" s="282">
        <v>1954</v>
      </c>
      <c r="Q453" s="282">
        <f>2023-Table28[[#This Row],[year_built]]</f>
        <v>69</v>
      </c>
      <c r="R453" s="282">
        <v>1500</v>
      </c>
      <c r="S453" s="282" t="s">
        <v>4916</v>
      </c>
      <c r="T453" s="282" t="s">
        <v>4906</v>
      </c>
      <c r="U453" s="282">
        <v>2020</v>
      </c>
      <c r="V453" s="284">
        <f t="shared" si="15"/>
        <v>0.9003601440576231</v>
      </c>
      <c r="W453" s="292">
        <f>Table28[[#This Row],[$/sqft]]/INDEX(CPI!$A$3:$C$31,MATCH(Table28[[#This Row],[start_year]],CPI!$A$3:$A$31,0),3)</f>
        <v>1.0579579590723462</v>
      </c>
      <c r="X453" s="282"/>
      <c r="Y453" s="282" t="s">
        <v>217</v>
      </c>
      <c r="Z453" s="282" t="s">
        <v>4907</v>
      </c>
      <c r="AA453" s="282">
        <v>29.214340199999999</v>
      </c>
      <c r="AB453" s="55" t="s">
        <v>72</v>
      </c>
      <c r="AC453" t="s">
        <v>71</v>
      </c>
    </row>
    <row r="454" spans="1:29" x14ac:dyDescent="0.2">
      <c r="A454" s="282">
        <v>3098</v>
      </c>
      <c r="B454" s="282">
        <v>9441</v>
      </c>
      <c r="C454" s="282" t="s">
        <v>3410</v>
      </c>
      <c r="D454" s="282" t="str">
        <f>IF(Table28[[#This Row],[% Leakage Reduction (Calculated)]]&gt;0.4, "Greater than 40% Air Reduction", "Less than 40% Air Reduction")</f>
        <v>Less than 40% Air Reduction</v>
      </c>
      <c r="E454" s="282" t="s">
        <v>4831</v>
      </c>
      <c r="F454" s="282" t="s">
        <v>4832</v>
      </c>
      <c r="G454" s="282" t="s">
        <v>4833</v>
      </c>
      <c r="H454" s="282" t="s">
        <v>4838</v>
      </c>
      <c r="I454" s="282">
        <v>7.48</v>
      </c>
      <c r="J454" s="282" t="s">
        <v>4834</v>
      </c>
      <c r="K454" s="282">
        <v>6.23</v>
      </c>
      <c r="L454" s="282" t="s">
        <v>4835</v>
      </c>
      <c r="M454" s="283">
        <f t="shared" si="14"/>
        <v>0.16711229946524064</v>
      </c>
      <c r="N454" s="282">
        <v>1344</v>
      </c>
      <c r="O454" s="282">
        <v>1</v>
      </c>
      <c r="P454" s="282">
        <v>1960</v>
      </c>
      <c r="Q454" s="282">
        <f>2023-Table28[[#This Row],[year_built]]</f>
        <v>63</v>
      </c>
      <c r="R454" s="282">
        <v>1200</v>
      </c>
      <c r="S454" s="282" t="s">
        <v>4941</v>
      </c>
      <c r="T454" s="282" t="s">
        <v>4906</v>
      </c>
      <c r="U454" s="282">
        <v>2019</v>
      </c>
      <c r="V454" s="284">
        <f t="shared" si="15"/>
        <v>0.8928571428571429</v>
      </c>
      <c r="W454" s="292">
        <f>Table28[[#This Row],[$/sqft]]/INDEX(CPI!$A$3:$C$31,MATCH(Table28[[#This Row],[start_year]],CPI!$A$3:$A$31,0),3)</f>
        <v>1.0618609978211075</v>
      </c>
      <c r="X454" s="282"/>
      <c r="Y454" s="282" t="s">
        <v>4839</v>
      </c>
      <c r="Z454" s="282" t="s">
        <v>4907</v>
      </c>
      <c r="AA454" s="282">
        <v>16.71122995</v>
      </c>
      <c r="AB454" s="55" t="s">
        <v>72</v>
      </c>
      <c r="AC454" t="s">
        <v>71</v>
      </c>
    </row>
    <row r="455" spans="1:29" x14ac:dyDescent="0.2">
      <c r="A455" s="282">
        <v>3284</v>
      </c>
      <c r="B455" s="282">
        <v>10044</v>
      </c>
      <c r="C455" s="282" t="s">
        <v>3410</v>
      </c>
      <c r="D455" s="282" t="str">
        <f>IF(Table28[[#This Row],[% Leakage Reduction (Calculated)]]&gt;0.4, "Greater than 40% Air Reduction", "Less than 40% Air Reduction")</f>
        <v>Greater than 40% Air Reduction</v>
      </c>
      <c r="E455" s="282" t="s">
        <v>4831</v>
      </c>
      <c r="F455" s="282" t="s">
        <v>4832</v>
      </c>
      <c r="G455" s="282" t="s">
        <v>4833</v>
      </c>
      <c r="H455" s="282" t="s">
        <v>4838</v>
      </c>
      <c r="I455" s="282">
        <v>20.23</v>
      </c>
      <c r="J455" s="282" t="s">
        <v>4834</v>
      </c>
      <c r="K455" s="282">
        <v>10.199999999999999</v>
      </c>
      <c r="L455" s="282" t="s">
        <v>4835</v>
      </c>
      <c r="M455" s="283">
        <f t="shared" si="14"/>
        <v>0.49579831932773116</v>
      </c>
      <c r="N455" s="282">
        <v>1640</v>
      </c>
      <c r="O455" s="282">
        <v>2</v>
      </c>
      <c r="P455" s="282">
        <v>1900</v>
      </c>
      <c r="Q455" s="282">
        <f>2023-Table28[[#This Row],[year_built]]</f>
        <v>123</v>
      </c>
      <c r="R455" s="282">
        <v>1500</v>
      </c>
      <c r="S455" s="282" t="s">
        <v>4960</v>
      </c>
      <c r="T455" s="282" t="s">
        <v>4906</v>
      </c>
      <c r="U455" s="282">
        <v>2020</v>
      </c>
      <c r="V455" s="284">
        <f t="shared" si="15"/>
        <v>0.91463414634146345</v>
      </c>
      <c r="W455" s="292">
        <f>Table28[[#This Row],[$/sqft]]/INDEX(CPI!$A$3:$C$31,MATCH(Table28[[#This Row],[start_year]],CPI!$A$3:$A$31,0),3)</f>
        <v>1.074730463301542</v>
      </c>
      <c r="X455" s="282"/>
      <c r="Y455" s="282" t="s">
        <v>217</v>
      </c>
      <c r="Z455" s="282" t="s">
        <v>4907</v>
      </c>
      <c r="AA455" s="282">
        <v>49.579831929999997</v>
      </c>
      <c r="AB455" s="55" t="s">
        <v>72</v>
      </c>
      <c r="AC455" t="s">
        <v>71</v>
      </c>
    </row>
    <row r="456" spans="1:29" x14ac:dyDescent="0.2">
      <c r="A456" s="282">
        <v>3050</v>
      </c>
      <c r="B456" s="282">
        <v>9231</v>
      </c>
      <c r="C456" s="282" t="s">
        <v>3410</v>
      </c>
      <c r="D456" s="282" t="str">
        <f>IF(Table28[[#This Row],[% Leakage Reduction (Calculated)]]&gt;0.4, "Greater than 40% Air Reduction", "Less than 40% Air Reduction")</f>
        <v>Less than 40% Air Reduction</v>
      </c>
      <c r="E456" s="282" t="s">
        <v>4831</v>
      </c>
      <c r="F456" s="282" t="s">
        <v>4832</v>
      </c>
      <c r="G456" s="282" t="s">
        <v>4833</v>
      </c>
      <c r="H456" s="282" t="s">
        <v>4913</v>
      </c>
      <c r="I456" s="282">
        <v>3.98</v>
      </c>
      <c r="J456" s="282" t="s">
        <v>4834</v>
      </c>
      <c r="K456" s="282">
        <v>3.23</v>
      </c>
      <c r="L456" s="282" t="s">
        <v>4835</v>
      </c>
      <c r="M456" s="283">
        <f t="shared" si="14"/>
        <v>0.18844221105527639</v>
      </c>
      <c r="N456" s="282">
        <v>1720</v>
      </c>
      <c r="O456" s="282">
        <v>3</v>
      </c>
      <c r="P456" s="282">
        <v>1994</v>
      </c>
      <c r="Q456" s="282">
        <f>2023-Table28[[#This Row],[year_built]]</f>
        <v>29</v>
      </c>
      <c r="R456" s="282">
        <v>1535</v>
      </c>
      <c r="S456" s="282" t="s">
        <v>4932</v>
      </c>
      <c r="T456" s="282" t="s">
        <v>4906</v>
      </c>
      <c r="U456" s="282">
        <v>2018</v>
      </c>
      <c r="V456" s="284">
        <f t="shared" si="15"/>
        <v>0.89244186046511631</v>
      </c>
      <c r="W456" s="292">
        <f>Table28[[#This Row],[$/sqft]]/INDEX(CPI!$A$3:$C$31,MATCH(Table28[[#This Row],[start_year]],CPI!$A$3:$A$31,0),3)</f>
        <v>1.0808107119372437</v>
      </c>
      <c r="X456" s="282"/>
      <c r="Y456" s="282" t="s">
        <v>4917</v>
      </c>
      <c r="Z456" s="282" t="s">
        <v>4907</v>
      </c>
      <c r="AA456" s="282">
        <v>18.844221109999999</v>
      </c>
      <c r="AB456" s="55" t="s">
        <v>72</v>
      </c>
      <c r="AC456" t="s">
        <v>71</v>
      </c>
    </row>
    <row r="457" spans="1:29" x14ac:dyDescent="0.2">
      <c r="A457" s="282">
        <v>5192</v>
      </c>
      <c r="B457" s="282">
        <v>13162</v>
      </c>
      <c r="C457" s="282" t="s">
        <v>3410</v>
      </c>
      <c r="D457" s="282" t="str">
        <f>IF(Table28[[#This Row],[% Leakage Reduction (Calculated)]]&gt;0.4, "Greater than 40% Air Reduction", "Less than 40% Air Reduction")</f>
        <v>Greater than 40% Air Reduction</v>
      </c>
      <c r="E457" s="282" t="s">
        <v>4831</v>
      </c>
      <c r="F457" s="282" t="s">
        <v>4832</v>
      </c>
      <c r="G457" s="282" t="s">
        <v>4833</v>
      </c>
      <c r="H457" s="282" t="s">
        <v>4972</v>
      </c>
      <c r="I457" s="282">
        <v>2890</v>
      </c>
      <c r="J457" s="282" t="s">
        <v>4852</v>
      </c>
      <c r="K457" s="282">
        <v>1724</v>
      </c>
      <c r="L457" s="282" t="s">
        <v>4853</v>
      </c>
      <c r="M457" s="283">
        <f t="shared" si="14"/>
        <v>0.40346020761245677</v>
      </c>
      <c r="N457" s="282">
        <v>840</v>
      </c>
      <c r="O457" s="282"/>
      <c r="P457" s="282">
        <v>1989</v>
      </c>
      <c r="Q457" s="282">
        <f>2023-Table28[[#This Row],[year_built]]</f>
        <v>34</v>
      </c>
      <c r="R457" s="282">
        <v>731.75</v>
      </c>
      <c r="S457" s="282" t="s">
        <v>4900</v>
      </c>
      <c r="T457" s="282" t="s">
        <v>4979</v>
      </c>
      <c r="U457" s="282">
        <v>2017</v>
      </c>
      <c r="V457" s="284">
        <f t="shared" si="15"/>
        <v>0.87113095238095239</v>
      </c>
      <c r="W457" s="292">
        <f>Table28[[#This Row],[$/sqft]]/INDEX(CPI!$A$3:$C$31,MATCH(Table28[[#This Row],[start_year]],CPI!$A$3:$A$31,0),3)</f>
        <v>1.0808279176623732</v>
      </c>
      <c r="X457" s="282" t="s">
        <v>4844</v>
      </c>
      <c r="Y457" s="282"/>
      <c r="Z457" s="282" t="s">
        <v>4840</v>
      </c>
      <c r="AA457" s="282">
        <v>40.346020760000002</v>
      </c>
      <c r="AB457" s="55" t="s">
        <v>72</v>
      </c>
      <c r="AC457" t="s">
        <v>71</v>
      </c>
    </row>
    <row r="458" spans="1:29" x14ac:dyDescent="0.2">
      <c r="A458" s="282">
        <v>5074</v>
      </c>
      <c r="B458" s="282">
        <v>12452</v>
      </c>
      <c r="C458" s="282" t="s">
        <v>3410</v>
      </c>
      <c r="D458" s="282" t="str">
        <f>IF(Table28[[#This Row],[% Leakage Reduction (Calculated)]]&gt;0.4, "Greater than 40% Air Reduction", "Less than 40% Air Reduction")</f>
        <v>Less than 40% Air Reduction</v>
      </c>
      <c r="E458" s="282" t="s">
        <v>4831</v>
      </c>
      <c r="F458" s="282" t="s">
        <v>4832</v>
      </c>
      <c r="G458" s="282" t="s">
        <v>4833</v>
      </c>
      <c r="H458" s="282" t="s">
        <v>4838</v>
      </c>
      <c r="I458" s="282">
        <v>4345</v>
      </c>
      <c r="J458" s="282" t="s">
        <v>4852</v>
      </c>
      <c r="K458" s="282">
        <v>3223</v>
      </c>
      <c r="L458" s="282" t="s">
        <v>4853</v>
      </c>
      <c r="M458" s="283">
        <f t="shared" si="14"/>
        <v>0.25822784810126581</v>
      </c>
      <c r="N458" s="282">
        <v>1100</v>
      </c>
      <c r="O458" s="282"/>
      <c r="P458" s="282">
        <v>1980</v>
      </c>
      <c r="Q458" s="282">
        <f>2023-Table28[[#This Row],[year_built]]</f>
        <v>43</v>
      </c>
      <c r="R458" s="282">
        <v>988.38</v>
      </c>
      <c r="S458" s="282" t="s">
        <v>4990</v>
      </c>
      <c r="T458" s="282" t="s">
        <v>4979</v>
      </c>
      <c r="U458" s="282">
        <v>2018</v>
      </c>
      <c r="V458" s="284">
        <f t="shared" si="15"/>
        <v>0.89852727272727273</v>
      </c>
      <c r="W458" s="292">
        <f>Table28[[#This Row],[$/sqft]]/INDEX(CPI!$A$3:$C$31,MATCH(Table28[[#This Row],[start_year]],CPI!$A$3:$A$31,0),3)</f>
        <v>1.0881805799934834</v>
      </c>
      <c r="X458" s="282" t="s">
        <v>1241</v>
      </c>
      <c r="Y458" s="282"/>
      <c r="Z458" s="282" t="s">
        <v>4840</v>
      </c>
      <c r="AA458" s="282">
        <v>25.822784810000002</v>
      </c>
      <c r="AB458" s="55" t="s">
        <v>72</v>
      </c>
      <c r="AC458" t="s">
        <v>71</v>
      </c>
    </row>
    <row r="459" spans="1:29" x14ac:dyDescent="0.2">
      <c r="A459" s="282">
        <v>3101</v>
      </c>
      <c r="B459" s="282">
        <v>9452</v>
      </c>
      <c r="C459" s="282" t="s">
        <v>3410</v>
      </c>
      <c r="D459" s="282" t="str">
        <f>IF(Table28[[#This Row],[% Leakage Reduction (Calculated)]]&gt;0.4, "Greater than 40% Air Reduction", "Less than 40% Air Reduction")</f>
        <v>Greater than 40% Air Reduction</v>
      </c>
      <c r="E459" s="282" t="s">
        <v>4831</v>
      </c>
      <c r="F459" s="282" t="s">
        <v>4832</v>
      </c>
      <c r="G459" s="282" t="s">
        <v>4833</v>
      </c>
      <c r="H459" s="282" t="s">
        <v>4838</v>
      </c>
      <c r="I459" s="282">
        <v>22.84</v>
      </c>
      <c r="J459" s="282" t="s">
        <v>4834</v>
      </c>
      <c r="K459" s="282">
        <v>9.77</v>
      </c>
      <c r="L459" s="282" t="s">
        <v>4835</v>
      </c>
      <c r="M459" s="283">
        <f t="shared" si="14"/>
        <v>0.57224168126094577</v>
      </c>
      <c r="N459" s="282">
        <v>1296</v>
      </c>
      <c r="O459" s="282">
        <v>1</v>
      </c>
      <c r="P459" s="282">
        <v>1958</v>
      </c>
      <c r="Q459" s="282">
        <f>2023-Table28[[#This Row],[year_built]]</f>
        <v>65</v>
      </c>
      <c r="R459" s="282">
        <v>1200</v>
      </c>
      <c r="S459" s="282" t="s">
        <v>4945</v>
      </c>
      <c r="T459" s="282" t="s">
        <v>4906</v>
      </c>
      <c r="U459" s="282">
        <v>2019</v>
      </c>
      <c r="V459" s="284">
        <f t="shared" si="15"/>
        <v>0.92592592592592593</v>
      </c>
      <c r="W459" s="292">
        <f>Table28[[#This Row],[$/sqft]]/INDEX(CPI!$A$3:$C$31,MATCH(Table28[[#This Row],[start_year]],CPI!$A$3:$A$31,0),3)</f>
        <v>1.1011891829255929</v>
      </c>
      <c r="X459" s="282"/>
      <c r="Y459" s="282" t="s">
        <v>217</v>
      </c>
      <c r="Z459" s="282" t="s">
        <v>4907</v>
      </c>
      <c r="AA459" s="282">
        <v>57.224168130000002</v>
      </c>
      <c r="AB459" s="55" t="s">
        <v>72</v>
      </c>
      <c r="AC459" t="s">
        <v>71</v>
      </c>
    </row>
    <row r="460" spans="1:29" x14ac:dyDescent="0.2">
      <c r="A460" s="282">
        <v>3250</v>
      </c>
      <c r="B460" s="282">
        <v>9932</v>
      </c>
      <c r="C460" s="282" t="s">
        <v>3410</v>
      </c>
      <c r="D460" s="282" t="str">
        <f>IF(Table28[[#This Row],[% Leakage Reduction (Calculated)]]&gt;0.4, "Greater than 40% Air Reduction", "Less than 40% Air Reduction")</f>
        <v>Less than 40% Air Reduction</v>
      </c>
      <c r="E460" s="282" t="s">
        <v>4831</v>
      </c>
      <c r="F460" s="282" t="s">
        <v>4832</v>
      </c>
      <c r="G460" s="282" t="s">
        <v>4833</v>
      </c>
      <c r="H460" s="282" t="s">
        <v>4838</v>
      </c>
      <c r="I460" s="282">
        <v>22.27</v>
      </c>
      <c r="J460" s="282" t="s">
        <v>4834</v>
      </c>
      <c r="K460" s="282">
        <v>13.94</v>
      </c>
      <c r="L460" s="282" t="s">
        <v>4835</v>
      </c>
      <c r="M460" s="283">
        <f t="shared" si="14"/>
        <v>0.37404580152671757</v>
      </c>
      <c r="N460" s="282">
        <v>1080</v>
      </c>
      <c r="O460" s="282">
        <v>1</v>
      </c>
      <c r="P460" s="282">
        <v>1927</v>
      </c>
      <c r="Q460" s="282">
        <f>2023-Table28[[#This Row],[year_built]]</f>
        <v>96</v>
      </c>
      <c r="R460" s="282">
        <v>1000</v>
      </c>
      <c r="S460" s="282" t="s">
        <v>4944</v>
      </c>
      <c r="T460" s="282" t="s">
        <v>4906</v>
      </c>
      <c r="U460" s="282">
        <v>2019</v>
      </c>
      <c r="V460" s="284">
        <f t="shared" si="15"/>
        <v>0.92592592592592593</v>
      </c>
      <c r="W460" s="292">
        <f>Table28[[#This Row],[$/sqft]]/INDEX(CPI!$A$3:$C$31,MATCH(Table28[[#This Row],[start_year]],CPI!$A$3:$A$31,0),3)</f>
        <v>1.1011891829255929</v>
      </c>
      <c r="X460" s="282"/>
      <c r="Y460" s="282" t="s">
        <v>217</v>
      </c>
      <c r="Z460" s="282" t="s">
        <v>4907</v>
      </c>
      <c r="AA460" s="282">
        <v>37.404580150000001</v>
      </c>
      <c r="AB460" s="55" t="s">
        <v>72</v>
      </c>
      <c r="AC460" t="s">
        <v>71</v>
      </c>
    </row>
    <row r="461" spans="1:29" x14ac:dyDescent="0.2">
      <c r="A461" s="282">
        <v>3318</v>
      </c>
      <c r="B461" s="282">
        <v>10141</v>
      </c>
      <c r="C461" s="282" t="s">
        <v>3410</v>
      </c>
      <c r="D461" s="282" t="str">
        <f>IF(Table28[[#This Row],[% Leakage Reduction (Calculated)]]&gt;0.4, "Greater than 40% Air Reduction", "Less than 40% Air Reduction")</f>
        <v>Greater than 40% Air Reduction</v>
      </c>
      <c r="E461" s="282" t="s">
        <v>4831</v>
      </c>
      <c r="F461" s="282" t="s">
        <v>4832</v>
      </c>
      <c r="G461" s="282" t="s">
        <v>4833</v>
      </c>
      <c r="H461" s="282" t="s">
        <v>4838</v>
      </c>
      <c r="I461" s="282">
        <v>23.04</v>
      </c>
      <c r="J461" s="282" t="s">
        <v>4834</v>
      </c>
      <c r="K461" s="282">
        <v>10.08</v>
      </c>
      <c r="L461" s="282" t="s">
        <v>4835</v>
      </c>
      <c r="M461" s="283">
        <f t="shared" si="14"/>
        <v>0.5625</v>
      </c>
      <c r="N461" s="282">
        <v>1260</v>
      </c>
      <c r="O461" s="282">
        <v>1</v>
      </c>
      <c r="P461" s="282">
        <v>1957</v>
      </c>
      <c r="Q461" s="282">
        <f>2023-Table28[[#This Row],[year_built]]</f>
        <v>66</v>
      </c>
      <c r="R461" s="282">
        <v>1195</v>
      </c>
      <c r="S461" s="282" t="s">
        <v>4963</v>
      </c>
      <c r="T461" s="282" t="s">
        <v>4906</v>
      </c>
      <c r="U461" s="282">
        <v>2020</v>
      </c>
      <c r="V461" s="284">
        <f t="shared" si="15"/>
        <v>0.94841269841269837</v>
      </c>
      <c r="W461" s="292">
        <f>Table28[[#This Row],[$/sqft]]/INDEX(CPI!$A$3:$C$31,MATCH(Table28[[#This Row],[start_year]],CPI!$A$3:$A$31,0),3)</f>
        <v>1.1144215671843183</v>
      </c>
      <c r="X461" s="282"/>
      <c r="Y461" s="282" t="s">
        <v>217</v>
      </c>
      <c r="Z461" s="282" t="s">
        <v>4907</v>
      </c>
      <c r="AA461" s="282">
        <v>56.25</v>
      </c>
      <c r="AB461" s="55" t="s">
        <v>72</v>
      </c>
      <c r="AC461" t="s">
        <v>71</v>
      </c>
    </row>
    <row r="462" spans="1:29" x14ac:dyDescent="0.2">
      <c r="A462" s="282">
        <v>1232</v>
      </c>
      <c r="B462" s="282">
        <v>3056</v>
      </c>
      <c r="C462" s="282" t="s">
        <v>3410</v>
      </c>
      <c r="D462" s="282" t="str">
        <f>IF(Table28[[#This Row],[% Leakage Reduction (Calculated)]]&gt;0.4, "Greater than 40% Air Reduction", "Less than 40% Air Reduction")</f>
        <v>Greater than 40% Air Reduction</v>
      </c>
      <c r="E462" s="282" t="s">
        <v>4831</v>
      </c>
      <c r="F462" s="282" t="s">
        <v>4832</v>
      </c>
      <c r="G462" s="282" t="s">
        <v>4833</v>
      </c>
      <c r="H462" s="282" t="s">
        <v>4838</v>
      </c>
      <c r="I462" s="282">
        <v>22</v>
      </c>
      <c r="J462" s="282" t="s">
        <v>4834</v>
      </c>
      <c r="K462" s="282">
        <v>7.4</v>
      </c>
      <c r="L462" s="282" t="s">
        <v>4835</v>
      </c>
      <c r="M462" s="283">
        <f t="shared" si="14"/>
        <v>0.66363636363636358</v>
      </c>
      <c r="N462" s="282">
        <v>1166</v>
      </c>
      <c r="O462" s="282">
        <v>1</v>
      </c>
      <c r="P462" s="282">
        <v>1973</v>
      </c>
      <c r="Q462" s="282">
        <f>2023-Table28[[#This Row],[year_built]]</f>
        <v>50</v>
      </c>
      <c r="R462" s="282">
        <v>1000</v>
      </c>
      <c r="S462" s="282" t="s">
        <v>4841</v>
      </c>
      <c r="T462" s="282" t="s">
        <v>4837</v>
      </c>
      <c r="U462" s="282">
        <v>2011</v>
      </c>
      <c r="V462" s="284">
        <f t="shared" si="15"/>
        <v>0.85763293310463118</v>
      </c>
      <c r="W462" s="292">
        <f>Table28[[#This Row],[$/sqft]]/INDEX(CPI!$A$3:$C$31,MATCH(Table28[[#This Row],[start_year]],CPI!$A$3:$A$31,0),3)</f>
        <v>1.1594528959278665</v>
      </c>
      <c r="X462" s="282" t="s">
        <v>56</v>
      </c>
      <c r="Y462" s="282" t="s">
        <v>4839</v>
      </c>
      <c r="Z462" s="282" t="s">
        <v>4840</v>
      </c>
      <c r="AA462" s="282">
        <v>66.363636360000001</v>
      </c>
      <c r="AB462" s="55" t="s">
        <v>72</v>
      </c>
      <c r="AC462" t="s">
        <v>71</v>
      </c>
    </row>
    <row r="463" spans="1:29" x14ac:dyDescent="0.2">
      <c r="A463" s="282">
        <v>5245</v>
      </c>
      <c r="B463" s="282">
        <v>13448</v>
      </c>
      <c r="C463" s="282" t="s">
        <v>3410</v>
      </c>
      <c r="D463" s="282" t="str">
        <f>IF(Table28[[#This Row],[% Leakage Reduction (Calculated)]]&gt;0.4, "Greater than 40% Air Reduction", "Less than 40% Air Reduction")</f>
        <v>Less than 40% Air Reduction</v>
      </c>
      <c r="E463" s="282" t="s">
        <v>4831</v>
      </c>
      <c r="F463" s="282" t="s">
        <v>4832</v>
      </c>
      <c r="G463" s="282" t="s">
        <v>4833</v>
      </c>
      <c r="H463" s="282" t="s">
        <v>4838</v>
      </c>
      <c r="I463" s="282">
        <v>5992</v>
      </c>
      <c r="J463" s="282" t="s">
        <v>4852</v>
      </c>
      <c r="K463" s="282">
        <v>3711</v>
      </c>
      <c r="L463" s="282" t="s">
        <v>4853</v>
      </c>
      <c r="M463" s="283">
        <f t="shared" si="14"/>
        <v>0.38067423230974634</v>
      </c>
      <c r="N463" s="282">
        <v>1470</v>
      </c>
      <c r="O463" s="282"/>
      <c r="P463" s="282">
        <v>1970</v>
      </c>
      <c r="Q463" s="282">
        <f>2023-Table28[[#This Row],[year_built]]</f>
        <v>53</v>
      </c>
      <c r="R463" s="282">
        <v>2534.7600000000002</v>
      </c>
      <c r="S463" s="282" t="s">
        <v>4984</v>
      </c>
      <c r="T463" s="282" t="s">
        <v>4979</v>
      </c>
      <c r="U463" s="282">
        <v>2017</v>
      </c>
      <c r="V463" s="284">
        <f t="shared" si="15"/>
        <v>1.7243265306122451</v>
      </c>
      <c r="W463" s="292">
        <f>Table28[[#This Row],[$/sqft]]/INDEX(CPI!$A$3:$C$31,MATCH(Table28[[#This Row],[start_year]],CPI!$A$3:$A$31,0),3)</f>
        <v>2.1394030924487302</v>
      </c>
      <c r="X463" s="282" t="s">
        <v>1241</v>
      </c>
      <c r="Y463" s="282"/>
      <c r="Z463" s="282" t="s">
        <v>4840</v>
      </c>
      <c r="AA463" s="282">
        <v>38.067423230000003</v>
      </c>
      <c r="AB463" s="55" t="s">
        <v>71</v>
      </c>
      <c r="AC463" t="s">
        <v>72</v>
      </c>
    </row>
    <row r="464" spans="1:29" x14ac:dyDescent="0.2">
      <c r="A464" s="282">
        <v>1285</v>
      </c>
      <c r="B464" s="282">
        <v>3647</v>
      </c>
      <c r="C464" s="282" t="s">
        <v>3410</v>
      </c>
      <c r="D464" s="282" t="str">
        <f>IF(Table28[[#This Row],[% Leakage Reduction (Calculated)]]&gt;0.4, "Greater than 40% Air Reduction", "Less than 40% Air Reduction")</f>
        <v>Greater than 40% Air Reduction</v>
      </c>
      <c r="E464" s="282" t="s">
        <v>4831</v>
      </c>
      <c r="F464" s="282" t="s">
        <v>4832</v>
      </c>
      <c r="G464" s="282" t="s">
        <v>4833</v>
      </c>
      <c r="H464" s="282" t="s">
        <v>4838</v>
      </c>
      <c r="I464" s="282">
        <v>3450</v>
      </c>
      <c r="J464" s="282" t="s">
        <v>4852</v>
      </c>
      <c r="K464" s="282">
        <v>2050</v>
      </c>
      <c r="L464" s="282" t="s">
        <v>4853</v>
      </c>
      <c r="M464" s="283">
        <f t="shared" si="14"/>
        <v>0.40579710144927539</v>
      </c>
      <c r="N464" s="282">
        <v>1908</v>
      </c>
      <c r="O464" s="282">
        <v>1</v>
      </c>
      <c r="P464" s="282">
        <v>1890</v>
      </c>
      <c r="Q464" s="282">
        <f>2023-Table28[[#This Row],[year_built]]</f>
        <v>133</v>
      </c>
      <c r="R464" s="282">
        <v>1800</v>
      </c>
      <c r="S464" s="282" t="s">
        <v>4858</v>
      </c>
      <c r="T464" s="282" t="s">
        <v>4859</v>
      </c>
      <c r="U464" s="282">
        <v>2017</v>
      </c>
      <c r="V464" s="284">
        <f t="shared" si="15"/>
        <v>0.94339622641509435</v>
      </c>
      <c r="W464" s="292">
        <f>Table28[[#This Row],[$/sqft]]/INDEX(CPI!$A$3:$C$31,MATCH(Table28[[#This Row],[start_year]],CPI!$A$3:$A$31,0),3)</f>
        <v>1.1704887492975529</v>
      </c>
      <c r="X464" s="282" t="s">
        <v>4844</v>
      </c>
      <c r="Y464" s="282" t="s">
        <v>217</v>
      </c>
      <c r="Z464" s="282" t="s">
        <v>4840</v>
      </c>
      <c r="AA464" s="282">
        <v>40.579710140000003</v>
      </c>
      <c r="AB464" s="55" t="s">
        <v>72</v>
      </c>
      <c r="AC464" t="s">
        <v>71</v>
      </c>
    </row>
    <row r="465" spans="1:29" x14ac:dyDescent="0.2">
      <c r="A465" s="282">
        <v>1294</v>
      </c>
      <c r="B465" s="282">
        <v>3753</v>
      </c>
      <c r="C465" s="282" t="s">
        <v>3410</v>
      </c>
      <c r="D465" s="282" t="str">
        <f>IF(Table28[[#This Row],[% Leakage Reduction (Calculated)]]&gt;0.4, "Greater than 40% Air Reduction", "Less than 40% Air Reduction")</f>
        <v>Greater than 40% Air Reduction</v>
      </c>
      <c r="E465" s="282" t="s">
        <v>4831</v>
      </c>
      <c r="F465" s="282" t="s">
        <v>4832</v>
      </c>
      <c r="G465" s="282" t="s">
        <v>4833</v>
      </c>
      <c r="H465" s="282" t="s">
        <v>4838</v>
      </c>
      <c r="I465" s="282">
        <v>1321</v>
      </c>
      <c r="J465" s="282" t="s">
        <v>4852</v>
      </c>
      <c r="K465" s="282">
        <v>780</v>
      </c>
      <c r="L465" s="282" t="s">
        <v>4853</v>
      </c>
      <c r="M465" s="283">
        <f t="shared" si="14"/>
        <v>0.40953822861468586</v>
      </c>
      <c r="N465" s="282">
        <v>1056</v>
      </c>
      <c r="O465" s="282">
        <v>1</v>
      </c>
      <c r="P465" s="282">
        <v>1850</v>
      </c>
      <c r="Q465" s="282">
        <f>2023-Table28[[#This Row],[year_built]]</f>
        <v>173</v>
      </c>
      <c r="R465" s="282">
        <v>980</v>
      </c>
      <c r="S465" s="282" t="s">
        <v>4868</v>
      </c>
      <c r="T465" s="282" t="s">
        <v>4859</v>
      </c>
      <c r="U465" s="282">
        <v>2016</v>
      </c>
      <c r="V465" s="284">
        <f t="shared" si="15"/>
        <v>0.92803030303030298</v>
      </c>
      <c r="W465" s="292">
        <f>Table28[[#This Row],[$/sqft]]/INDEX(CPI!$A$3:$C$31,MATCH(Table28[[#This Row],[start_year]],CPI!$A$3:$A$31,0),3)</f>
        <v>1.1758574339561561</v>
      </c>
      <c r="X465" s="282" t="s">
        <v>4844</v>
      </c>
      <c r="Y465" s="282" t="s">
        <v>217</v>
      </c>
      <c r="Z465" s="282" t="s">
        <v>4861</v>
      </c>
      <c r="AA465" s="282">
        <v>40.953822860000002</v>
      </c>
      <c r="AB465" s="55" t="s">
        <v>72</v>
      </c>
      <c r="AC465" t="s">
        <v>72</v>
      </c>
    </row>
    <row r="466" spans="1:29" x14ac:dyDescent="0.2">
      <c r="A466" s="282">
        <v>3102</v>
      </c>
      <c r="B466" s="282">
        <v>9457</v>
      </c>
      <c r="C466" s="282" t="s">
        <v>3410</v>
      </c>
      <c r="D466" s="282" t="str">
        <f>IF(Table28[[#This Row],[% Leakage Reduction (Calculated)]]&gt;0.4, "Greater than 40% Air Reduction", "Less than 40% Air Reduction")</f>
        <v>Greater than 40% Air Reduction</v>
      </c>
      <c r="E466" s="282" t="s">
        <v>4831</v>
      </c>
      <c r="F466" s="282" t="s">
        <v>4832</v>
      </c>
      <c r="G466" s="282" t="s">
        <v>4833</v>
      </c>
      <c r="H466" s="282" t="s">
        <v>4838</v>
      </c>
      <c r="I466" s="282">
        <v>21.26</v>
      </c>
      <c r="J466" s="282" t="s">
        <v>4834</v>
      </c>
      <c r="K466" s="282">
        <v>10.87</v>
      </c>
      <c r="L466" s="282" t="s">
        <v>4835</v>
      </c>
      <c r="M466" s="283">
        <f t="shared" si="14"/>
        <v>0.48871119473189095</v>
      </c>
      <c r="N466" s="282">
        <v>1008</v>
      </c>
      <c r="O466" s="282">
        <v>1</v>
      </c>
      <c r="P466" s="282">
        <v>1960</v>
      </c>
      <c r="Q466" s="282">
        <f>2023-Table28[[#This Row],[year_built]]</f>
        <v>63</v>
      </c>
      <c r="R466" s="282">
        <v>1000</v>
      </c>
      <c r="S466" s="282" t="s">
        <v>4909</v>
      </c>
      <c r="T466" s="282" t="s">
        <v>4906</v>
      </c>
      <c r="U466" s="282">
        <v>2019</v>
      </c>
      <c r="V466" s="284">
        <f t="shared" si="15"/>
        <v>0.99206349206349209</v>
      </c>
      <c r="W466" s="292">
        <f>Table28[[#This Row],[$/sqft]]/INDEX(CPI!$A$3:$C$31,MATCH(Table28[[#This Row],[start_year]],CPI!$A$3:$A$31,0),3)</f>
        <v>1.1798455531345637</v>
      </c>
      <c r="X466" s="282"/>
      <c r="Y466" s="282" t="s">
        <v>217</v>
      </c>
      <c r="Z466" s="282" t="s">
        <v>4907</v>
      </c>
      <c r="AA466" s="282">
        <v>48.871119469999996</v>
      </c>
      <c r="AB466" s="55" t="s">
        <v>72</v>
      </c>
      <c r="AC466" t="s">
        <v>71</v>
      </c>
    </row>
    <row r="467" spans="1:29" x14ac:dyDescent="0.2">
      <c r="A467" s="282">
        <v>5000</v>
      </c>
      <c r="B467" s="282">
        <v>12000</v>
      </c>
      <c r="C467" s="282" t="s">
        <v>3410</v>
      </c>
      <c r="D467" s="282" t="str">
        <f>IF(Table28[[#This Row],[% Leakage Reduction (Calculated)]]&gt;0.4, "Greater than 40% Air Reduction", "Less than 40% Air Reduction")</f>
        <v>Greater than 40% Air Reduction</v>
      </c>
      <c r="E467" s="282" t="s">
        <v>4831</v>
      </c>
      <c r="F467" s="282" t="s">
        <v>4832</v>
      </c>
      <c r="G467" s="282" t="s">
        <v>4833</v>
      </c>
      <c r="H467" s="282" t="s">
        <v>4972</v>
      </c>
      <c r="I467" s="282">
        <v>2766</v>
      </c>
      <c r="J467" s="282" t="s">
        <v>4852</v>
      </c>
      <c r="K467" s="282">
        <v>1400</v>
      </c>
      <c r="L467" s="282" t="s">
        <v>4853</v>
      </c>
      <c r="M467" s="283">
        <f t="shared" si="14"/>
        <v>0.4938539407086045</v>
      </c>
      <c r="N467" s="282">
        <v>988</v>
      </c>
      <c r="O467" s="282"/>
      <c r="P467" s="282">
        <v>1996</v>
      </c>
      <c r="Q467" s="282">
        <f>2023-Table28[[#This Row],[year_built]]</f>
        <v>27</v>
      </c>
      <c r="R467" s="282">
        <v>949</v>
      </c>
      <c r="S467" s="282" t="s">
        <v>4978</v>
      </c>
      <c r="T467" s="282" t="s">
        <v>4979</v>
      </c>
      <c r="U467" s="282">
        <v>2017</v>
      </c>
      <c r="V467" s="284">
        <f t="shared" si="15"/>
        <v>0.96052631578947367</v>
      </c>
      <c r="W467" s="292">
        <f>Table28[[#This Row],[$/sqft]]/INDEX(CPI!$A$3:$C$31,MATCH(Table28[[#This Row],[start_year]],CPI!$A$3:$A$31,0),3)</f>
        <v>1.1917423607979558</v>
      </c>
      <c r="X467" s="282" t="s">
        <v>1241</v>
      </c>
      <c r="Y467" s="282"/>
      <c r="Z467" s="282" t="s">
        <v>4840</v>
      </c>
      <c r="AA467" s="282">
        <v>49.385394069999997</v>
      </c>
      <c r="AB467" s="55" t="s">
        <v>72</v>
      </c>
      <c r="AC467" t="s">
        <v>71</v>
      </c>
    </row>
    <row r="468" spans="1:29" x14ac:dyDescent="0.2">
      <c r="A468" s="282">
        <v>2226</v>
      </c>
      <c r="B468" s="282">
        <v>5894</v>
      </c>
      <c r="C468" s="282" t="s">
        <v>3410</v>
      </c>
      <c r="D468" s="282" t="str">
        <f>IF(Table28[[#This Row],[% Leakage Reduction (Calculated)]]&gt;0.4, "Greater than 40% Air Reduction", "Less than 40% Air Reduction")</f>
        <v>Greater than 40% Air Reduction</v>
      </c>
      <c r="E468" s="282" t="s">
        <v>4831</v>
      </c>
      <c r="F468" s="282" t="s">
        <v>4832</v>
      </c>
      <c r="G468" s="282" t="s">
        <v>4833</v>
      </c>
      <c r="H468" s="282"/>
      <c r="I468" s="282">
        <v>2352</v>
      </c>
      <c r="J468" s="282" t="s">
        <v>4853</v>
      </c>
      <c r="K468" s="282">
        <v>3385</v>
      </c>
      <c r="L468" s="282" t="s">
        <v>4852</v>
      </c>
      <c r="M468" s="283">
        <f t="shared" si="14"/>
        <v>0.43920068027210885</v>
      </c>
      <c r="N468" s="282">
        <v>1704</v>
      </c>
      <c r="O468" s="282"/>
      <c r="P468" s="282">
        <v>1975</v>
      </c>
      <c r="Q468" s="282">
        <f>2023-Table28[[#This Row],[year_built]]</f>
        <v>48</v>
      </c>
      <c r="R468" s="282">
        <v>1746</v>
      </c>
      <c r="S468" s="282" t="s">
        <v>4895</v>
      </c>
      <c r="T468" s="282" t="s">
        <v>4857</v>
      </c>
      <c r="U468" s="282">
        <v>2020</v>
      </c>
      <c r="V468" s="284">
        <f t="shared" si="15"/>
        <v>1.0246478873239437</v>
      </c>
      <c r="W468" s="292">
        <f>Table28[[#This Row],[$/sqft]]/INDEX(CPI!$A$3:$C$31,MATCH(Table28[[#This Row],[start_year]],CPI!$A$3:$A$31,0),3)</f>
        <v>1.204000859873305</v>
      </c>
      <c r="X468" s="282"/>
      <c r="Y468" s="282"/>
      <c r="Z468" s="282" t="s">
        <v>4840</v>
      </c>
      <c r="AA468" s="282">
        <v>30.516986710000001</v>
      </c>
      <c r="AB468" s="55" t="s">
        <v>72</v>
      </c>
      <c r="AC468" t="s">
        <v>71</v>
      </c>
    </row>
    <row r="469" spans="1:29" x14ac:dyDescent="0.2">
      <c r="A469" s="282">
        <v>5029</v>
      </c>
      <c r="B469" s="282">
        <v>12180</v>
      </c>
      <c r="C469" s="282" t="s">
        <v>3410</v>
      </c>
      <c r="D469" s="282" t="str">
        <f>IF(Table28[[#This Row],[% Leakage Reduction (Calculated)]]&gt;0.4, "Greater than 40% Air Reduction", "Less than 40% Air Reduction")</f>
        <v>Greater than 40% Air Reduction</v>
      </c>
      <c r="E469" s="282" t="s">
        <v>4831</v>
      </c>
      <c r="F469" s="282" t="s">
        <v>4832</v>
      </c>
      <c r="G469" s="282" t="s">
        <v>4833</v>
      </c>
      <c r="H469" s="282" t="s">
        <v>4838</v>
      </c>
      <c r="I469" s="282">
        <v>2753</v>
      </c>
      <c r="J469" s="282" t="s">
        <v>4852</v>
      </c>
      <c r="K469" s="282">
        <v>1501</v>
      </c>
      <c r="L469" s="282" t="s">
        <v>4853</v>
      </c>
      <c r="M469" s="283">
        <f t="shared" si="14"/>
        <v>0.45477660733745007</v>
      </c>
      <c r="N469" s="282">
        <v>1188</v>
      </c>
      <c r="O469" s="282"/>
      <c r="P469" s="282">
        <v>1995</v>
      </c>
      <c r="Q469" s="282">
        <f>2023-Table28[[#This Row],[year_built]]</f>
        <v>28</v>
      </c>
      <c r="R469" s="282">
        <v>1179.9000000000001</v>
      </c>
      <c r="S469" s="282" t="s">
        <v>4980</v>
      </c>
      <c r="T469" s="282" t="s">
        <v>4979</v>
      </c>
      <c r="U469" s="282">
        <v>2017</v>
      </c>
      <c r="V469" s="284">
        <f t="shared" si="15"/>
        <v>0.99318181818181828</v>
      </c>
      <c r="W469" s="292">
        <f>Table28[[#This Row],[$/sqft]]/INDEX(CPI!$A$3:$C$31,MATCH(Table28[[#This Row],[start_year]],CPI!$A$3:$A$31,0),3)</f>
        <v>1.2322586328400285</v>
      </c>
      <c r="X469" s="282" t="s">
        <v>4844</v>
      </c>
      <c r="Y469" s="282"/>
      <c r="Z469" s="282" t="s">
        <v>4840</v>
      </c>
      <c r="AA469" s="282">
        <v>45.477660729999997</v>
      </c>
      <c r="AB469" s="55" t="s">
        <v>72</v>
      </c>
      <c r="AC469" t="s">
        <v>71</v>
      </c>
    </row>
    <row r="470" spans="1:29" x14ac:dyDescent="0.2">
      <c r="A470" s="282">
        <v>3353</v>
      </c>
      <c r="B470" s="282">
        <v>10231</v>
      </c>
      <c r="C470" s="282" t="s">
        <v>3410</v>
      </c>
      <c r="D470" s="282" t="str">
        <f>IF(Table28[[#This Row],[% Leakage Reduction (Calculated)]]&gt;0.4, "Greater than 40% Air Reduction", "Less than 40% Air Reduction")</f>
        <v>Greater than 40% Air Reduction</v>
      </c>
      <c r="E470" s="282" t="s">
        <v>4831</v>
      </c>
      <c r="F470" s="282" t="s">
        <v>4832</v>
      </c>
      <c r="G470" s="282" t="s">
        <v>4833</v>
      </c>
      <c r="H470" s="282" t="s">
        <v>4838</v>
      </c>
      <c r="I470" s="282">
        <v>49.62</v>
      </c>
      <c r="J470" s="282" t="s">
        <v>4834</v>
      </c>
      <c r="K470" s="282">
        <v>24.91</v>
      </c>
      <c r="L470" s="282" t="s">
        <v>4835</v>
      </c>
      <c r="M470" s="283">
        <f t="shared" si="14"/>
        <v>0.49798468359532444</v>
      </c>
      <c r="N470" s="282">
        <v>936</v>
      </c>
      <c r="O470" s="282">
        <v>1</v>
      </c>
      <c r="P470" s="282">
        <v>1928</v>
      </c>
      <c r="Q470" s="282">
        <f>2023-Table28[[#This Row],[year_built]]</f>
        <v>95</v>
      </c>
      <c r="R470" s="282">
        <v>1000</v>
      </c>
      <c r="S470" s="282" t="s">
        <v>4960</v>
      </c>
      <c r="T470" s="282" t="s">
        <v>4906</v>
      </c>
      <c r="U470" s="282">
        <v>2020</v>
      </c>
      <c r="V470" s="284">
        <f t="shared" si="15"/>
        <v>1.0683760683760684</v>
      </c>
      <c r="W470" s="292">
        <f>Table28[[#This Row],[$/sqft]]/INDEX(CPI!$A$3:$C$31,MATCH(Table28[[#This Row],[start_year]],CPI!$A$3:$A$31,0),3)</f>
        <v>1.2553831622610603</v>
      </c>
      <c r="X470" s="282"/>
      <c r="Y470" s="282" t="s">
        <v>217</v>
      </c>
      <c r="Z470" s="282" t="s">
        <v>4907</v>
      </c>
      <c r="AA470" s="282">
        <v>49.798468360000001</v>
      </c>
      <c r="AB470" s="55" t="s">
        <v>72</v>
      </c>
      <c r="AC470" t="s">
        <v>71</v>
      </c>
    </row>
    <row r="471" spans="1:29" x14ac:dyDescent="0.2">
      <c r="A471" s="282">
        <v>2501</v>
      </c>
      <c r="B471" s="282">
        <v>7391</v>
      </c>
      <c r="C471" s="282" t="s">
        <v>3410</v>
      </c>
      <c r="D471" s="282" t="str">
        <f>IF(Table28[[#This Row],[% Leakage Reduction (Calculated)]]&gt;0.4, "Greater than 40% Air Reduction", "Less than 40% Air Reduction")</f>
        <v>Greater than 40% Air Reduction</v>
      </c>
      <c r="E471" s="282" t="s">
        <v>4831</v>
      </c>
      <c r="F471" s="282" t="s">
        <v>4832</v>
      </c>
      <c r="G471" s="282" t="s">
        <v>4833</v>
      </c>
      <c r="H471" s="282"/>
      <c r="I471" s="282">
        <v>1077</v>
      </c>
      <c r="J471" s="282" t="s">
        <v>4853</v>
      </c>
      <c r="K471" s="282">
        <v>1700</v>
      </c>
      <c r="L471" s="282" t="s">
        <v>4852</v>
      </c>
      <c r="M471" s="283">
        <f t="shared" si="14"/>
        <v>0.57845868152274837</v>
      </c>
      <c r="N471" s="282">
        <v>1292</v>
      </c>
      <c r="O471" s="282">
        <v>1</v>
      </c>
      <c r="P471" s="282">
        <v>1975</v>
      </c>
      <c r="Q471" s="282">
        <f>2023-Table28[[#This Row],[year_built]]</f>
        <v>48</v>
      </c>
      <c r="R471" s="282">
        <v>1408</v>
      </c>
      <c r="S471" s="282" t="s">
        <v>4892</v>
      </c>
      <c r="T471" s="282" t="s">
        <v>4857</v>
      </c>
      <c r="U471" s="282">
        <v>2020</v>
      </c>
      <c r="V471" s="284">
        <f t="shared" si="15"/>
        <v>1.0897832817337461</v>
      </c>
      <c r="W471" s="292">
        <f>Table28[[#This Row],[$/sqft]]/INDEX(CPI!$A$3:$C$31,MATCH(Table28[[#This Row],[start_year]],CPI!$A$3:$A$31,0),3)</f>
        <v>1.2805374651284087</v>
      </c>
      <c r="X471" s="282"/>
      <c r="Y471" s="282"/>
      <c r="Z471" s="282" t="s">
        <v>4840</v>
      </c>
      <c r="AA471" s="282">
        <v>36.647058819999998</v>
      </c>
      <c r="AB471" s="55" t="s">
        <v>72</v>
      </c>
      <c r="AC471" t="s">
        <v>71</v>
      </c>
    </row>
    <row r="472" spans="1:29" x14ac:dyDescent="0.2">
      <c r="A472" s="282">
        <v>2659</v>
      </c>
      <c r="B472" s="282">
        <v>7442</v>
      </c>
      <c r="C472" s="282" t="s">
        <v>3410</v>
      </c>
      <c r="D472" s="282" t="str">
        <f>IF(Table28[[#This Row],[% Leakage Reduction (Calculated)]]&gt;0.4, "Greater than 40% Air Reduction", "Less than 40% Air Reduction")</f>
        <v>Greater than 40% Air Reduction</v>
      </c>
      <c r="E472" s="282" t="s">
        <v>4831</v>
      </c>
      <c r="F472" s="282" t="s">
        <v>4832</v>
      </c>
      <c r="G472" s="282" t="s">
        <v>4833</v>
      </c>
      <c r="H472" s="282"/>
      <c r="I472" s="282">
        <v>770</v>
      </c>
      <c r="J472" s="282" t="s">
        <v>4853</v>
      </c>
      <c r="K472" s="282">
        <v>1482</v>
      </c>
      <c r="L472" s="282" t="s">
        <v>4852</v>
      </c>
      <c r="M472" s="283">
        <f t="shared" si="14"/>
        <v>0.92467532467532465</v>
      </c>
      <c r="N472" s="282">
        <v>1650</v>
      </c>
      <c r="O472" s="282"/>
      <c r="P472" s="282">
        <v>1985</v>
      </c>
      <c r="Q472" s="282">
        <f>2023-Table28[[#This Row],[year_built]]</f>
        <v>38</v>
      </c>
      <c r="R472" s="282">
        <v>1810</v>
      </c>
      <c r="S472" s="282" t="s">
        <v>4903</v>
      </c>
      <c r="T472" s="282" t="s">
        <v>4857</v>
      </c>
      <c r="U472" s="282">
        <v>2020</v>
      </c>
      <c r="V472" s="284">
        <f t="shared" si="15"/>
        <v>1.0969696969696969</v>
      </c>
      <c r="W472" s="292">
        <f>Table28[[#This Row],[$/sqft]]/INDEX(CPI!$A$3:$C$31,MATCH(Table28[[#This Row],[start_year]],CPI!$A$3:$A$31,0),3)</f>
        <v>1.2889817807128472</v>
      </c>
      <c r="X472" s="282"/>
      <c r="Y472" s="282"/>
      <c r="Z472" s="282" t="s">
        <v>4840</v>
      </c>
      <c r="AA472" s="282">
        <v>48.043184889999999</v>
      </c>
      <c r="AB472" s="55" t="s">
        <v>72</v>
      </c>
      <c r="AC472" t="s">
        <v>71</v>
      </c>
    </row>
    <row r="473" spans="1:29" x14ac:dyDescent="0.2">
      <c r="A473" s="282">
        <v>2228</v>
      </c>
      <c r="B473" s="282">
        <v>6495</v>
      </c>
      <c r="C473" s="282" t="s">
        <v>3410</v>
      </c>
      <c r="D473" s="282" t="str">
        <f>IF(Table28[[#This Row],[% Leakage Reduction (Calculated)]]&gt;0.4, "Greater than 40% Air Reduction", "Less than 40% Air Reduction")</f>
        <v>Greater than 40% Air Reduction</v>
      </c>
      <c r="E473" s="282" t="s">
        <v>4831</v>
      </c>
      <c r="F473" s="282" t="s">
        <v>4832</v>
      </c>
      <c r="G473" s="282" t="s">
        <v>4833</v>
      </c>
      <c r="H473" s="282"/>
      <c r="I473" s="282">
        <v>2258</v>
      </c>
      <c r="J473" s="282" t="s">
        <v>4853</v>
      </c>
      <c r="K473" s="282">
        <v>3460</v>
      </c>
      <c r="L473" s="282" t="s">
        <v>4852</v>
      </c>
      <c r="M473" s="283">
        <f t="shared" si="14"/>
        <v>0.5323294951284322</v>
      </c>
      <c r="N473" s="282">
        <v>1750</v>
      </c>
      <c r="O473" s="282">
        <v>1</v>
      </c>
      <c r="P473" s="282">
        <v>1975</v>
      </c>
      <c r="Q473" s="282">
        <f>2023-Table28[[#This Row],[year_built]]</f>
        <v>48</v>
      </c>
      <c r="R473" s="282">
        <v>1926</v>
      </c>
      <c r="S473" s="282" t="s">
        <v>4896</v>
      </c>
      <c r="T473" s="282" t="s">
        <v>4857</v>
      </c>
      <c r="U473" s="282">
        <v>2020</v>
      </c>
      <c r="V473" s="284">
        <f t="shared" si="15"/>
        <v>1.1005714285714285</v>
      </c>
      <c r="W473" s="292">
        <f>Table28[[#This Row],[$/sqft]]/INDEX(CPI!$A$3:$C$31,MATCH(Table28[[#This Row],[start_year]],CPI!$A$3:$A$31,0),3)</f>
        <v>1.2932139545153456</v>
      </c>
      <c r="X473" s="282"/>
      <c r="Y473" s="282"/>
      <c r="Z473" s="282" t="s">
        <v>4840</v>
      </c>
      <c r="AA473" s="282">
        <v>34.73988439</v>
      </c>
      <c r="AB473" s="55" t="s">
        <v>72</v>
      </c>
      <c r="AC473" t="s">
        <v>71</v>
      </c>
    </row>
    <row r="474" spans="1:29" x14ac:dyDescent="0.2">
      <c r="A474" s="282">
        <v>3037</v>
      </c>
      <c r="B474" s="282">
        <v>9181</v>
      </c>
      <c r="C474" s="282" t="s">
        <v>3410</v>
      </c>
      <c r="D474" s="282" t="str">
        <f>IF(Table28[[#This Row],[% Leakage Reduction (Calculated)]]&gt;0.4, "Greater than 40% Air Reduction", "Less than 40% Air Reduction")</f>
        <v>Greater than 40% Air Reduction</v>
      </c>
      <c r="E474" s="282" t="s">
        <v>4831</v>
      </c>
      <c r="F474" s="282" t="s">
        <v>4832</v>
      </c>
      <c r="G474" s="282" t="s">
        <v>4833</v>
      </c>
      <c r="H474" s="282" t="s">
        <v>4838</v>
      </c>
      <c r="I474" s="282">
        <v>35.74</v>
      </c>
      <c r="J474" s="282" t="s">
        <v>4834</v>
      </c>
      <c r="K474" s="282">
        <v>13.12</v>
      </c>
      <c r="L474" s="282" t="s">
        <v>4835</v>
      </c>
      <c r="M474" s="283">
        <f t="shared" si="14"/>
        <v>0.63290430889759386</v>
      </c>
      <c r="N474" s="282">
        <v>988</v>
      </c>
      <c r="O474" s="282">
        <v>1</v>
      </c>
      <c r="P474" s="282">
        <v>1950</v>
      </c>
      <c r="Q474" s="282">
        <f>2023-Table28[[#This Row],[year_built]]</f>
        <v>73</v>
      </c>
      <c r="R474" s="282">
        <v>1081.3</v>
      </c>
      <c r="S474" s="282" t="s">
        <v>4915</v>
      </c>
      <c r="T474" s="282" t="s">
        <v>4906</v>
      </c>
      <c r="U474" s="282">
        <v>2018</v>
      </c>
      <c r="V474" s="284">
        <f t="shared" si="15"/>
        <v>1.0944331983805669</v>
      </c>
      <c r="W474" s="292">
        <f>Table28[[#This Row],[$/sqft]]/INDEX(CPI!$A$3:$C$31,MATCH(Table28[[#This Row],[start_year]],CPI!$A$3:$A$31,0),3)</f>
        <v>1.3254366213760669</v>
      </c>
      <c r="X474" s="282"/>
      <c r="Y474" s="282" t="s">
        <v>217</v>
      </c>
      <c r="Z474" s="282" t="s">
        <v>4907</v>
      </c>
      <c r="AA474" s="282">
        <v>63.290430890000003</v>
      </c>
      <c r="AB474" s="55" t="s">
        <v>72</v>
      </c>
      <c r="AC474" t="s">
        <v>71</v>
      </c>
    </row>
    <row r="475" spans="1:29" x14ac:dyDescent="0.2">
      <c r="A475" s="282">
        <v>2636</v>
      </c>
      <c r="B475" s="282">
        <v>7551</v>
      </c>
      <c r="C475" s="282" t="s">
        <v>3410</v>
      </c>
      <c r="D475" s="282" t="str">
        <f>IF(Table28[[#This Row],[% Leakage Reduction (Calculated)]]&gt;0.4, "Greater than 40% Air Reduction", "Less than 40% Air Reduction")</f>
        <v>Greater than 40% Air Reduction</v>
      </c>
      <c r="E475" s="282" t="s">
        <v>4831</v>
      </c>
      <c r="F475" s="282" t="s">
        <v>4832</v>
      </c>
      <c r="G475" s="282" t="s">
        <v>4833</v>
      </c>
      <c r="H475" s="282"/>
      <c r="I475" s="282">
        <v>873</v>
      </c>
      <c r="J475" s="282" t="s">
        <v>4853</v>
      </c>
      <c r="K475" s="282">
        <v>1282</v>
      </c>
      <c r="L475" s="282" t="s">
        <v>4852</v>
      </c>
      <c r="M475" s="283">
        <f t="shared" si="14"/>
        <v>0.46849942726231386</v>
      </c>
      <c r="N475" s="282">
        <v>837</v>
      </c>
      <c r="O475" s="282"/>
      <c r="P475" s="282">
        <v>1975</v>
      </c>
      <c r="Q475" s="282">
        <f>2023-Table28[[#This Row],[year_built]]</f>
        <v>48</v>
      </c>
      <c r="R475" s="282">
        <v>950</v>
      </c>
      <c r="S475" s="282" t="s">
        <v>4891</v>
      </c>
      <c r="T475" s="282" t="s">
        <v>4857</v>
      </c>
      <c r="U475" s="282">
        <v>2020</v>
      </c>
      <c r="V475" s="284">
        <f t="shared" si="15"/>
        <v>1.135005973715651</v>
      </c>
      <c r="W475" s="292">
        <f>Table28[[#This Row],[$/sqft]]/INDEX(CPI!$A$3:$C$31,MATCH(Table28[[#This Row],[start_year]],CPI!$A$3:$A$31,0),3)</f>
        <v>1.3336758756063736</v>
      </c>
      <c r="X475" s="282"/>
      <c r="Y475" s="282"/>
      <c r="Z475" s="282" t="s">
        <v>4840</v>
      </c>
      <c r="AA475" s="282">
        <v>31.903276129999998</v>
      </c>
      <c r="AB475" s="55" t="s">
        <v>72</v>
      </c>
      <c r="AC475" t="s">
        <v>71</v>
      </c>
    </row>
    <row r="476" spans="1:29" x14ac:dyDescent="0.2">
      <c r="A476" s="282">
        <v>2641</v>
      </c>
      <c r="B476" s="282">
        <v>6313</v>
      </c>
      <c r="C476" s="282" t="s">
        <v>3410</v>
      </c>
      <c r="D476" s="282" t="str">
        <f>IF(Table28[[#This Row],[% Leakage Reduction (Calculated)]]&gt;0.4, "Greater than 40% Air Reduction", "Less than 40% Air Reduction")</f>
        <v>Greater than 40% Air Reduction</v>
      </c>
      <c r="E476" s="282" t="s">
        <v>4831</v>
      </c>
      <c r="F476" s="282" t="s">
        <v>4832</v>
      </c>
      <c r="G476" s="282" t="s">
        <v>4833</v>
      </c>
      <c r="H476" s="282"/>
      <c r="I476" s="282">
        <v>2616</v>
      </c>
      <c r="J476" s="282" t="s">
        <v>4853</v>
      </c>
      <c r="K476" s="282">
        <v>3964</v>
      </c>
      <c r="L476" s="282" t="s">
        <v>4852</v>
      </c>
      <c r="M476" s="283">
        <f t="shared" si="14"/>
        <v>0.51529051987767582</v>
      </c>
      <c r="N476" s="282">
        <v>1309</v>
      </c>
      <c r="O476" s="282">
        <v>1</v>
      </c>
      <c r="P476" s="282">
        <v>1975</v>
      </c>
      <c r="Q476" s="282">
        <f>2023-Table28[[#This Row],[year_built]]</f>
        <v>48</v>
      </c>
      <c r="R476" s="282">
        <v>1500</v>
      </c>
      <c r="S476" s="282" t="s">
        <v>4902</v>
      </c>
      <c r="T476" s="282" t="s">
        <v>4857</v>
      </c>
      <c r="U476" s="282">
        <v>2020</v>
      </c>
      <c r="V476" s="284">
        <f t="shared" si="15"/>
        <v>1.1459129106187931</v>
      </c>
      <c r="W476" s="292">
        <f>Table28[[#This Row],[$/sqft]]/INDEX(CPI!$A$3:$C$31,MATCH(Table28[[#This Row],[start_year]],CPI!$A$3:$A$31,0),3)</f>
        <v>1.3464919479102588</v>
      </c>
      <c r="X476" s="282"/>
      <c r="Y476" s="282"/>
      <c r="Z476" s="282" t="s">
        <v>4840</v>
      </c>
      <c r="AA476" s="282">
        <v>34.006054489999997</v>
      </c>
      <c r="AB476" s="55" t="s">
        <v>72</v>
      </c>
      <c r="AC476" t="s">
        <v>71</v>
      </c>
    </row>
    <row r="477" spans="1:29" x14ac:dyDescent="0.2">
      <c r="A477" s="282">
        <v>2503</v>
      </c>
      <c r="B477" s="282">
        <v>7402</v>
      </c>
      <c r="C477" s="282" t="s">
        <v>3410</v>
      </c>
      <c r="D477" s="282" t="str">
        <f>IF(Table28[[#This Row],[% Leakage Reduction (Calculated)]]&gt;0.4, "Greater than 40% Air Reduction", "Less than 40% Air Reduction")</f>
        <v>Greater than 40% Air Reduction</v>
      </c>
      <c r="E477" s="282" t="s">
        <v>4831</v>
      </c>
      <c r="F477" s="282" t="s">
        <v>4832</v>
      </c>
      <c r="G477" s="282" t="s">
        <v>4833</v>
      </c>
      <c r="H477" s="282"/>
      <c r="I477" s="282">
        <v>1272</v>
      </c>
      <c r="J477" s="282" t="s">
        <v>4853</v>
      </c>
      <c r="K477" s="282">
        <v>2198</v>
      </c>
      <c r="L477" s="282" t="s">
        <v>4852</v>
      </c>
      <c r="M477" s="283">
        <f t="shared" si="14"/>
        <v>0.7279874213836478</v>
      </c>
      <c r="N477" s="282">
        <v>1496</v>
      </c>
      <c r="O477" s="282">
        <v>1</v>
      </c>
      <c r="P477" s="282">
        <v>1975</v>
      </c>
      <c r="Q477" s="282">
        <f>2023-Table28[[#This Row],[year_built]]</f>
        <v>48</v>
      </c>
      <c r="R477" s="282">
        <v>1758</v>
      </c>
      <c r="S477" s="282" t="s">
        <v>4899</v>
      </c>
      <c r="T477" s="282" t="s">
        <v>4857</v>
      </c>
      <c r="U477" s="282">
        <v>2020</v>
      </c>
      <c r="V477" s="284">
        <f t="shared" si="15"/>
        <v>1.1751336898395721</v>
      </c>
      <c r="W477" s="292">
        <f>Table28[[#This Row],[$/sqft]]/INDEX(CPI!$A$3:$C$31,MATCH(Table28[[#This Row],[start_year]],CPI!$A$3:$A$31,0),3)</f>
        <v>1.3808274925819701</v>
      </c>
      <c r="X477" s="282"/>
      <c r="Y477" s="282"/>
      <c r="Z477" s="282" t="s">
        <v>4840</v>
      </c>
      <c r="AA477" s="282">
        <v>42.129208370000001</v>
      </c>
      <c r="AB477" s="55" t="s">
        <v>72</v>
      </c>
      <c r="AC477" t="s">
        <v>71</v>
      </c>
    </row>
    <row r="478" spans="1:29" x14ac:dyDescent="0.2">
      <c r="A478" s="282">
        <v>5219</v>
      </c>
      <c r="B478" s="282">
        <v>13306</v>
      </c>
      <c r="C478" s="282" t="s">
        <v>3410</v>
      </c>
      <c r="D478" s="282" t="str">
        <f>IF(Table28[[#This Row],[% Leakage Reduction (Calculated)]]&gt;0.4, "Greater than 40% Air Reduction", "Less than 40% Air Reduction")</f>
        <v>Less than 40% Air Reduction</v>
      </c>
      <c r="E478" s="282" t="s">
        <v>4831</v>
      </c>
      <c r="F478" s="282" t="s">
        <v>4832</v>
      </c>
      <c r="G478" s="282" t="s">
        <v>4833</v>
      </c>
      <c r="H478" s="282" t="s">
        <v>4838</v>
      </c>
      <c r="I478" s="282">
        <v>2133</v>
      </c>
      <c r="J478" s="282" t="s">
        <v>4852</v>
      </c>
      <c r="K478" s="282">
        <v>1623</v>
      </c>
      <c r="L478" s="282" t="s">
        <v>4853</v>
      </c>
      <c r="M478" s="283">
        <f t="shared" si="14"/>
        <v>0.23909985935302391</v>
      </c>
      <c r="N478" s="282">
        <v>610</v>
      </c>
      <c r="O478" s="282"/>
      <c r="P478" s="282">
        <v>1962</v>
      </c>
      <c r="Q478" s="282">
        <f>2023-Table28[[#This Row],[year_built]]</f>
        <v>61</v>
      </c>
      <c r="R478" s="282">
        <v>698.89</v>
      </c>
      <c r="S478" s="282" t="s">
        <v>4993</v>
      </c>
      <c r="T478" s="282" t="s">
        <v>4979</v>
      </c>
      <c r="U478" s="282">
        <v>2018</v>
      </c>
      <c r="V478" s="284">
        <f t="shared" si="15"/>
        <v>1.1457213114754099</v>
      </c>
      <c r="W478" s="292">
        <f>Table28[[#This Row],[$/sqft]]/INDEX(CPI!$A$3:$C$31,MATCH(Table28[[#This Row],[start_year]],CPI!$A$3:$A$31,0),3)</f>
        <v>1.3875501824757952</v>
      </c>
      <c r="X478" s="282" t="s">
        <v>4844</v>
      </c>
      <c r="Y478" s="282"/>
      <c r="Z478" s="282" t="s">
        <v>4840</v>
      </c>
      <c r="AA478" s="282">
        <v>23.909985939999999</v>
      </c>
      <c r="AB478" s="55" t="s">
        <v>72</v>
      </c>
      <c r="AC478" t="s">
        <v>71</v>
      </c>
    </row>
    <row r="479" spans="1:29" x14ac:dyDescent="0.2">
      <c r="A479" s="282">
        <v>2225</v>
      </c>
      <c r="B479" s="282">
        <v>5888</v>
      </c>
      <c r="C479" s="282" t="s">
        <v>3410</v>
      </c>
      <c r="D479" s="282" t="str">
        <f>IF(Table28[[#This Row],[% Leakage Reduction (Calculated)]]&gt;0.4, "Greater than 40% Air Reduction", "Less than 40% Air Reduction")</f>
        <v>Greater than 40% Air Reduction</v>
      </c>
      <c r="E479" s="282" t="s">
        <v>4831</v>
      </c>
      <c r="F479" s="282" t="s">
        <v>4832</v>
      </c>
      <c r="G479" s="282" t="s">
        <v>4833</v>
      </c>
      <c r="H479" s="282"/>
      <c r="I479" s="282">
        <v>3208</v>
      </c>
      <c r="J479" s="282" t="s">
        <v>4853</v>
      </c>
      <c r="K479" s="282">
        <v>5074</v>
      </c>
      <c r="L479" s="282" t="s">
        <v>4852</v>
      </c>
      <c r="M479" s="283">
        <f t="shared" si="14"/>
        <v>0.58167082294264338</v>
      </c>
      <c r="N479" s="282">
        <v>1955</v>
      </c>
      <c r="O479" s="282"/>
      <c r="P479" s="282">
        <v>1975</v>
      </c>
      <c r="Q479" s="282">
        <f>2023-Table28[[#This Row],[year_built]]</f>
        <v>48</v>
      </c>
      <c r="R479" s="282">
        <v>2370</v>
      </c>
      <c r="S479" s="282" t="s">
        <v>4891</v>
      </c>
      <c r="T479" s="282" t="s">
        <v>4857</v>
      </c>
      <c r="U479" s="282">
        <v>2020</v>
      </c>
      <c r="V479" s="284">
        <f t="shared" si="15"/>
        <v>1.2122762148337596</v>
      </c>
      <c r="W479" s="292">
        <f>Table28[[#This Row],[$/sqft]]/INDEX(CPI!$A$3:$C$31,MATCH(Table28[[#This Row],[start_year]],CPI!$A$3:$A$31,0),3)</f>
        <v>1.4244713946327137</v>
      </c>
      <c r="X479" s="282"/>
      <c r="Y479" s="282"/>
      <c r="Z479" s="282" t="s">
        <v>4840</v>
      </c>
      <c r="AA479" s="282">
        <v>36.775719350000003</v>
      </c>
      <c r="AB479" s="55" t="s">
        <v>72</v>
      </c>
      <c r="AC479" t="s">
        <v>71</v>
      </c>
    </row>
    <row r="480" spans="1:29" x14ac:dyDescent="0.2">
      <c r="A480" s="282">
        <v>3079</v>
      </c>
      <c r="B480" s="282">
        <v>9352</v>
      </c>
      <c r="C480" s="282" t="s">
        <v>3410</v>
      </c>
      <c r="D480" s="282" t="str">
        <f>IF(Table28[[#This Row],[% Leakage Reduction (Calculated)]]&gt;0.4, "Greater than 40% Air Reduction", "Less than 40% Air Reduction")</f>
        <v>Less than 40% Air Reduction</v>
      </c>
      <c r="E480" s="282" t="s">
        <v>4831</v>
      </c>
      <c r="F480" s="282" t="s">
        <v>4832</v>
      </c>
      <c r="G480" s="282" t="s">
        <v>4833</v>
      </c>
      <c r="H480" s="282" t="s">
        <v>4838</v>
      </c>
      <c r="I480" s="282">
        <v>8.8000000000000007</v>
      </c>
      <c r="J480" s="282" t="s">
        <v>4834</v>
      </c>
      <c r="K480" s="282">
        <v>5.81</v>
      </c>
      <c r="L480" s="282" t="s">
        <v>4835</v>
      </c>
      <c r="M480" s="283">
        <f t="shared" si="14"/>
        <v>0.33977272727272739</v>
      </c>
      <c r="N480" s="282">
        <v>2484</v>
      </c>
      <c r="O480" s="282">
        <v>1</v>
      </c>
      <c r="P480" s="282">
        <v>1983</v>
      </c>
      <c r="Q480" s="282">
        <f>2023-Table28[[#This Row],[year_built]]</f>
        <v>40</v>
      </c>
      <c r="R480" s="282">
        <v>3000</v>
      </c>
      <c r="S480" s="282" t="s">
        <v>4915</v>
      </c>
      <c r="T480" s="282" t="s">
        <v>4906</v>
      </c>
      <c r="U480" s="282">
        <v>2019</v>
      </c>
      <c r="V480" s="284">
        <f t="shared" si="15"/>
        <v>1.2077294685990339</v>
      </c>
      <c r="W480" s="292">
        <f>Table28[[#This Row],[$/sqft]]/INDEX(CPI!$A$3:$C$31,MATCH(Table28[[#This Row],[start_year]],CPI!$A$3:$A$31,0),3)</f>
        <v>1.436333716859469</v>
      </c>
      <c r="X480" s="282"/>
      <c r="Y480" s="282" t="s">
        <v>217</v>
      </c>
      <c r="Z480" s="282" t="s">
        <v>4840</v>
      </c>
      <c r="AA480" s="282">
        <v>33.977272730000003</v>
      </c>
      <c r="AB480" s="55" t="s">
        <v>72</v>
      </c>
      <c r="AC480" t="s">
        <v>71</v>
      </c>
    </row>
    <row r="481" spans="1:29" x14ac:dyDescent="0.2">
      <c r="A481" s="282">
        <v>3279</v>
      </c>
      <c r="B481" s="282">
        <v>10031</v>
      </c>
      <c r="C481" s="282" t="s">
        <v>3410</v>
      </c>
      <c r="D481" s="282" t="str">
        <f>IF(Table28[[#This Row],[% Leakage Reduction (Calculated)]]&gt;0.4, "Greater than 40% Air Reduction", "Less than 40% Air Reduction")</f>
        <v>Greater than 40% Air Reduction</v>
      </c>
      <c r="E481" s="282" t="s">
        <v>4831</v>
      </c>
      <c r="F481" s="282" t="s">
        <v>4832</v>
      </c>
      <c r="G481" s="282" t="s">
        <v>4833</v>
      </c>
      <c r="H481" s="282" t="s">
        <v>4838</v>
      </c>
      <c r="I481" s="282">
        <v>21.06</v>
      </c>
      <c r="J481" s="282" t="s">
        <v>4834</v>
      </c>
      <c r="K481" s="282">
        <v>9.75</v>
      </c>
      <c r="L481" s="282" t="s">
        <v>4835</v>
      </c>
      <c r="M481" s="283">
        <f t="shared" si="14"/>
        <v>0.53703703703703698</v>
      </c>
      <c r="N481" s="282">
        <v>1296</v>
      </c>
      <c r="O481" s="282">
        <v>1</v>
      </c>
      <c r="P481" s="282">
        <v>1920</v>
      </c>
      <c r="Q481" s="282">
        <f>2023-Table28[[#This Row],[year_built]]</f>
        <v>103</v>
      </c>
      <c r="R481" s="282">
        <v>1600</v>
      </c>
      <c r="S481" s="282" t="s">
        <v>4931</v>
      </c>
      <c r="T481" s="282" t="s">
        <v>4906</v>
      </c>
      <c r="U481" s="282">
        <v>2020</v>
      </c>
      <c r="V481" s="284">
        <f t="shared" si="15"/>
        <v>1.2345679012345678</v>
      </c>
      <c r="W481" s="292">
        <f>Table28[[#This Row],[$/sqft]]/INDEX(CPI!$A$3:$C$31,MATCH(Table28[[#This Row],[start_year]],CPI!$A$3:$A$31,0),3)</f>
        <v>1.4506649875016695</v>
      </c>
      <c r="X481" s="282"/>
      <c r="Y481" s="282" t="s">
        <v>217</v>
      </c>
      <c r="Z481" s="282" t="s">
        <v>4907</v>
      </c>
      <c r="AA481" s="282">
        <v>53.703703699999998</v>
      </c>
      <c r="AB481" s="55" t="s">
        <v>72</v>
      </c>
      <c r="AC481" t="s">
        <v>71</v>
      </c>
    </row>
    <row r="482" spans="1:29" x14ac:dyDescent="0.2">
      <c r="A482" s="282">
        <v>3071</v>
      </c>
      <c r="B482" s="282">
        <v>9317</v>
      </c>
      <c r="C482" s="282" t="s">
        <v>3410</v>
      </c>
      <c r="D482" s="282" t="str">
        <f>IF(Table28[[#This Row],[% Leakage Reduction (Calculated)]]&gt;0.4, "Greater than 40% Air Reduction", "Less than 40% Air Reduction")</f>
        <v>Greater than 40% Air Reduction</v>
      </c>
      <c r="E482" s="282" t="s">
        <v>4831</v>
      </c>
      <c r="F482" s="282" t="s">
        <v>4832</v>
      </c>
      <c r="G482" s="282" t="s">
        <v>4833</v>
      </c>
      <c r="H482" s="282" t="s">
        <v>4838</v>
      </c>
      <c r="I482" s="282">
        <v>10.76</v>
      </c>
      <c r="J482" s="282" t="s">
        <v>4834</v>
      </c>
      <c r="K482" s="282">
        <v>5.28</v>
      </c>
      <c r="L482" s="282" t="s">
        <v>4835</v>
      </c>
      <c r="M482" s="283">
        <f t="shared" si="14"/>
        <v>0.50929368029739774</v>
      </c>
      <c r="N482" s="282">
        <v>1719</v>
      </c>
      <c r="O482" s="282">
        <v>2.5</v>
      </c>
      <c r="P482" s="282">
        <v>1925</v>
      </c>
      <c r="Q482" s="282">
        <f>2023-Table28[[#This Row],[year_built]]</f>
        <v>98</v>
      </c>
      <c r="R482" s="282">
        <v>2100</v>
      </c>
      <c r="S482" s="282" t="s">
        <v>4938</v>
      </c>
      <c r="T482" s="282" t="s">
        <v>4906</v>
      </c>
      <c r="U482" s="282">
        <v>2019</v>
      </c>
      <c r="V482" s="284">
        <f t="shared" si="15"/>
        <v>1.2216404886561956</v>
      </c>
      <c r="W482" s="292">
        <f>Table28[[#This Row],[$/sqft]]/INDEX(CPI!$A$3:$C$31,MATCH(Table28[[#This Row],[start_year]],CPI!$A$3:$A$31,0),3)</f>
        <v>1.4528778748547091</v>
      </c>
      <c r="X482" s="282"/>
      <c r="Y482" s="282" t="s">
        <v>217</v>
      </c>
      <c r="Z482" s="282" t="s">
        <v>4907</v>
      </c>
      <c r="AA482" s="282">
        <v>50.929368029999999</v>
      </c>
      <c r="AB482" s="55" t="s">
        <v>72</v>
      </c>
      <c r="AC482" t="s">
        <v>71</v>
      </c>
    </row>
    <row r="483" spans="1:29" x14ac:dyDescent="0.2">
      <c r="A483" s="282">
        <v>5142</v>
      </c>
      <c r="B483" s="282">
        <v>12869</v>
      </c>
      <c r="C483" s="282" t="s">
        <v>3410</v>
      </c>
      <c r="D483" s="282" t="str">
        <f>IF(Table28[[#This Row],[% Leakage Reduction (Calculated)]]&gt;0.4, "Greater than 40% Air Reduction", "Less than 40% Air Reduction")</f>
        <v>Less than 40% Air Reduction</v>
      </c>
      <c r="E483" s="282" t="s">
        <v>4831</v>
      </c>
      <c r="F483" s="282" t="s">
        <v>4832</v>
      </c>
      <c r="G483" s="282" t="s">
        <v>4833</v>
      </c>
      <c r="H483" s="282" t="s">
        <v>4972</v>
      </c>
      <c r="I483" s="282">
        <v>2857</v>
      </c>
      <c r="J483" s="282" t="s">
        <v>4852</v>
      </c>
      <c r="K483" s="282">
        <v>2006</v>
      </c>
      <c r="L483" s="282" t="s">
        <v>4853</v>
      </c>
      <c r="M483" s="283">
        <f t="shared" si="14"/>
        <v>0.29786489324466225</v>
      </c>
      <c r="N483" s="282">
        <v>1001</v>
      </c>
      <c r="O483" s="282"/>
      <c r="P483" s="282">
        <v>1999</v>
      </c>
      <c r="Q483" s="282">
        <f>2023-Table28[[#This Row],[year_built]]</f>
        <v>24</v>
      </c>
      <c r="R483" s="282">
        <v>1255</v>
      </c>
      <c r="S483" s="282" t="s">
        <v>4997</v>
      </c>
      <c r="T483" s="282" t="s">
        <v>4979</v>
      </c>
      <c r="U483" s="282">
        <v>2017</v>
      </c>
      <c r="V483" s="284">
        <f t="shared" si="15"/>
        <v>1.2537462537462538</v>
      </c>
      <c r="W483" s="292">
        <f>Table28[[#This Row],[$/sqft]]/INDEX(CPI!$A$3:$C$31,MATCH(Table28[[#This Row],[start_year]],CPI!$A$3:$A$31,0),3)</f>
        <v>1.5555456375529817</v>
      </c>
      <c r="X483" s="282" t="s">
        <v>1241</v>
      </c>
      <c r="Y483" s="282"/>
      <c r="Z483" s="282" t="s">
        <v>4840</v>
      </c>
      <c r="AA483" s="282">
        <v>29.786489320000001</v>
      </c>
      <c r="AB483" s="55" t="s">
        <v>72</v>
      </c>
      <c r="AC483" t="s">
        <v>71</v>
      </c>
    </row>
    <row r="484" spans="1:29" x14ac:dyDescent="0.2">
      <c r="A484" s="282">
        <v>3011</v>
      </c>
      <c r="B484" s="282">
        <v>9061</v>
      </c>
      <c r="C484" s="282" t="s">
        <v>3410</v>
      </c>
      <c r="D484" s="282" t="str">
        <f>IF(Table28[[#This Row],[% Leakage Reduction (Calculated)]]&gt;0.4, "Greater than 40% Air Reduction", "Less than 40% Air Reduction")</f>
        <v>Greater than 40% Air Reduction</v>
      </c>
      <c r="E484" s="282" t="s">
        <v>4831</v>
      </c>
      <c r="F484" s="282" t="s">
        <v>4832</v>
      </c>
      <c r="G484" s="282" t="s">
        <v>4833</v>
      </c>
      <c r="H484" s="282" t="s">
        <v>4913</v>
      </c>
      <c r="I484" s="282">
        <v>18.18</v>
      </c>
      <c r="J484" s="282" t="s">
        <v>4834</v>
      </c>
      <c r="K484" s="282">
        <v>10.45</v>
      </c>
      <c r="L484" s="282" t="s">
        <v>4835</v>
      </c>
      <c r="M484" s="283">
        <f t="shared" si="14"/>
        <v>0.42519251925192525</v>
      </c>
      <c r="N484" s="282">
        <v>1050</v>
      </c>
      <c r="O484" s="282">
        <v>3</v>
      </c>
      <c r="P484" s="282">
        <v>1982</v>
      </c>
      <c r="Q484" s="282">
        <f>2023-Table28[[#This Row],[year_built]]</f>
        <v>41</v>
      </c>
      <c r="R484" s="282">
        <v>1378.32</v>
      </c>
      <c r="S484" s="282" t="s">
        <v>4914</v>
      </c>
      <c r="T484" s="282" t="s">
        <v>4906</v>
      </c>
      <c r="U484" s="282">
        <v>2018</v>
      </c>
      <c r="V484" s="284">
        <f t="shared" si="15"/>
        <v>1.3126857142857142</v>
      </c>
      <c r="W484" s="292">
        <f>Table28[[#This Row],[$/sqft]]/INDEX(CPI!$A$3:$C$31,MATCH(Table28[[#This Row],[start_year]],CPI!$A$3:$A$31,0),3)</f>
        <v>1.5897559765602778</v>
      </c>
      <c r="X484" s="282"/>
      <c r="Y484" s="282" t="s">
        <v>4839</v>
      </c>
      <c r="Z484" s="282" t="s">
        <v>4840</v>
      </c>
      <c r="AA484" s="282">
        <v>42.519251930000003</v>
      </c>
      <c r="AB484" s="55" t="s">
        <v>72</v>
      </c>
      <c r="AC484" t="s">
        <v>71</v>
      </c>
    </row>
    <row r="485" spans="1:29" x14ac:dyDescent="0.2">
      <c r="A485" s="282">
        <v>3021</v>
      </c>
      <c r="B485" s="282">
        <v>9099</v>
      </c>
      <c r="C485" s="282" t="s">
        <v>3410</v>
      </c>
      <c r="D485" s="282" t="str">
        <f>IF(Table28[[#This Row],[% Leakage Reduction (Calculated)]]&gt;0.4, "Greater than 40% Air Reduction", "Less than 40% Air Reduction")</f>
        <v>Less than 40% Air Reduction</v>
      </c>
      <c r="E485" s="282" t="s">
        <v>4831</v>
      </c>
      <c r="F485" s="282" t="s">
        <v>4832</v>
      </c>
      <c r="G485" s="282" t="s">
        <v>4833</v>
      </c>
      <c r="H485" s="282" t="s">
        <v>4838</v>
      </c>
      <c r="I485" s="282">
        <v>15.89</v>
      </c>
      <c r="J485" s="282" t="s">
        <v>4834</v>
      </c>
      <c r="K485" s="282">
        <v>11.77</v>
      </c>
      <c r="L485" s="282" t="s">
        <v>4835</v>
      </c>
      <c r="M485" s="283">
        <f t="shared" si="14"/>
        <v>0.25928256765261176</v>
      </c>
      <c r="N485" s="282">
        <v>2176</v>
      </c>
      <c r="O485" s="282">
        <v>3</v>
      </c>
      <c r="P485" s="282">
        <v>1890</v>
      </c>
      <c r="Q485" s="282">
        <f>2023-Table28[[#This Row],[year_built]]</f>
        <v>133</v>
      </c>
      <c r="R485" s="282">
        <v>3056</v>
      </c>
      <c r="S485" s="282" t="s">
        <v>4919</v>
      </c>
      <c r="T485" s="282" t="s">
        <v>4906</v>
      </c>
      <c r="U485" s="282">
        <v>2018</v>
      </c>
      <c r="V485" s="284">
        <f t="shared" si="15"/>
        <v>1.4044117647058822</v>
      </c>
      <c r="W485" s="292">
        <f>Table28[[#This Row],[$/sqft]]/INDEX(CPI!$A$3:$C$31,MATCH(Table28[[#This Row],[start_year]],CPI!$A$3:$A$31,0),3)</f>
        <v>1.7008427624335278</v>
      </c>
      <c r="X485" s="282"/>
      <c r="Y485" s="282" t="s">
        <v>217</v>
      </c>
      <c r="Z485" s="282" t="s">
        <v>4907</v>
      </c>
      <c r="AA485" s="282">
        <v>25.928256770000001</v>
      </c>
      <c r="AB485" s="55" t="s">
        <v>72</v>
      </c>
      <c r="AC485" t="s">
        <v>71</v>
      </c>
    </row>
    <row r="486" spans="1:29" x14ac:dyDescent="0.2">
      <c r="A486" s="282">
        <v>1100</v>
      </c>
      <c r="B486" s="282">
        <v>1905</v>
      </c>
      <c r="C486" s="282" t="s">
        <v>3410</v>
      </c>
      <c r="D486" s="282" t="str">
        <f>IF(Table28[[#This Row],[% Leakage Reduction (Calculated)]]&gt;0.4, "Greater than 40% Air Reduction", "Less than 40% Air Reduction")</f>
        <v>Greater than 40% Air Reduction</v>
      </c>
      <c r="E486" s="282" t="s">
        <v>311</v>
      </c>
      <c r="F486" s="282" t="s">
        <v>5008</v>
      </c>
      <c r="G486" s="282" t="s">
        <v>5015</v>
      </c>
      <c r="H486" s="282" t="s">
        <v>4838</v>
      </c>
      <c r="I486" s="282">
        <v>44</v>
      </c>
      <c r="J486" s="282" t="s">
        <v>31</v>
      </c>
      <c r="K486" s="282"/>
      <c r="L486" s="282"/>
      <c r="M486" s="283">
        <f t="shared" si="14"/>
        <v>1</v>
      </c>
      <c r="N486" s="282">
        <v>1179</v>
      </c>
      <c r="O486" s="282"/>
      <c r="P486" s="282">
        <v>1911</v>
      </c>
      <c r="Q486" s="282">
        <f>2023-Table28[[#This Row],[year_built]]</f>
        <v>112</v>
      </c>
      <c r="R486" s="282">
        <v>1713</v>
      </c>
      <c r="S486" s="282" t="s">
        <v>4892</v>
      </c>
      <c r="T486" s="282" t="s">
        <v>4857</v>
      </c>
      <c r="U486" s="282">
        <v>2019</v>
      </c>
      <c r="V486" s="284">
        <f t="shared" si="15"/>
        <v>1.4529262086513994</v>
      </c>
      <c r="W486" s="292">
        <f>Table28[[#This Row],[$/sqft]]/INDEX(CPI!$A$3:$C$31,MATCH(Table28[[#This Row],[start_year]],CPI!$A$3:$A$31,0),3)</f>
        <v>1.727942354520495</v>
      </c>
      <c r="X486" s="282" t="s">
        <v>4844</v>
      </c>
      <c r="Y486" s="282"/>
      <c r="Z486" s="282" t="s">
        <v>5019</v>
      </c>
      <c r="AA486" s="282"/>
      <c r="AB486" s="55" t="s">
        <v>72</v>
      </c>
      <c r="AC486" t="s">
        <v>72</v>
      </c>
    </row>
    <row r="487" spans="1:29" x14ac:dyDescent="0.2">
      <c r="A487" s="282">
        <v>2619</v>
      </c>
      <c r="B487" s="282">
        <v>7680</v>
      </c>
      <c r="C487" s="282" t="s">
        <v>3410</v>
      </c>
      <c r="D487" s="282" t="str">
        <f>IF(Table28[[#This Row],[% Leakage Reduction (Calculated)]]&gt;0.4, "Greater than 40% Air Reduction", "Less than 40% Air Reduction")</f>
        <v>Greater than 40% Air Reduction</v>
      </c>
      <c r="E487" s="282" t="s">
        <v>4831</v>
      </c>
      <c r="F487" s="282" t="s">
        <v>4832</v>
      </c>
      <c r="G487" s="282" t="s">
        <v>4833</v>
      </c>
      <c r="H487" s="282"/>
      <c r="I487" s="282">
        <v>1905</v>
      </c>
      <c r="J487" s="282" t="s">
        <v>4853</v>
      </c>
      <c r="K487" s="282">
        <v>2945</v>
      </c>
      <c r="L487" s="282" t="s">
        <v>4852</v>
      </c>
      <c r="M487" s="283">
        <f t="shared" si="14"/>
        <v>0.54593175853018372</v>
      </c>
      <c r="N487" s="282">
        <v>2351</v>
      </c>
      <c r="O487" s="282"/>
      <c r="P487" s="282">
        <v>1975</v>
      </c>
      <c r="Q487" s="282">
        <f>2023-Table28[[#This Row],[year_built]]</f>
        <v>48</v>
      </c>
      <c r="R487" s="282">
        <v>3680</v>
      </c>
      <c r="S487" s="282" t="s">
        <v>4901</v>
      </c>
      <c r="T487" s="282" t="s">
        <v>4857</v>
      </c>
      <c r="U487" s="282">
        <v>2020</v>
      </c>
      <c r="V487" s="284">
        <f t="shared" si="15"/>
        <v>1.5652913653764355</v>
      </c>
      <c r="W487" s="292">
        <f>Table28[[#This Row],[$/sqft]]/INDEX(CPI!$A$3:$C$31,MATCH(Table28[[#This Row],[start_year]],CPI!$A$3:$A$31,0),3)</f>
        <v>1.8392778369821254</v>
      </c>
      <c r="X487" s="282"/>
      <c r="Y487" s="282"/>
      <c r="Z487" s="282" t="s">
        <v>4840</v>
      </c>
      <c r="AA487" s="282">
        <v>35.314091679999997</v>
      </c>
      <c r="AB487" s="55" t="s">
        <v>72</v>
      </c>
      <c r="AC487" t="s">
        <v>71</v>
      </c>
    </row>
    <row r="488" spans="1:29" x14ac:dyDescent="0.2">
      <c r="A488" s="282">
        <v>3028</v>
      </c>
      <c r="B488" s="282">
        <v>9137</v>
      </c>
      <c r="C488" s="282" t="s">
        <v>3410</v>
      </c>
      <c r="D488" s="282" t="str">
        <f>IF(Table28[[#This Row],[% Leakage Reduction (Calculated)]]&gt;0.4, "Greater than 40% Air Reduction", "Less than 40% Air Reduction")</f>
        <v>Less than 40% Air Reduction</v>
      </c>
      <c r="E488" s="282" t="s">
        <v>4831</v>
      </c>
      <c r="F488" s="282" t="s">
        <v>4832</v>
      </c>
      <c r="G488" s="282" t="s">
        <v>4833</v>
      </c>
      <c r="H488" s="282" t="s">
        <v>4838</v>
      </c>
      <c r="I488" s="282">
        <v>10.97</v>
      </c>
      <c r="J488" s="282" t="s">
        <v>4834</v>
      </c>
      <c r="K488" s="282">
        <v>8.26</v>
      </c>
      <c r="L488" s="282" t="s">
        <v>4835</v>
      </c>
      <c r="M488" s="283">
        <f t="shared" si="14"/>
        <v>0.24703737465815867</v>
      </c>
      <c r="N488" s="282">
        <v>1316</v>
      </c>
      <c r="O488" s="282">
        <v>1</v>
      </c>
      <c r="P488" s="282">
        <v>1969</v>
      </c>
      <c r="Q488" s="282">
        <f>2023-Table28[[#This Row],[year_built]]</f>
        <v>54</v>
      </c>
      <c r="R488" s="282">
        <v>2000</v>
      </c>
      <c r="S488" s="282" t="s">
        <v>4924</v>
      </c>
      <c r="T488" s="282" t="s">
        <v>4906</v>
      </c>
      <c r="U488" s="282">
        <v>2018</v>
      </c>
      <c r="V488" s="284">
        <f t="shared" si="15"/>
        <v>1.5197568389057752</v>
      </c>
      <c r="W488" s="292">
        <f>Table28[[#This Row],[$/sqft]]/INDEX(CPI!$A$3:$C$31,MATCH(Table28[[#This Row],[start_year]],CPI!$A$3:$A$31,0),3)</f>
        <v>1.8405338698177869</v>
      </c>
      <c r="X488" s="282"/>
      <c r="Y488" s="282" t="s">
        <v>4839</v>
      </c>
      <c r="Z488" s="282" t="s">
        <v>4907</v>
      </c>
      <c r="AA488" s="282">
        <v>24.70373747</v>
      </c>
      <c r="AB488" s="55" t="s">
        <v>72</v>
      </c>
      <c r="AC488" t="s">
        <v>71</v>
      </c>
    </row>
    <row r="489" spans="1:29" x14ac:dyDescent="0.2">
      <c r="A489" s="282">
        <v>3010</v>
      </c>
      <c r="B489" s="282">
        <v>9057</v>
      </c>
      <c r="C489" s="282" t="s">
        <v>3410</v>
      </c>
      <c r="D489" s="282" t="str">
        <f>IF(Table28[[#This Row],[% Leakage Reduction (Calculated)]]&gt;0.4, "Greater than 40% Air Reduction", "Less than 40% Air Reduction")</f>
        <v>Less than 40% Air Reduction</v>
      </c>
      <c r="E489" s="282" t="s">
        <v>4831</v>
      </c>
      <c r="F489" s="282" t="s">
        <v>4832</v>
      </c>
      <c r="G489" s="282" t="s">
        <v>4833</v>
      </c>
      <c r="H489" s="282" t="s">
        <v>4838</v>
      </c>
      <c r="I489" s="282">
        <v>15.94</v>
      </c>
      <c r="J489" s="282" t="s">
        <v>4834</v>
      </c>
      <c r="K489" s="282">
        <v>11.41</v>
      </c>
      <c r="L489" s="282" t="s">
        <v>4835</v>
      </c>
      <c r="M489" s="283">
        <f t="shared" si="14"/>
        <v>0.28419071518193223</v>
      </c>
      <c r="N489" s="282">
        <v>2893</v>
      </c>
      <c r="O489" s="282">
        <v>2.5</v>
      </c>
      <c r="P489" s="282">
        <v>1920</v>
      </c>
      <c r="Q489" s="282">
        <f>2023-Table28[[#This Row],[year_built]]</f>
        <v>103</v>
      </c>
      <c r="R489" s="282">
        <v>4496</v>
      </c>
      <c r="S489" s="282" t="s">
        <v>4912</v>
      </c>
      <c r="T489" s="282" t="s">
        <v>4906</v>
      </c>
      <c r="U489" s="282">
        <v>2018</v>
      </c>
      <c r="V489" s="284">
        <f t="shared" si="15"/>
        <v>1.5540960940200483</v>
      </c>
      <c r="W489" s="292">
        <f>Table28[[#This Row],[$/sqft]]/INDEX(CPI!$A$3:$C$31,MATCH(Table28[[#This Row],[start_year]],CPI!$A$3:$A$31,0),3)</f>
        <v>1.8821211556809907</v>
      </c>
      <c r="X489" s="282"/>
      <c r="Y489" s="282" t="s">
        <v>4872</v>
      </c>
      <c r="Z489" s="282" t="s">
        <v>4840</v>
      </c>
      <c r="AA489" s="282">
        <v>28.419071519999999</v>
      </c>
      <c r="AB489" s="55" t="s">
        <v>72</v>
      </c>
      <c r="AC489" t="s">
        <v>71</v>
      </c>
    </row>
    <row r="490" spans="1:29" x14ac:dyDescent="0.2">
      <c r="A490" s="282">
        <v>3103</v>
      </c>
      <c r="B490" s="282">
        <v>9459</v>
      </c>
      <c r="C490" s="282" t="s">
        <v>3410</v>
      </c>
      <c r="D490" s="282" t="str">
        <f>IF(Table28[[#This Row],[% Leakage Reduction (Calculated)]]&gt;0.4, "Greater than 40% Air Reduction", "Less than 40% Air Reduction")</f>
        <v>Less than 40% Air Reduction</v>
      </c>
      <c r="E490" s="282" t="s">
        <v>4831</v>
      </c>
      <c r="F490" s="282" t="s">
        <v>4832</v>
      </c>
      <c r="G490" s="282" t="s">
        <v>4833</v>
      </c>
      <c r="H490" s="282" t="s">
        <v>4913</v>
      </c>
      <c r="I490" s="282">
        <v>12.77</v>
      </c>
      <c r="J490" s="282" t="s">
        <v>4834</v>
      </c>
      <c r="K490" s="282">
        <v>9.8800000000000008</v>
      </c>
      <c r="L490" s="282" t="s">
        <v>4835</v>
      </c>
      <c r="M490" s="283">
        <f t="shared" si="14"/>
        <v>0.22631166797180885</v>
      </c>
      <c r="N490" s="282">
        <v>4151</v>
      </c>
      <c r="O490" s="282">
        <v>3</v>
      </c>
      <c r="P490" s="282">
        <v>1863</v>
      </c>
      <c r="Q490" s="282">
        <f>2023-Table28[[#This Row],[year_built]]</f>
        <v>160</v>
      </c>
      <c r="R490" s="282">
        <v>6575</v>
      </c>
      <c r="S490" s="282" t="s">
        <v>4949</v>
      </c>
      <c r="T490" s="282" t="s">
        <v>4906</v>
      </c>
      <c r="U490" s="282">
        <v>2019</v>
      </c>
      <c r="V490" s="284">
        <f t="shared" si="15"/>
        <v>1.5839556733317273</v>
      </c>
      <c r="W490" s="292">
        <f>Table28[[#This Row],[$/sqft]]/INDEX(CPI!$A$3:$C$31,MATCH(Table28[[#This Row],[start_year]],CPI!$A$3:$A$31,0),3)</f>
        <v>1.8837736420030438</v>
      </c>
      <c r="X490" s="282"/>
      <c r="Y490" s="282" t="s">
        <v>217</v>
      </c>
      <c r="Z490" s="282" t="s">
        <v>4907</v>
      </c>
      <c r="AA490" s="282">
        <v>22.631166799999999</v>
      </c>
      <c r="AB490" s="55" t="s">
        <v>72</v>
      </c>
      <c r="AC490" t="s">
        <v>71</v>
      </c>
    </row>
    <row r="491" spans="1:29" x14ac:dyDescent="0.2">
      <c r="A491" s="282">
        <v>2301</v>
      </c>
      <c r="B491" s="282">
        <v>7843</v>
      </c>
      <c r="C491" s="282" t="s">
        <v>3410</v>
      </c>
      <c r="D491" s="282" t="str">
        <f>IF(Table28[[#This Row],[% Leakage Reduction (Calculated)]]&gt;0.4, "Greater than 40% Air Reduction", "Less than 40% Air Reduction")</f>
        <v>Greater than 40% Air Reduction</v>
      </c>
      <c r="E491" s="282" t="s">
        <v>4831</v>
      </c>
      <c r="F491" s="282" t="s">
        <v>4832</v>
      </c>
      <c r="G491" s="282" t="s">
        <v>4833</v>
      </c>
      <c r="H491" s="282"/>
      <c r="I491" s="282">
        <v>1433</v>
      </c>
      <c r="J491" s="282" t="s">
        <v>4853</v>
      </c>
      <c r="K491" s="282">
        <v>2444</v>
      </c>
      <c r="L491" s="282" t="s">
        <v>4852</v>
      </c>
      <c r="M491" s="283">
        <f t="shared" si="14"/>
        <v>0.70551290997906491</v>
      </c>
      <c r="N491" s="282">
        <v>1350</v>
      </c>
      <c r="O491" s="282"/>
      <c r="P491" s="282">
        <v>1975</v>
      </c>
      <c r="Q491" s="282">
        <f>2023-Table28[[#This Row],[year_built]]</f>
        <v>48</v>
      </c>
      <c r="R491" s="282">
        <v>2200</v>
      </c>
      <c r="S491" s="282" t="s">
        <v>4891</v>
      </c>
      <c r="T491" s="282" t="s">
        <v>4857</v>
      </c>
      <c r="U491" s="282">
        <v>2020</v>
      </c>
      <c r="V491" s="284">
        <f t="shared" si="15"/>
        <v>1.6296296296296295</v>
      </c>
      <c r="W491" s="292">
        <f>Table28[[#This Row],[$/sqft]]/INDEX(CPI!$A$3:$C$31,MATCH(Table28[[#This Row],[start_year]],CPI!$A$3:$A$31,0),3)</f>
        <v>1.9148777835022039</v>
      </c>
      <c r="X491" s="282"/>
      <c r="Y491" s="282"/>
      <c r="Z491" s="282" t="s">
        <v>4840</v>
      </c>
      <c r="AA491" s="282">
        <v>41.366612109999998</v>
      </c>
      <c r="AB491" s="55" t="s">
        <v>72</v>
      </c>
      <c r="AC491" t="s">
        <v>71</v>
      </c>
    </row>
    <row r="492" spans="1:29" x14ac:dyDescent="0.2">
      <c r="A492" s="282">
        <v>1087</v>
      </c>
      <c r="B492" s="282">
        <v>1779</v>
      </c>
      <c r="C492" s="282" t="s">
        <v>3410</v>
      </c>
      <c r="D492" s="282"/>
      <c r="E492" s="282" t="s">
        <v>311</v>
      </c>
      <c r="F492" s="282" t="s">
        <v>4832</v>
      </c>
      <c r="G492" s="282" t="s">
        <v>5004</v>
      </c>
      <c r="H492" s="282" t="s">
        <v>4838</v>
      </c>
      <c r="I492" s="282"/>
      <c r="J492" s="282"/>
      <c r="K492" s="282"/>
      <c r="L492" s="282"/>
      <c r="M492" s="283" t="e">
        <f t="shared" si="14"/>
        <v>#DIV/0!</v>
      </c>
      <c r="N492" s="282">
        <v>3200</v>
      </c>
      <c r="O492" s="282"/>
      <c r="P492" s="282">
        <v>1836</v>
      </c>
      <c r="Q492" s="282">
        <f>2023-Table28[[#This Row],[year_built]]</f>
        <v>187</v>
      </c>
      <c r="R492" s="282"/>
      <c r="S492" s="282" t="s">
        <v>5005</v>
      </c>
      <c r="T492" s="282" t="s">
        <v>5006</v>
      </c>
      <c r="U492" s="282">
        <v>2019</v>
      </c>
      <c r="V492" s="284" t="str">
        <f t="shared" si="15"/>
        <v/>
      </c>
      <c r="W492" s="292" t="e">
        <f>Table28[[#This Row],[$/sqft]]/INDEX(CPI!$A$3:$C$31,MATCH(Table28[[#This Row],[start_year]],CPI!$A$3:$A$31,0),3)</f>
        <v>#VALUE!</v>
      </c>
      <c r="X492" s="282"/>
      <c r="Y492" s="282"/>
      <c r="Z492" s="282" t="s">
        <v>5007</v>
      </c>
      <c r="AA492" s="282"/>
      <c r="AB492" s="55" t="s">
        <v>71</v>
      </c>
      <c r="AC492" t="s">
        <v>72</v>
      </c>
    </row>
    <row r="493" spans="1:29" x14ac:dyDescent="0.2">
      <c r="A493" s="282">
        <v>1122</v>
      </c>
      <c r="B493" s="282">
        <v>2049</v>
      </c>
      <c r="C493" s="282" t="s">
        <v>3410</v>
      </c>
      <c r="D493" s="282"/>
      <c r="E493" s="282" t="s">
        <v>311</v>
      </c>
      <c r="F493" s="282" t="s">
        <v>5008</v>
      </c>
      <c r="G493" s="282" t="s">
        <v>5004</v>
      </c>
      <c r="H493" s="282" t="s">
        <v>4838</v>
      </c>
      <c r="I493" s="282"/>
      <c r="J493" s="282"/>
      <c r="K493" s="282"/>
      <c r="L493" s="282"/>
      <c r="M493" s="283" t="e">
        <f t="shared" si="14"/>
        <v>#DIV/0!</v>
      </c>
      <c r="N493" s="282">
        <v>1352</v>
      </c>
      <c r="O493" s="282">
        <v>1</v>
      </c>
      <c r="P493" s="282">
        <v>1976</v>
      </c>
      <c r="Q493" s="282">
        <f>2023-Table28[[#This Row],[year_built]]</f>
        <v>47</v>
      </c>
      <c r="R493" s="282"/>
      <c r="S493" s="282" t="s">
        <v>4893</v>
      </c>
      <c r="T493" s="282" t="s">
        <v>4857</v>
      </c>
      <c r="U493" s="282">
        <v>2012</v>
      </c>
      <c r="V493" s="284" t="str">
        <f t="shared" si="15"/>
        <v/>
      </c>
      <c r="W493" s="292" t="e">
        <f>Table28[[#This Row],[$/sqft]]/INDEX(CPI!$A$3:$C$31,MATCH(Table28[[#This Row],[start_year]],CPI!$A$3:$A$31,0),3)</f>
        <v>#VALUE!</v>
      </c>
      <c r="X493" s="282" t="s">
        <v>4844</v>
      </c>
      <c r="Y493" s="282" t="s">
        <v>16</v>
      </c>
      <c r="Z493" s="282" t="s">
        <v>4840</v>
      </c>
      <c r="AA493" s="282"/>
      <c r="AB493" s="55" t="s">
        <v>71</v>
      </c>
      <c r="AC493" t="s">
        <v>72</v>
      </c>
    </row>
    <row r="494" spans="1:29" x14ac:dyDescent="0.2">
      <c r="A494" s="282">
        <v>6001</v>
      </c>
      <c r="B494" s="282">
        <v>14017</v>
      </c>
      <c r="C494" s="282" t="s">
        <v>3410</v>
      </c>
      <c r="D494" s="282"/>
      <c r="E494" s="282" t="s">
        <v>311</v>
      </c>
      <c r="F494" s="282" t="s">
        <v>5008</v>
      </c>
      <c r="G494" s="282" t="s">
        <v>5004</v>
      </c>
      <c r="H494" s="282" t="s">
        <v>4913</v>
      </c>
      <c r="I494" s="282"/>
      <c r="J494" s="282"/>
      <c r="K494" s="282"/>
      <c r="L494" s="282"/>
      <c r="M494" s="283" t="e">
        <f t="shared" si="14"/>
        <v>#DIV/0!</v>
      </c>
      <c r="N494" s="282">
        <v>4356</v>
      </c>
      <c r="O494" s="282">
        <v>2</v>
      </c>
      <c r="P494" s="282">
        <v>1922</v>
      </c>
      <c r="Q494" s="282">
        <f>2023-Table28[[#This Row],[year_built]]</f>
        <v>101</v>
      </c>
      <c r="R494" s="282">
        <v>125</v>
      </c>
      <c r="S494" s="282" t="s">
        <v>5001</v>
      </c>
      <c r="T494" s="282" t="s">
        <v>5002</v>
      </c>
      <c r="U494" s="282">
        <v>2016</v>
      </c>
      <c r="V494" s="284">
        <f t="shared" si="15"/>
        <v>2.869605142332415E-2</v>
      </c>
      <c r="W494" s="292">
        <f>Table28[[#This Row],[$/sqft]]/INDEX(CPI!$A$3:$C$31,MATCH(Table28[[#This Row],[start_year]],CPI!$A$3:$A$31,0),3)</f>
        <v>3.635922801348658E-2</v>
      </c>
      <c r="X494" s="282" t="s">
        <v>4844</v>
      </c>
      <c r="Y494" s="282" t="s">
        <v>217</v>
      </c>
      <c r="Z494" s="282" t="s">
        <v>4840</v>
      </c>
      <c r="AA494" s="282"/>
      <c r="AB494" s="55" t="s">
        <v>71</v>
      </c>
      <c r="AC494" t="s">
        <v>72</v>
      </c>
    </row>
    <row r="495" spans="1:29" x14ac:dyDescent="0.2">
      <c r="A495" s="282">
        <v>6005</v>
      </c>
      <c r="B495" s="282">
        <v>14054</v>
      </c>
      <c r="C495" s="282" t="s">
        <v>3410</v>
      </c>
      <c r="D495" s="282"/>
      <c r="E495" s="282" t="s">
        <v>311</v>
      </c>
      <c r="F495" s="282" t="s">
        <v>5008</v>
      </c>
      <c r="G495" s="282" t="s">
        <v>5004</v>
      </c>
      <c r="H495" s="282" t="s">
        <v>4913</v>
      </c>
      <c r="I495" s="282"/>
      <c r="J495" s="282"/>
      <c r="K495" s="282"/>
      <c r="L495" s="282"/>
      <c r="M495" s="283" t="e">
        <f t="shared" si="14"/>
        <v>#DIV/0!</v>
      </c>
      <c r="N495" s="282">
        <v>3455</v>
      </c>
      <c r="O495" s="282">
        <v>2</v>
      </c>
      <c r="P495" s="282">
        <v>1958</v>
      </c>
      <c r="Q495" s="282">
        <f>2023-Table28[[#This Row],[year_built]]</f>
        <v>65</v>
      </c>
      <c r="R495" s="282">
        <v>100</v>
      </c>
      <c r="S495" s="282" t="s">
        <v>5009</v>
      </c>
      <c r="T495" s="282" t="s">
        <v>5002</v>
      </c>
      <c r="U495" s="282">
        <v>2016</v>
      </c>
      <c r="V495" s="284">
        <f t="shared" si="15"/>
        <v>2.8943560057887119E-2</v>
      </c>
      <c r="W495" s="292">
        <f>Table28[[#This Row],[$/sqft]]/INDEX(CPI!$A$3:$C$31,MATCH(Table28[[#This Row],[start_year]],CPI!$A$3:$A$31,0),3)</f>
        <v>3.6672832932387274E-2</v>
      </c>
      <c r="X495" s="282" t="s">
        <v>4844</v>
      </c>
      <c r="Y495" s="282" t="s">
        <v>217</v>
      </c>
      <c r="Z495" s="282" t="s">
        <v>4840</v>
      </c>
      <c r="AA495" s="282"/>
      <c r="AB495" s="55" t="s">
        <v>71</v>
      </c>
      <c r="AC495" t="s">
        <v>72</v>
      </c>
    </row>
    <row r="496" spans="1:29" x14ac:dyDescent="0.2">
      <c r="A496" s="282">
        <v>6008</v>
      </c>
      <c r="B496" s="282">
        <v>14097</v>
      </c>
      <c r="C496" s="282" t="s">
        <v>3410</v>
      </c>
      <c r="D496" s="282"/>
      <c r="E496" s="282" t="s">
        <v>311</v>
      </c>
      <c r="F496" s="282" t="s">
        <v>5008</v>
      </c>
      <c r="G496" s="282" t="s">
        <v>5004</v>
      </c>
      <c r="H496" s="282" t="s">
        <v>4838</v>
      </c>
      <c r="I496" s="282"/>
      <c r="J496" s="282"/>
      <c r="K496" s="282"/>
      <c r="L496" s="282"/>
      <c r="M496" s="283" t="e">
        <f t="shared" si="14"/>
        <v>#DIV/0!</v>
      </c>
      <c r="N496" s="282">
        <v>1848</v>
      </c>
      <c r="O496" s="282">
        <v>1.75</v>
      </c>
      <c r="P496" s="282">
        <v>1913</v>
      </c>
      <c r="Q496" s="282">
        <f>2023-Table28[[#This Row],[year_built]]</f>
        <v>110</v>
      </c>
      <c r="R496" s="282">
        <v>105</v>
      </c>
      <c r="S496" s="282" t="s">
        <v>5001</v>
      </c>
      <c r="T496" s="282" t="s">
        <v>5002</v>
      </c>
      <c r="U496" s="282">
        <v>2018</v>
      </c>
      <c r="V496" s="284">
        <f t="shared" si="15"/>
        <v>5.6818181818181816E-2</v>
      </c>
      <c r="W496" s="292">
        <f>Table28[[#This Row],[$/sqft]]/INDEX(CPI!$A$3:$C$31,MATCH(Table28[[#This Row],[start_year]],CPI!$A$3:$A$31,0),3)</f>
        <v>6.8810868542051346E-2</v>
      </c>
      <c r="X496" s="282" t="s">
        <v>4844</v>
      </c>
      <c r="Y496" s="282" t="s">
        <v>217</v>
      </c>
      <c r="Z496" s="282" t="s">
        <v>4840</v>
      </c>
      <c r="AA496" s="282"/>
      <c r="AB496" s="55" t="s">
        <v>71</v>
      </c>
      <c r="AC496" t="s">
        <v>72</v>
      </c>
    </row>
    <row r="497" spans="1:29" x14ac:dyDescent="0.2">
      <c r="A497" s="282">
        <v>6010</v>
      </c>
      <c r="B497" s="282">
        <v>14140</v>
      </c>
      <c r="C497" s="282" t="s">
        <v>3410</v>
      </c>
      <c r="D497" s="282"/>
      <c r="E497" s="282" t="s">
        <v>311</v>
      </c>
      <c r="F497" s="282" t="s">
        <v>5008</v>
      </c>
      <c r="G497" s="282" t="s">
        <v>5004</v>
      </c>
      <c r="H497" s="282" t="s">
        <v>4913</v>
      </c>
      <c r="I497" s="282"/>
      <c r="J497" s="282"/>
      <c r="K497" s="282"/>
      <c r="L497" s="282"/>
      <c r="M497" s="283" t="e">
        <f t="shared" si="14"/>
        <v>#DIV/0!</v>
      </c>
      <c r="N497" s="282">
        <v>1860</v>
      </c>
      <c r="O497" s="282">
        <v>1</v>
      </c>
      <c r="P497" s="282">
        <v>1956</v>
      </c>
      <c r="Q497" s="282">
        <f>2023-Table28[[#This Row],[year_built]]</f>
        <v>67</v>
      </c>
      <c r="R497" s="282">
        <v>105</v>
      </c>
      <c r="S497" s="282" t="s">
        <v>5010</v>
      </c>
      <c r="T497" s="282" t="s">
        <v>5002</v>
      </c>
      <c r="U497" s="282">
        <v>2019</v>
      </c>
      <c r="V497" s="284">
        <f t="shared" si="15"/>
        <v>5.6451612903225805E-2</v>
      </c>
      <c r="W497" s="292">
        <f>Table28[[#This Row],[$/sqft]]/INDEX(CPI!$A$3:$C$31,MATCH(Table28[[#This Row],[start_year]],CPI!$A$3:$A$31,0),3)</f>
        <v>6.7137017926753889E-2</v>
      </c>
      <c r="X497" s="282" t="s">
        <v>4844</v>
      </c>
      <c r="Y497" s="282" t="s">
        <v>217</v>
      </c>
      <c r="Z497" s="282" t="s">
        <v>4840</v>
      </c>
      <c r="AA497" s="282"/>
      <c r="AB497" s="55" t="s">
        <v>71</v>
      </c>
      <c r="AC497" t="s">
        <v>72</v>
      </c>
    </row>
    <row r="498" spans="1:29" x14ac:dyDescent="0.2">
      <c r="A498" s="282">
        <v>6012</v>
      </c>
      <c r="B498" s="282">
        <v>14178</v>
      </c>
      <c r="C498" s="282" t="s">
        <v>3410</v>
      </c>
      <c r="D498" s="282"/>
      <c r="E498" s="282" t="s">
        <v>311</v>
      </c>
      <c r="F498" s="282" t="s">
        <v>5008</v>
      </c>
      <c r="G498" s="282" t="s">
        <v>5004</v>
      </c>
      <c r="H498" s="282" t="s">
        <v>4913</v>
      </c>
      <c r="I498" s="282"/>
      <c r="J498" s="282"/>
      <c r="K498" s="282"/>
      <c r="L498" s="282"/>
      <c r="M498" s="283" t="e">
        <f t="shared" si="14"/>
        <v>#DIV/0!</v>
      </c>
      <c r="N498" s="282">
        <v>2536</v>
      </c>
      <c r="O498" s="282">
        <v>2</v>
      </c>
      <c r="P498" s="282">
        <v>1954</v>
      </c>
      <c r="Q498" s="282">
        <f>2023-Table28[[#This Row],[year_built]]</f>
        <v>69</v>
      </c>
      <c r="R498" s="282">
        <v>105</v>
      </c>
      <c r="S498" s="282" t="s">
        <v>5010</v>
      </c>
      <c r="T498" s="282" t="s">
        <v>5002</v>
      </c>
      <c r="U498" s="282">
        <v>2018</v>
      </c>
      <c r="V498" s="284">
        <f t="shared" si="15"/>
        <v>4.140378548895899E-2</v>
      </c>
      <c r="W498" s="292">
        <f>Table28[[#This Row],[$/sqft]]/INDEX(CPI!$A$3:$C$31,MATCH(Table28[[#This Row],[start_year]],CPI!$A$3:$A$31,0),3)</f>
        <v>5.014293575146328E-2</v>
      </c>
      <c r="X498" s="282" t="s">
        <v>4844</v>
      </c>
      <c r="Y498" s="282" t="s">
        <v>217</v>
      </c>
      <c r="Z498" s="282" t="s">
        <v>4840</v>
      </c>
      <c r="AA498" s="282"/>
      <c r="AB498" s="55" t="s">
        <v>71</v>
      </c>
      <c r="AC498" t="s">
        <v>72</v>
      </c>
    </row>
    <row r="499" spans="1:29" x14ac:dyDescent="0.2">
      <c r="A499" s="282">
        <v>6013</v>
      </c>
      <c r="B499" s="282">
        <v>14203</v>
      </c>
      <c r="C499" s="282" t="s">
        <v>3410</v>
      </c>
      <c r="D499" s="282"/>
      <c r="E499" s="282" t="s">
        <v>311</v>
      </c>
      <c r="F499" s="282" t="s">
        <v>5008</v>
      </c>
      <c r="G499" s="282" t="s">
        <v>5004</v>
      </c>
      <c r="H499" s="282" t="s">
        <v>4838</v>
      </c>
      <c r="I499" s="282"/>
      <c r="J499" s="282"/>
      <c r="K499" s="282"/>
      <c r="L499" s="282"/>
      <c r="M499" s="283" t="e">
        <f t="shared" si="14"/>
        <v>#DIV/0!</v>
      </c>
      <c r="N499" s="282">
        <v>1968</v>
      </c>
      <c r="O499" s="282">
        <v>2</v>
      </c>
      <c r="P499" s="282">
        <v>1914</v>
      </c>
      <c r="Q499" s="282">
        <f>2023-Table28[[#This Row],[year_built]]</f>
        <v>109</v>
      </c>
      <c r="R499" s="282">
        <v>105</v>
      </c>
      <c r="S499" s="282" t="s">
        <v>5001</v>
      </c>
      <c r="T499" s="282" t="s">
        <v>5002</v>
      </c>
      <c r="U499" s="282">
        <v>2018</v>
      </c>
      <c r="V499" s="284">
        <f t="shared" si="15"/>
        <v>5.3353658536585365E-2</v>
      </c>
      <c r="W499" s="292">
        <f>Table28[[#This Row],[$/sqft]]/INDEX(CPI!$A$3:$C$31,MATCH(Table28[[#This Row],[start_year]],CPI!$A$3:$A$31,0),3)</f>
        <v>6.4615083874853096E-2</v>
      </c>
      <c r="X499" s="282" t="s">
        <v>4844</v>
      </c>
      <c r="Y499" s="282" t="s">
        <v>217</v>
      </c>
      <c r="Z499" s="282" t="s">
        <v>4840</v>
      </c>
      <c r="AA499" s="282"/>
      <c r="AB499" s="55" t="s">
        <v>71</v>
      </c>
      <c r="AC499" t="s">
        <v>72</v>
      </c>
    </row>
    <row r="500" spans="1:29" x14ac:dyDescent="0.2">
      <c r="A500" s="282">
        <v>6014</v>
      </c>
      <c r="B500" s="282">
        <v>14217</v>
      </c>
      <c r="C500" s="282" t="s">
        <v>3410</v>
      </c>
      <c r="D500" s="282"/>
      <c r="E500" s="282" t="s">
        <v>311</v>
      </c>
      <c r="F500" s="282" t="s">
        <v>4832</v>
      </c>
      <c r="G500" s="282" t="s">
        <v>5004</v>
      </c>
      <c r="H500" s="282" t="s">
        <v>4838</v>
      </c>
      <c r="I500" s="282"/>
      <c r="J500" s="282"/>
      <c r="K500" s="282"/>
      <c r="L500" s="282"/>
      <c r="M500" s="283" t="e">
        <f t="shared" si="14"/>
        <v>#DIV/0!</v>
      </c>
      <c r="N500" s="282">
        <v>2200</v>
      </c>
      <c r="O500" s="282">
        <v>1.5</v>
      </c>
      <c r="P500" s="282">
        <v>1941</v>
      </c>
      <c r="Q500" s="282">
        <f>2023-Table28[[#This Row],[year_built]]</f>
        <v>82</v>
      </c>
      <c r="R500" s="282">
        <v>135</v>
      </c>
      <c r="S500" s="282" t="s">
        <v>5001</v>
      </c>
      <c r="T500" s="282" t="s">
        <v>5002</v>
      </c>
      <c r="U500" s="282">
        <v>2016</v>
      </c>
      <c r="V500" s="284">
        <f t="shared" si="15"/>
        <v>6.1363636363636363E-2</v>
      </c>
      <c r="W500" s="292">
        <f>Table28[[#This Row],[$/sqft]]/INDEX(CPI!$A$3:$C$31,MATCH(Table28[[#This Row],[start_year]],CPI!$A$3:$A$31,0),3)</f>
        <v>7.7750573184039704E-2</v>
      </c>
      <c r="X500" s="282" t="s">
        <v>4844</v>
      </c>
      <c r="Y500" s="282" t="s">
        <v>217</v>
      </c>
      <c r="Z500" s="282" t="s">
        <v>4840</v>
      </c>
      <c r="AA500" s="282"/>
      <c r="AB500" s="55" t="s">
        <v>71</v>
      </c>
      <c r="AC500" t="s">
        <v>72</v>
      </c>
    </row>
    <row r="501" spans="1:29" x14ac:dyDescent="0.2">
      <c r="A501" s="282">
        <v>6020</v>
      </c>
      <c r="B501" s="282">
        <v>14280</v>
      </c>
      <c r="C501" s="282" t="s">
        <v>3410</v>
      </c>
      <c r="D501" s="282"/>
      <c r="E501" s="282" t="s">
        <v>311</v>
      </c>
      <c r="F501" s="282" t="s">
        <v>4832</v>
      </c>
      <c r="G501" s="282" t="s">
        <v>5004</v>
      </c>
      <c r="H501" s="282" t="s">
        <v>4850</v>
      </c>
      <c r="I501" s="282"/>
      <c r="J501" s="282"/>
      <c r="K501" s="282"/>
      <c r="L501" s="282"/>
      <c r="M501" s="283" t="e">
        <f t="shared" si="14"/>
        <v>#DIV/0!</v>
      </c>
      <c r="N501" s="282">
        <v>4417</v>
      </c>
      <c r="O501" s="282">
        <v>2</v>
      </c>
      <c r="P501" s="282">
        <v>1923</v>
      </c>
      <c r="Q501" s="282">
        <f>2023-Table28[[#This Row],[year_built]]</f>
        <v>100</v>
      </c>
      <c r="R501" s="282"/>
      <c r="S501" s="282" t="s">
        <v>5001</v>
      </c>
      <c r="T501" s="282" t="s">
        <v>5002</v>
      </c>
      <c r="U501" s="282">
        <v>2014</v>
      </c>
      <c r="V501" s="284" t="str">
        <f t="shared" si="15"/>
        <v/>
      </c>
      <c r="W501" s="292" t="e">
        <f>Table28[[#This Row],[$/sqft]]/INDEX(CPI!$A$3:$C$31,MATCH(Table28[[#This Row],[start_year]],CPI!$A$3:$A$31,0),3)</f>
        <v>#VALUE!</v>
      </c>
      <c r="X501" s="282" t="s">
        <v>4844</v>
      </c>
      <c r="Y501" s="282" t="s">
        <v>217</v>
      </c>
      <c r="Z501" s="282" t="s">
        <v>4840</v>
      </c>
      <c r="AA501" s="282"/>
      <c r="AB501" s="55" t="s">
        <v>71</v>
      </c>
      <c r="AC501" t="s">
        <v>72</v>
      </c>
    </row>
    <row r="502" spans="1:29" x14ac:dyDescent="0.2">
      <c r="A502" s="282">
        <v>6021</v>
      </c>
      <c r="B502" s="282">
        <v>14295</v>
      </c>
      <c r="C502" s="282" t="s">
        <v>3410</v>
      </c>
      <c r="D502" s="282"/>
      <c r="E502" s="282" t="s">
        <v>311</v>
      </c>
      <c r="F502" s="282" t="s">
        <v>5008</v>
      </c>
      <c r="G502" s="282" t="s">
        <v>5004</v>
      </c>
      <c r="H502" s="282" t="s">
        <v>4838</v>
      </c>
      <c r="I502" s="282"/>
      <c r="J502" s="282"/>
      <c r="K502" s="282"/>
      <c r="L502" s="282"/>
      <c r="M502" s="283" t="e">
        <f t="shared" si="14"/>
        <v>#DIV/0!</v>
      </c>
      <c r="N502" s="282">
        <v>2560</v>
      </c>
      <c r="O502" s="282">
        <v>2.5</v>
      </c>
      <c r="P502" s="282">
        <v>1908</v>
      </c>
      <c r="Q502" s="282">
        <f>2023-Table28[[#This Row],[year_built]]</f>
        <v>115</v>
      </c>
      <c r="R502" s="282">
        <v>500</v>
      </c>
      <c r="S502" s="282" t="s">
        <v>5001</v>
      </c>
      <c r="T502" s="282" t="s">
        <v>5002</v>
      </c>
      <c r="U502" s="282">
        <v>2019</v>
      </c>
      <c r="V502" s="284">
        <f t="shared" si="15"/>
        <v>0.1953125</v>
      </c>
      <c r="W502" s="292">
        <f>Table28[[#This Row],[$/sqft]]/INDEX(CPI!$A$3:$C$31,MATCH(Table28[[#This Row],[start_year]],CPI!$A$3:$A$31,0),3)</f>
        <v>0.23228209327336724</v>
      </c>
      <c r="X502" s="282" t="s">
        <v>4844</v>
      </c>
      <c r="Y502" s="282" t="s">
        <v>217</v>
      </c>
      <c r="Z502" s="282" t="s">
        <v>4840</v>
      </c>
      <c r="AA502" s="282"/>
      <c r="AB502" s="55" t="s">
        <v>71</v>
      </c>
      <c r="AC502" t="s">
        <v>72</v>
      </c>
    </row>
    <row r="503" spans="1:29" x14ac:dyDescent="0.2">
      <c r="A503" s="282">
        <v>6022</v>
      </c>
      <c r="B503" s="282">
        <v>14302</v>
      </c>
      <c r="C503" s="282" t="s">
        <v>3410</v>
      </c>
      <c r="D503" s="282"/>
      <c r="E503" s="282" t="s">
        <v>311</v>
      </c>
      <c r="F503" s="282" t="s">
        <v>5008</v>
      </c>
      <c r="G503" s="282" t="s">
        <v>5004</v>
      </c>
      <c r="H503" s="282" t="s">
        <v>4838</v>
      </c>
      <c r="I503" s="282"/>
      <c r="J503" s="282"/>
      <c r="K503" s="282"/>
      <c r="L503" s="282"/>
      <c r="M503" s="283" t="e">
        <f t="shared" si="14"/>
        <v>#DIV/0!</v>
      </c>
      <c r="N503" s="282">
        <v>2074</v>
      </c>
      <c r="O503" s="282">
        <v>1.5</v>
      </c>
      <c r="P503" s="282">
        <v>1928</v>
      </c>
      <c r="Q503" s="282">
        <f>2023-Table28[[#This Row],[year_built]]</f>
        <v>95</v>
      </c>
      <c r="R503" s="282">
        <v>210</v>
      </c>
      <c r="S503" s="282" t="s">
        <v>5001</v>
      </c>
      <c r="T503" s="282" t="s">
        <v>5002</v>
      </c>
      <c r="U503" s="282">
        <v>2017</v>
      </c>
      <c r="V503" s="284">
        <f t="shared" si="15"/>
        <v>0.10125361620057859</v>
      </c>
      <c r="W503" s="292">
        <f>Table28[[#This Row],[$/sqft]]/INDEX(CPI!$A$3:$C$31,MATCH(Table28[[#This Row],[start_year]],CPI!$A$3:$A$31,0),3)</f>
        <v>0.12562719170377784</v>
      </c>
      <c r="X503" s="282" t="s">
        <v>4844</v>
      </c>
      <c r="Y503" s="282" t="s">
        <v>217</v>
      </c>
      <c r="Z503" s="282" t="s">
        <v>4840</v>
      </c>
      <c r="AA503" s="282"/>
      <c r="AB503" s="55" t="s">
        <v>71</v>
      </c>
      <c r="AC503" t="s">
        <v>72</v>
      </c>
    </row>
    <row r="504" spans="1:29" x14ac:dyDescent="0.2">
      <c r="A504" s="282">
        <v>6029</v>
      </c>
      <c r="B504" s="282">
        <v>14395</v>
      </c>
      <c r="C504" s="282" t="s">
        <v>3410</v>
      </c>
      <c r="D504" s="282"/>
      <c r="E504" s="282" t="s">
        <v>311</v>
      </c>
      <c r="F504" s="282" t="s">
        <v>5008</v>
      </c>
      <c r="G504" s="282" t="s">
        <v>5004</v>
      </c>
      <c r="H504" s="282" t="s">
        <v>4838</v>
      </c>
      <c r="I504" s="282"/>
      <c r="J504" s="282"/>
      <c r="K504" s="282"/>
      <c r="L504" s="282"/>
      <c r="M504" s="283" t="e">
        <f t="shared" si="14"/>
        <v>#DIV/0!</v>
      </c>
      <c r="N504" s="282">
        <v>2485</v>
      </c>
      <c r="O504" s="282">
        <v>1.5</v>
      </c>
      <c r="P504" s="282">
        <v>1947</v>
      </c>
      <c r="Q504" s="282">
        <f>2023-Table28[[#This Row],[year_built]]</f>
        <v>76</v>
      </c>
      <c r="R504" s="282">
        <v>175</v>
      </c>
      <c r="S504" s="282" t="s">
        <v>5010</v>
      </c>
      <c r="T504" s="282" t="s">
        <v>5002</v>
      </c>
      <c r="U504" s="282">
        <v>2015</v>
      </c>
      <c r="V504" s="284">
        <f t="shared" si="15"/>
        <v>7.0422535211267609E-2</v>
      </c>
      <c r="W504" s="292">
        <f>Table28[[#This Row],[$/sqft]]/INDEX(CPI!$A$3:$C$31,MATCH(Table28[[#This Row],[start_year]],CPI!$A$3:$A$31,0),3)</f>
        <v>9.0354248673076121E-2</v>
      </c>
      <c r="X504" s="282" t="s">
        <v>4844</v>
      </c>
      <c r="Y504" s="282" t="s">
        <v>217</v>
      </c>
      <c r="Z504" s="282" t="s">
        <v>4840</v>
      </c>
      <c r="AA504" s="282"/>
      <c r="AB504" s="55" t="s">
        <v>71</v>
      </c>
      <c r="AC504" t="s">
        <v>72</v>
      </c>
    </row>
    <row r="505" spans="1:29" x14ac:dyDescent="0.2">
      <c r="A505" s="282">
        <v>6031</v>
      </c>
      <c r="B505" s="282">
        <v>14417</v>
      </c>
      <c r="C505" s="282" t="s">
        <v>3410</v>
      </c>
      <c r="D505" s="282"/>
      <c r="E505" s="282" t="s">
        <v>311</v>
      </c>
      <c r="F505" s="282" t="s">
        <v>5008</v>
      </c>
      <c r="G505" s="282" t="s">
        <v>5004</v>
      </c>
      <c r="H505" s="282" t="s">
        <v>4913</v>
      </c>
      <c r="I505" s="282"/>
      <c r="J505" s="282"/>
      <c r="K505" s="282"/>
      <c r="L505" s="282"/>
      <c r="M505" s="283" t="e">
        <f t="shared" si="14"/>
        <v>#DIV/0!</v>
      </c>
      <c r="N505" s="282">
        <v>2150</v>
      </c>
      <c r="O505" s="282">
        <v>1.75</v>
      </c>
      <c r="P505" s="282">
        <v>1939</v>
      </c>
      <c r="Q505" s="282">
        <f>2023-Table28[[#This Row],[year_built]]</f>
        <v>84</v>
      </c>
      <c r="R505" s="282">
        <v>255</v>
      </c>
      <c r="S505" s="282" t="s">
        <v>5011</v>
      </c>
      <c r="T505" s="282" t="s">
        <v>5002</v>
      </c>
      <c r="U505" s="282">
        <v>2018</v>
      </c>
      <c r="V505" s="284">
        <f t="shared" si="15"/>
        <v>0.1186046511627907</v>
      </c>
      <c r="W505" s="292">
        <f>Table28[[#This Row],[$/sqft]]/INDEX(CPI!$A$3:$C$31,MATCH(Table28[[#This Row],[start_year]],CPI!$A$3:$A$31,0),3)</f>
        <v>0.1436386874496402</v>
      </c>
      <c r="X505" s="282" t="s">
        <v>4844</v>
      </c>
      <c r="Y505" s="282" t="s">
        <v>4872</v>
      </c>
      <c r="Z505" s="282" t="s">
        <v>4840</v>
      </c>
      <c r="AA505" s="282"/>
      <c r="AB505" s="55" t="s">
        <v>71</v>
      </c>
      <c r="AC505" t="s">
        <v>72</v>
      </c>
    </row>
    <row r="506" spans="1:29" x14ac:dyDescent="0.2">
      <c r="A506" s="282">
        <v>6033</v>
      </c>
      <c r="B506" s="282">
        <v>14455</v>
      </c>
      <c r="C506" s="282" t="s">
        <v>3410</v>
      </c>
      <c r="D506" s="282"/>
      <c r="E506" s="282" t="s">
        <v>311</v>
      </c>
      <c r="F506" s="282" t="s">
        <v>5008</v>
      </c>
      <c r="G506" s="282" t="s">
        <v>5004</v>
      </c>
      <c r="H506" s="282" t="s">
        <v>4838</v>
      </c>
      <c r="I506" s="282"/>
      <c r="J506" s="282"/>
      <c r="K506" s="282"/>
      <c r="L506" s="282"/>
      <c r="M506" s="283" t="e">
        <f t="shared" si="14"/>
        <v>#DIV/0!</v>
      </c>
      <c r="N506" s="282">
        <v>1956</v>
      </c>
      <c r="O506" s="282">
        <v>1.5</v>
      </c>
      <c r="P506" s="282">
        <v>1952</v>
      </c>
      <c r="Q506" s="282">
        <f>2023-Table28[[#This Row],[year_built]]</f>
        <v>71</v>
      </c>
      <c r="R506" s="282">
        <v>210</v>
      </c>
      <c r="S506" s="282" t="s">
        <v>5012</v>
      </c>
      <c r="T506" s="282" t="s">
        <v>5002</v>
      </c>
      <c r="U506" s="282">
        <v>2018</v>
      </c>
      <c r="V506" s="284">
        <f t="shared" si="15"/>
        <v>0.10736196319018405</v>
      </c>
      <c r="W506" s="292">
        <f>Table28[[#This Row],[$/sqft]]/INDEX(CPI!$A$3:$C$31,MATCH(Table28[[#This Row],[start_year]],CPI!$A$3:$A$31,0),3)</f>
        <v>0.13002299086473507</v>
      </c>
      <c r="X506" s="282" t="s">
        <v>4844</v>
      </c>
      <c r="Y506" s="282" t="s">
        <v>217</v>
      </c>
      <c r="Z506" s="282" t="s">
        <v>4840</v>
      </c>
      <c r="AA506" s="282"/>
      <c r="AB506" s="55" t="s">
        <v>71</v>
      </c>
      <c r="AC506" t="s">
        <v>72</v>
      </c>
    </row>
    <row r="507" spans="1:29" x14ac:dyDescent="0.2">
      <c r="A507" s="282">
        <v>6035</v>
      </c>
      <c r="B507" s="282">
        <v>14484</v>
      </c>
      <c r="C507" s="282" t="s">
        <v>3410</v>
      </c>
      <c r="D507" s="282"/>
      <c r="E507" s="282" t="s">
        <v>311</v>
      </c>
      <c r="F507" s="282" t="s">
        <v>5008</v>
      </c>
      <c r="G507" s="282" t="s">
        <v>5004</v>
      </c>
      <c r="H507" s="282" t="s">
        <v>4838</v>
      </c>
      <c r="I507" s="282"/>
      <c r="J507" s="282"/>
      <c r="K507" s="282"/>
      <c r="L507" s="282"/>
      <c r="M507" s="283" t="e">
        <f t="shared" si="14"/>
        <v>#DIV/0!</v>
      </c>
      <c r="N507" s="282">
        <v>2750</v>
      </c>
      <c r="O507" s="282">
        <v>2.5</v>
      </c>
      <c r="P507" s="282">
        <v>1910</v>
      </c>
      <c r="Q507" s="282">
        <f>2023-Table28[[#This Row],[year_built]]</f>
        <v>113</v>
      </c>
      <c r="R507" s="282">
        <v>315</v>
      </c>
      <c r="S507" s="282" t="s">
        <v>5013</v>
      </c>
      <c r="T507" s="282" t="s">
        <v>5002</v>
      </c>
      <c r="U507" s="282">
        <v>2018</v>
      </c>
      <c r="V507" s="284">
        <f t="shared" si="15"/>
        <v>0.11454545454545455</v>
      </c>
      <c r="W507" s="292">
        <f>Table28[[#This Row],[$/sqft]]/INDEX(CPI!$A$3:$C$31,MATCH(Table28[[#This Row],[start_year]],CPI!$A$3:$A$31,0),3)</f>
        <v>0.13872271098077552</v>
      </c>
      <c r="X507" s="282" t="s">
        <v>4844</v>
      </c>
      <c r="Y507" s="282" t="s">
        <v>217</v>
      </c>
      <c r="Z507" s="282" t="s">
        <v>4840</v>
      </c>
      <c r="AA507" s="282"/>
      <c r="AB507" s="55" t="s">
        <v>71</v>
      </c>
      <c r="AC507" t="s">
        <v>72</v>
      </c>
    </row>
    <row r="508" spans="1:29" x14ac:dyDescent="0.2">
      <c r="A508" s="282">
        <v>6036</v>
      </c>
      <c r="B508" s="282">
        <v>14494</v>
      </c>
      <c r="C508" s="282" t="s">
        <v>3410</v>
      </c>
      <c r="D508" s="282"/>
      <c r="E508" s="282" t="s">
        <v>311</v>
      </c>
      <c r="F508" s="282" t="s">
        <v>4832</v>
      </c>
      <c r="G508" s="282" t="s">
        <v>5004</v>
      </c>
      <c r="H508" s="282" t="s">
        <v>4838</v>
      </c>
      <c r="I508" s="282"/>
      <c r="J508" s="282"/>
      <c r="K508" s="282"/>
      <c r="L508" s="282"/>
      <c r="M508" s="283" t="e">
        <f t="shared" si="14"/>
        <v>#DIV/0!</v>
      </c>
      <c r="N508" s="282">
        <v>2520</v>
      </c>
      <c r="O508" s="282">
        <v>2.5</v>
      </c>
      <c r="P508" s="282">
        <v>1885</v>
      </c>
      <c r="Q508" s="282">
        <f>2023-Table28[[#This Row],[year_built]]</f>
        <v>138</v>
      </c>
      <c r="R508" s="282">
        <v>50</v>
      </c>
      <c r="S508" s="282" t="s">
        <v>5001</v>
      </c>
      <c r="T508" s="282" t="s">
        <v>5002</v>
      </c>
      <c r="U508" s="282">
        <v>2014</v>
      </c>
      <c r="V508" s="284">
        <f t="shared" si="15"/>
        <v>1.984126984126984E-2</v>
      </c>
      <c r="W508" s="292">
        <f>Table28[[#This Row],[$/sqft]]/INDEX(CPI!$A$3:$C$31,MATCH(Table28[[#This Row],[start_year]],CPI!$A$3:$A$31,0),3)</f>
        <v>2.548716781026189E-2</v>
      </c>
      <c r="X508" s="282" t="s">
        <v>4844</v>
      </c>
      <c r="Y508" s="282" t="s">
        <v>217</v>
      </c>
      <c r="Z508" s="282" t="s">
        <v>4840</v>
      </c>
      <c r="AA508" s="282"/>
      <c r="AB508" s="55" t="s">
        <v>71</v>
      </c>
      <c r="AC508" t="s">
        <v>72</v>
      </c>
    </row>
    <row r="509" spans="1:29" x14ac:dyDescent="0.2">
      <c r="A509" s="282">
        <v>6039</v>
      </c>
      <c r="B509" s="282">
        <v>14527</v>
      </c>
      <c r="C509" s="282" t="s">
        <v>3410</v>
      </c>
      <c r="D509" s="282"/>
      <c r="E509" s="282" t="s">
        <v>311</v>
      </c>
      <c r="F509" s="282" t="s">
        <v>5008</v>
      </c>
      <c r="G509" s="282" t="s">
        <v>5004</v>
      </c>
      <c r="H509" s="282" t="s">
        <v>4838</v>
      </c>
      <c r="I509" s="282"/>
      <c r="J509" s="282"/>
      <c r="K509" s="282"/>
      <c r="L509" s="282"/>
      <c r="M509" s="283" t="e">
        <f t="shared" si="14"/>
        <v>#DIV/0!</v>
      </c>
      <c r="N509" s="282">
        <v>1896</v>
      </c>
      <c r="O509" s="282">
        <v>1.75</v>
      </c>
      <c r="P509" s="282">
        <v>1910</v>
      </c>
      <c r="Q509" s="282">
        <f>2023-Table28[[#This Row],[year_built]]</f>
        <v>113</v>
      </c>
      <c r="R509" s="282">
        <v>200</v>
      </c>
      <c r="S509" s="282" t="s">
        <v>5001</v>
      </c>
      <c r="T509" s="282" t="s">
        <v>5002</v>
      </c>
      <c r="U509" s="282">
        <v>2017</v>
      </c>
      <c r="V509" s="284">
        <f t="shared" si="15"/>
        <v>0.10548523206751055</v>
      </c>
      <c r="W509" s="292">
        <f>Table28[[#This Row],[$/sqft]]/INDEX(CPI!$A$3:$C$31,MATCH(Table28[[#This Row],[start_year]],CPI!$A$3:$A$31,0),3)</f>
        <v>0.1308774339931863</v>
      </c>
      <c r="X509" s="282" t="s">
        <v>4844</v>
      </c>
      <c r="Y509" s="282" t="s">
        <v>4872</v>
      </c>
      <c r="Z509" s="282" t="s">
        <v>4840</v>
      </c>
      <c r="AA509" s="282"/>
      <c r="AB509" s="55" t="s">
        <v>71</v>
      </c>
      <c r="AC509" t="s">
        <v>72</v>
      </c>
    </row>
    <row r="510" spans="1:29" x14ac:dyDescent="0.2">
      <c r="A510" s="282">
        <v>6040</v>
      </c>
      <c r="B510" s="282">
        <v>14537</v>
      </c>
      <c r="C510" s="282" t="s">
        <v>3410</v>
      </c>
      <c r="D510" s="282"/>
      <c r="E510" s="282" t="s">
        <v>311</v>
      </c>
      <c r="F510" s="282" t="s">
        <v>5008</v>
      </c>
      <c r="G510" s="282" t="s">
        <v>5004</v>
      </c>
      <c r="H510" s="282" t="s">
        <v>4838</v>
      </c>
      <c r="I510" s="282"/>
      <c r="J510" s="282"/>
      <c r="K510" s="282"/>
      <c r="L510" s="282"/>
      <c r="M510" s="283" t="e">
        <f t="shared" si="14"/>
        <v>#DIV/0!</v>
      </c>
      <c r="N510" s="282">
        <v>1860</v>
      </c>
      <c r="O510" s="282">
        <v>1</v>
      </c>
      <c r="P510" s="282">
        <v>1962</v>
      </c>
      <c r="Q510" s="282">
        <f>2023-Table28[[#This Row],[year_built]]</f>
        <v>61</v>
      </c>
      <c r="R510" s="282">
        <v>105</v>
      </c>
      <c r="S510" s="282" t="s">
        <v>5014</v>
      </c>
      <c r="T510" s="282" t="s">
        <v>5002</v>
      </c>
      <c r="U510" s="282">
        <v>2019</v>
      </c>
      <c r="V510" s="284">
        <f t="shared" si="15"/>
        <v>5.6451612903225805E-2</v>
      </c>
      <c r="W510" s="292">
        <f>Table28[[#This Row],[$/sqft]]/INDEX(CPI!$A$3:$C$31,MATCH(Table28[[#This Row],[start_year]],CPI!$A$3:$A$31,0),3)</f>
        <v>6.7137017926753889E-2</v>
      </c>
      <c r="X510" s="282" t="s">
        <v>4844</v>
      </c>
      <c r="Y510" s="282" t="s">
        <v>217</v>
      </c>
      <c r="Z510" s="282" t="s">
        <v>4840</v>
      </c>
      <c r="AA510" s="282"/>
      <c r="AB510" s="55" t="s">
        <v>71</v>
      </c>
      <c r="AC510" t="s">
        <v>72</v>
      </c>
    </row>
    <row r="511" spans="1:29" x14ac:dyDescent="0.2">
      <c r="A511" s="282">
        <v>6041</v>
      </c>
      <c r="B511" s="282">
        <v>14560</v>
      </c>
      <c r="C511" s="282" t="s">
        <v>3410</v>
      </c>
      <c r="D511" s="282"/>
      <c r="E511" s="282" t="s">
        <v>311</v>
      </c>
      <c r="F511" s="282" t="s">
        <v>5008</v>
      </c>
      <c r="G511" s="282" t="s">
        <v>5004</v>
      </c>
      <c r="H511" s="282" t="s">
        <v>4838</v>
      </c>
      <c r="I511" s="282"/>
      <c r="J511" s="282"/>
      <c r="K511" s="282"/>
      <c r="L511" s="282"/>
      <c r="M511" s="283" t="e">
        <f t="shared" si="14"/>
        <v>#DIV/0!</v>
      </c>
      <c r="N511" s="282">
        <v>2092</v>
      </c>
      <c r="O511" s="282">
        <v>1.5</v>
      </c>
      <c r="P511" s="282">
        <v>1923</v>
      </c>
      <c r="Q511" s="282">
        <f>2023-Table28[[#This Row],[year_built]]</f>
        <v>100</v>
      </c>
      <c r="R511" s="282">
        <v>210</v>
      </c>
      <c r="S511" s="282" t="s">
        <v>5001</v>
      </c>
      <c r="T511" s="282" t="s">
        <v>5002</v>
      </c>
      <c r="U511" s="282">
        <v>2019</v>
      </c>
      <c r="V511" s="284">
        <f t="shared" si="15"/>
        <v>0.10038240917782026</v>
      </c>
      <c r="W511" s="292">
        <f>Table28[[#This Row],[$/sqft]]/INDEX(CPI!$A$3:$C$31,MATCH(Table28[[#This Row],[start_year]],CPI!$A$3:$A$31,0),3)</f>
        <v>0.11938322499403654</v>
      </c>
      <c r="X511" s="282" t="s">
        <v>4844</v>
      </c>
      <c r="Y511" s="282" t="s">
        <v>217</v>
      </c>
      <c r="Z511" s="282" t="s">
        <v>4840</v>
      </c>
      <c r="AA511" s="282"/>
      <c r="AB511" s="55" t="s">
        <v>71</v>
      </c>
      <c r="AC511" t="s">
        <v>72</v>
      </c>
    </row>
    <row r="512" spans="1:29" x14ac:dyDescent="0.2">
      <c r="A512" s="282">
        <v>6046</v>
      </c>
      <c r="B512" s="282">
        <v>14652</v>
      </c>
      <c r="C512" s="282" t="s">
        <v>3410</v>
      </c>
      <c r="D512" s="282"/>
      <c r="E512" s="282" t="s">
        <v>311</v>
      </c>
      <c r="F512" s="282" t="s">
        <v>5008</v>
      </c>
      <c r="G512" s="282" t="s">
        <v>5004</v>
      </c>
      <c r="H512" s="282" t="s">
        <v>4838</v>
      </c>
      <c r="I512" s="282"/>
      <c r="J512" s="282"/>
      <c r="K512" s="282"/>
      <c r="L512" s="282"/>
      <c r="M512" s="283" t="e">
        <f t="shared" si="14"/>
        <v>#DIV/0!</v>
      </c>
      <c r="N512" s="282">
        <v>3075</v>
      </c>
      <c r="O512" s="282">
        <v>1.75</v>
      </c>
      <c r="P512" s="282">
        <v>1916</v>
      </c>
      <c r="Q512" s="282">
        <f>2023-Table28[[#This Row],[year_built]]</f>
        <v>107</v>
      </c>
      <c r="R512" s="282"/>
      <c r="S512" s="282" t="s">
        <v>5001</v>
      </c>
      <c r="T512" s="282" t="s">
        <v>5002</v>
      </c>
      <c r="U512" s="282">
        <v>2017</v>
      </c>
      <c r="V512" s="284" t="str">
        <f t="shared" si="15"/>
        <v/>
      </c>
      <c r="W512" s="292" t="e">
        <f>Table28[[#This Row],[$/sqft]]/INDEX(CPI!$A$3:$C$31,MATCH(Table28[[#This Row],[start_year]],CPI!$A$3:$A$31,0),3)</f>
        <v>#VALUE!</v>
      </c>
      <c r="X512" s="282" t="s">
        <v>4844</v>
      </c>
      <c r="Y512" s="282" t="s">
        <v>217</v>
      </c>
      <c r="Z512" s="282" t="s">
        <v>4840</v>
      </c>
      <c r="AA512" s="282"/>
      <c r="AB512" s="55" t="s">
        <v>71</v>
      </c>
      <c r="AC512" t="s">
        <v>72</v>
      </c>
    </row>
    <row r="513" spans="1:29" x14ac:dyDescent="0.2">
      <c r="A513" s="282">
        <v>6047</v>
      </c>
      <c r="B513" s="282">
        <v>14662</v>
      </c>
      <c r="C513" s="282" t="s">
        <v>3410</v>
      </c>
      <c r="D513" s="282"/>
      <c r="E513" s="282" t="s">
        <v>311</v>
      </c>
      <c r="F513" s="282" t="s">
        <v>5008</v>
      </c>
      <c r="G513" s="282" t="s">
        <v>5004</v>
      </c>
      <c r="H513" s="282" t="s">
        <v>4838</v>
      </c>
      <c r="I513" s="282"/>
      <c r="J513" s="282"/>
      <c r="K513" s="282"/>
      <c r="L513" s="282"/>
      <c r="M513" s="283" t="e">
        <f t="shared" si="14"/>
        <v>#DIV/0!</v>
      </c>
      <c r="N513" s="282">
        <v>1440</v>
      </c>
      <c r="O513" s="282">
        <v>1</v>
      </c>
      <c r="P513" s="282">
        <v>1954</v>
      </c>
      <c r="Q513" s="282">
        <f>2023-Table28[[#This Row],[year_built]]</f>
        <v>69</v>
      </c>
      <c r="R513" s="282"/>
      <c r="S513" s="282" t="s">
        <v>5011</v>
      </c>
      <c r="T513" s="282" t="s">
        <v>5002</v>
      </c>
      <c r="U513" s="282">
        <v>2017</v>
      </c>
      <c r="V513" s="284" t="str">
        <f t="shared" si="15"/>
        <v/>
      </c>
      <c r="W513" s="292" t="e">
        <f>Table28[[#This Row],[$/sqft]]/INDEX(CPI!$A$3:$C$31,MATCH(Table28[[#This Row],[start_year]],CPI!$A$3:$A$31,0),3)</f>
        <v>#VALUE!</v>
      </c>
      <c r="X513" s="282" t="s">
        <v>4844</v>
      </c>
      <c r="Y513" s="282" t="s">
        <v>217</v>
      </c>
      <c r="Z513" s="282" t="s">
        <v>4840</v>
      </c>
      <c r="AA513" s="282"/>
      <c r="AB513" s="55" t="s">
        <v>71</v>
      </c>
      <c r="AC513" t="s">
        <v>72</v>
      </c>
    </row>
    <row r="514" spans="1:29" x14ac:dyDescent="0.2">
      <c r="A514" s="282">
        <v>6050</v>
      </c>
      <c r="B514" s="282">
        <v>14722</v>
      </c>
      <c r="C514" s="282" t="s">
        <v>3410</v>
      </c>
      <c r="D514" s="282"/>
      <c r="E514" s="282" t="s">
        <v>311</v>
      </c>
      <c r="F514" s="282" t="s">
        <v>4832</v>
      </c>
      <c r="G514" s="282" t="s">
        <v>5004</v>
      </c>
      <c r="H514" s="282" t="s">
        <v>4838</v>
      </c>
      <c r="I514" s="282"/>
      <c r="J514" s="282"/>
      <c r="K514" s="282"/>
      <c r="L514" s="282"/>
      <c r="M514" s="283" t="e">
        <f t="shared" si="14"/>
        <v>#DIV/0!</v>
      </c>
      <c r="N514" s="282">
        <v>2576</v>
      </c>
      <c r="O514" s="282">
        <v>1.5</v>
      </c>
      <c r="P514" s="282">
        <v>1948</v>
      </c>
      <c r="Q514" s="282">
        <f>2023-Table28[[#This Row],[year_built]]</f>
        <v>75</v>
      </c>
      <c r="R514" s="282">
        <v>270</v>
      </c>
      <c r="S514" s="282" t="s">
        <v>5001</v>
      </c>
      <c r="T514" s="282" t="s">
        <v>5002</v>
      </c>
      <c r="U514" s="282">
        <v>2018</v>
      </c>
      <c r="V514" s="284">
        <f t="shared" si="15"/>
        <v>0.1048136645962733</v>
      </c>
      <c r="W514" s="292">
        <f>Table28[[#This Row],[$/sqft]]/INDEX(CPI!$A$3:$C$31,MATCH(Table28[[#This Row],[start_year]],CPI!$A$3:$A$31,0),3)</f>
        <v>0.12693681960862888</v>
      </c>
      <c r="X514" s="282" t="s">
        <v>4844</v>
      </c>
      <c r="Y514" s="282" t="s">
        <v>217</v>
      </c>
      <c r="Z514" s="282" t="s">
        <v>4840</v>
      </c>
      <c r="AA514" s="282"/>
      <c r="AB514" s="55" t="s">
        <v>71</v>
      </c>
      <c r="AC514" t="s">
        <v>72</v>
      </c>
    </row>
    <row r="515" spans="1:29" x14ac:dyDescent="0.2">
      <c r="A515" s="282">
        <v>1045</v>
      </c>
      <c r="B515" s="282">
        <v>1158</v>
      </c>
      <c r="C515" s="282" t="s">
        <v>3410</v>
      </c>
      <c r="D515" s="282"/>
      <c r="E515" s="282" t="s">
        <v>311</v>
      </c>
      <c r="F515" s="282" t="s">
        <v>4832</v>
      </c>
      <c r="G515" s="282" t="s">
        <v>5015</v>
      </c>
      <c r="H515" s="282" t="s">
        <v>4913</v>
      </c>
      <c r="I515" s="282"/>
      <c r="J515" s="282"/>
      <c r="K515" s="282"/>
      <c r="L515" s="282"/>
      <c r="M515" s="283" t="e">
        <f t="shared" si="14"/>
        <v>#DIV/0!</v>
      </c>
      <c r="N515" s="282">
        <v>2966</v>
      </c>
      <c r="O515" s="282">
        <v>3</v>
      </c>
      <c r="P515" s="282">
        <v>1900</v>
      </c>
      <c r="Q515" s="282">
        <f>2023-Table28[[#This Row],[year_built]]</f>
        <v>123</v>
      </c>
      <c r="R515" s="282"/>
      <c r="S515" s="282" t="s">
        <v>4938</v>
      </c>
      <c r="T515" s="282" t="s">
        <v>4906</v>
      </c>
      <c r="U515" s="282"/>
      <c r="V515" s="284" t="str">
        <f t="shared" si="15"/>
        <v/>
      </c>
      <c r="W515" s="292" t="e">
        <f>Table28[[#This Row],[$/sqft]]/INDEX(CPI!$A$3:$C$31,MATCH(Table28[[#This Row],[start_year]],CPI!$A$3:$A$31,0),3)</f>
        <v>#VALUE!</v>
      </c>
      <c r="X515" s="282" t="s">
        <v>4844</v>
      </c>
      <c r="Y515" s="282" t="s">
        <v>5016</v>
      </c>
      <c r="Z515" s="282" t="s">
        <v>5017</v>
      </c>
      <c r="AA515" s="282"/>
      <c r="AB515" s="55" t="s">
        <v>71</v>
      </c>
      <c r="AC515" t="s">
        <v>72</v>
      </c>
    </row>
    <row r="516" spans="1:29" x14ac:dyDescent="0.2">
      <c r="A516" s="282">
        <v>1071</v>
      </c>
      <c r="B516" s="282">
        <v>1558</v>
      </c>
      <c r="C516" s="282" t="s">
        <v>3410</v>
      </c>
      <c r="D516" s="282"/>
      <c r="E516" s="282" t="s">
        <v>311</v>
      </c>
      <c r="F516" s="282" t="s">
        <v>4832</v>
      </c>
      <c r="G516" s="282" t="s">
        <v>5015</v>
      </c>
      <c r="H516" s="282" t="s">
        <v>4838</v>
      </c>
      <c r="I516" s="282"/>
      <c r="J516" s="282"/>
      <c r="K516" s="282"/>
      <c r="L516" s="282"/>
      <c r="M516" s="283" t="e">
        <f t="shared" ref="M516:M544" si="16">ABS((I516-K516)/I516)</f>
        <v>#DIV/0!</v>
      </c>
      <c r="N516" s="282">
        <v>3380</v>
      </c>
      <c r="O516" s="282">
        <v>1</v>
      </c>
      <c r="P516" s="282">
        <v>1920</v>
      </c>
      <c r="Q516" s="282">
        <f>2023-Table28[[#This Row],[year_built]]</f>
        <v>103</v>
      </c>
      <c r="R516" s="282"/>
      <c r="S516" s="282"/>
      <c r="T516" s="282" t="s">
        <v>5006</v>
      </c>
      <c r="U516" s="282">
        <v>2011</v>
      </c>
      <c r="V516" s="284" t="str">
        <f t="shared" ref="V516:V544" si="17">IFERROR(IF(R516/N516&lt;&gt;0, R516/N516, ""), "")</f>
        <v/>
      </c>
      <c r="W516" s="292" t="e">
        <f>Table28[[#This Row],[$/sqft]]/INDEX(CPI!$A$3:$C$31,MATCH(Table28[[#This Row],[start_year]],CPI!$A$3:$A$31,0),3)</f>
        <v>#VALUE!</v>
      </c>
      <c r="X516" s="282" t="s">
        <v>4844</v>
      </c>
      <c r="Y516" s="282" t="s">
        <v>16</v>
      </c>
      <c r="Z516" s="282" t="s">
        <v>4840</v>
      </c>
      <c r="AA516" s="282"/>
      <c r="AB516" s="55" t="s">
        <v>71</v>
      </c>
      <c r="AC516" t="s">
        <v>72</v>
      </c>
    </row>
    <row r="517" spans="1:29" x14ac:dyDescent="0.2">
      <c r="A517" s="282">
        <v>1074</v>
      </c>
      <c r="B517" s="282">
        <v>1608</v>
      </c>
      <c r="C517" s="282" t="s">
        <v>3410</v>
      </c>
      <c r="D517" s="282"/>
      <c r="E517" s="282" t="s">
        <v>5018</v>
      </c>
      <c r="F517" s="282" t="s">
        <v>4832</v>
      </c>
      <c r="G517" s="282" t="s">
        <v>5015</v>
      </c>
      <c r="H517" s="282" t="s">
        <v>4838</v>
      </c>
      <c r="I517" s="282"/>
      <c r="J517" s="282"/>
      <c r="K517" s="282"/>
      <c r="L517" s="282"/>
      <c r="M517" s="283" t="e">
        <f t="shared" si="16"/>
        <v>#DIV/0!</v>
      </c>
      <c r="N517" s="282">
        <v>2990</v>
      </c>
      <c r="O517" s="282">
        <v>1</v>
      </c>
      <c r="P517" s="282">
        <v>1920</v>
      </c>
      <c r="Q517" s="282">
        <f>2023-Table28[[#This Row],[year_built]]</f>
        <v>103</v>
      </c>
      <c r="R517" s="282"/>
      <c r="S517" s="282"/>
      <c r="T517" s="282" t="s">
        <v>5006</v>
      </c>
      <c r="U517" s="282">
        <v>2011</v>
      </c>
      <c r="V517" s="284" t="str">
        <f t="shared" si="17"/>
        <v/>
      </c>
      <c r="W517" s="292" t="e">
        <f>Table28[[#This Row],[$/sqft]]/INDEX(CPI!$A$3:$C$31,MATCH(Table28[[#This Row],[start_year]],CPI!$A$3:$A$31,0),3)</f>
        <v>#VALUE!</v>
      </c>
      <c r="X517" s="282" t="s">
        <v>4844</v>
      </c>
      <c r="Y517" s="282" t="s">
        <v>16</v>
      </c>
      <c r="Z517" s="282" t="s">
        <v>4840</v>
      </c>
      <c r="AA517" s="282"/>
      <c r="AB517" s="55" t="s">
        <v>71</v>
      </c>
      <c r="AC517" t="s">
        <v>72</v>
      </c>
    </row>
    <row r="518" spans="1:29" x14ac:dyDescent="0.2">
      <c r="A518" s="282">
        <v>1286</v>
      </c>
      <c r="B518" s="282">
        <v>3661</v>
      </c>
      <c r="C518" s="282" t="s">
        <v>3410</v>
      </c>
      <c r="D518" s="282" t="str">
        <f>IF(Table28[[#This Row],[% Leakage Reduction (Calculated)]]&gt;0.4, "Greater than 40% Air Reduction", "Less than 40% Air Reduction")</f>
        <v>Greater than 40% Air Reduction</v>
      </c>
      <c r="E518" s="282" t="s">
        <v>4831</v>
      </c>
      <c r="F518" s="282" t="s">
        <v>4832</v>
      </c>
      <c r="G518" s="282" t="s">
        <v>4833</v>
      </c>
      <c r="H518" s="282" t="s">
        <v>4838</v>
      </c>
      <c r="I518" s="282">
        <v>2134</v>
      </c>
      <c r="J518" s="282" t="s">
        <v>4852</v>
      </c>
      <c r="K518" s="282">
        <v>1224</v>
      </c>
      <c r="L518" s="282" t="s">
        <v>4853</v>
      </c>
      <c r="M518" s="283">
        <f t="shared" si="16"/>
        <v>0.42642924086223055</v>
      </c>
      <c r="N518" s="282">
        <v>1688</v>
      </c>
      <c r="O518" s="282">
        <v>1</v>
      </c>
      <c r="P518" s="282">
        <v>1960</v>
      </c>
      <c r="Q518" s="282">
        <f>2023-Table28[[#This Row],[year_built]]</f>
        <v>63</v>
      </c>
      <c r="R518" s="282">
        <v>2500</v>
      </c>
      <c r="S518" s="282" t="s">
        <v>4860</v>
      </c>
      <c r="T518" s="282" t="s">
        <v>4859</v>
      </c>
      <c r="U518" s="282">
        <v>2013</v>
      </c>
      <c r="V518" s="284">
        <f t="shared" si="17"/>
        <v>1.481042654028436</v>
      </c>
      <c r="W518" s="292">
        <f>Table28[[#This Row],[$/sqft]]/INDEX(CPI!$A$3:$C$31,MATCH(Table28[[#This Row],[start_year]],CPI!$A$3:$A$31,0),3)</f>
        <v>1.9333399343657731</v>
      </c>
      <c r="X518" s="282" t="s">
        <v>4844</v>
      </c>
      <c r="Y518" s="282" t="s">
        <v>217</v>
      </c>
      <c r="Z518" s="282" t="s">
        <v>4861</v>
      </c>
      <c r="AA518" s="282">
        <v>42.642924090000001</v>
      </c>
      <c r="AB518" s="55" t="s">
        <v>72</v>
      </c>
      <c r="AC518" t="s">
        <v>72</v>
      </c>
    </row>
    <row r="519" spans="1:29" x14ac:dyDescent="0.2">
      <c r="A519" s="282">
        <v>1105</v>
      </c>
      <c r="B519" s="282">
        <v>1931</v>
      </c>
      <c r="C519" s="282" t="s">
        <v>3410</v>
      </c>
      <c r="D519" s="282"/>
      <c r="E519" s="282" t="s">
        <v>5018</v>
      </c>
      <c r="F519" s="282" t="s">
        <v>4832</v>
      </c>
      <c r="G519" s="282" t="s">
        <v>5015</v>
      </c>
      <c r="H519" s="282" t="s">
        <v>4838</v>
      </c>
      <c r="I519" s="282"/>
      <c r="J519" s="282"/>
      <c r="K519" s="282"/>
      <c r="L519" s="282"/>
      <c r="M519" s="283" t="e">
        <f t="shared" si="16"/>
        <v>#DIV/0!</v>
      </c>
      <c r="N519" s="282">
        <v>921</v>
      </c>
      <c r="O519" s="282"/>
      <c r="P519" s="282">
        <v>1951</v>
      </c>
      <c r="Q519" s="282">
        <f>2023-Table28[[#This Row],[year_built]]</f>
        <v>72</v>
      </c>
      <c r="R519" s="282"/>
      <c r="S519" s="282" t="s">
        <v>4901</v>
      </c>
      <c r="T519" s="282" t="s">
        <v>4857</v>
      </c>
      <c r="U519" s="282">
        <v>2012</v>
      </c>
      <c r="V519" s="284" t="str">
        <f t="shared" si="17"/>
        <v/>
      </c>
      <c r="W519" s="292" t="e">
        <f>Table28[[#This Row],[$/sqft]]/INDEX(CPI!$A$3:$C$31,MATCH(Table28[[#This Row],[start_year]],CPI!$A$3:$A$31,0),3)</f>
        <v>#VALUE!</v>
      </c>
      <c r="X519" s="282" t="s">
        <v>4844</v>
      </c>
      <c r="Y519" s="282"/>
      <c r="Z519" s="282" t="s">
        <v>4840</v>
      </c>
      <c r="AA519" s="282"/>
      <c r="AB519" s="55" t="s">
        <v>71</v>
      </c>
      <c r="AC519" t="s">
        <v>72</v>
      </c>
    </row>
    <row r="520" spans="1:29" x14ac:dyDescent="0.2">
      <c r="A520" s="282">
        <v>1133</v>
      </c>
      <c r="B520" s="282">
        <v>2130</v>
      </c>
      <c r="C520" s="282" t="s">
        <v>3410</v>
      </c>
      <c r="D520" s="282"/>
      <c r="E520" s="282" t="s">
        <v>5018</v>
      </c>
      <c r="F520" s="282" t="s">
        <v>4832</v>
      </c>
      <c r="G520" s="282" t="s">
        <v>5015</v>
      </c>
      <c r="H520" s="282" t="s">
        <v>4838</v>
      </c>
      <c r="I520" s="282"/>
      <c r="J520" s="282"/>
      <c r="K520" s="282"/>
      <c r="L520" s="282"/>
      <c r="M520" s="283" t="e">
        <f t="shared" si="16"/>
        <v>#DIV/0!</v>
      </c>
      <c r="N520" s="282">
        <v>3139</v>
      </c>
      <c r="O520" s="282"/>
      <c r="P520" s="282">
        <v>2005</v>
      </c>
      <c r="Q520" s="282">
        <f>2023-Table28[[#This Row],[year_built]]</f>
        <v>18</v>
      </c>
      <c r="R520" s="282">
        <v>300</v>
      </c>
      <c r="S520" s="282" t="s">
        <v>5020</v>
      </c>
      <c r="T520" s="282" t="s">
        <v>4857</v>
      </c>
      <c r="U520" s="282">
        <v>2011</v>
      </c>
      <c r="V520" s="284">
        <f t="shared" si="17"/>
        <v>9.5571838165020712E-2</v>
      </c>
      <c r="W520" s="292">
        <f>Table28[[#This Row],[$/sqft]]/INDEX(CPI!$A$3:$C$31,MATCH(Table28[[#This Row],[start_year]],CPI!$A$3:$A$31,0),3)</f>
        <v>0.12920567792149337</v>
      </c>
      <c r="X520" s="282" t="s">
        <v>4844</v>
      </c>
      <c r="Y520" s="282" t="s">
        <v>16</v>
      </c>
      <c r="Z520" s="282" t="s">
        <v>4840</v>
      </c>
      <c r="AA520" s="282"/>
      <c r="AB520" s="55" t="s">
        <v>71</v>
      </c>
      <c r="AC520" t="s">
        <v>72</v>
      </c>
    </row>
    <row r="521" spans="1:29" x14ac:dyDescent="0.2">
      <c r="A521" s="282">
        <v>1147</v>
      </c>
      <c r="B521" s="282">
        <v>2282</v>
      </c>
      <c r="C521" s="282" t="s">
        <v>3410</v>
      </c>
      <c r="D521" s="282"/>
      <c r="E521" s="282" t="s">
        <v>5018</v>
      </c>
      <c r="F521" s="282" t="s">
        <v>4832</v>
      </c>
      <c r="G521" s="282" t="s">
        <v>5015</v>
      </c>
      <c r="H521" s="282"/>
      <c r="I521" s="282"/>
      <c r="J521" s="282"/>
      <c r="K521" s="282"/>
      <c r="L521" s="282"/>
      <c r="M521" s="283" t="e">
        <f t="shared" si="16"/>
        <v>#DIV/0!</v>
      </c>
      <c r="N521" s="282"/>
      <c r="O521" s="282"/>
      <c r="P521" s="282"/>
      <c r="Q521" s="282">
        <f>2023-Table28[[#This Row],[year_built]]</f>
        <v>2023</v>
      </c>
      <c r="R521" s="282">
        <v>310</v>
      </c>
      <c r="S521" s="282" t="s">
        <v>5021</v>
      </c>
      <c r="T521" s="282" t="s">
        <v>4857</v>
      </c>
      <c r="U521" s="282">
        <v>2018</v>
      </c>
      <c r="V521" s="284" t="str">
        <f t="shared" si="17"/>
        <v/>
      </c>
      <c r="W521" s="292" t="e">
        <f>Table28[[#This Row],[$/sqft]]/INDEX(CPI!$A$3:$C$31,MATCH(Table28[[#This Row],[start_year]],CPI!$A$3:$A$31,0),3)</f>
        <v>#VALUE!</v>
      </c>
      <c r="X521" s="282"/>
      <c r="Y521" s="282"/>
      <c r="Z521" s="282"/>
      <c r="AA521" s="282"/>
      <c r="AB521" s="55" t="s">
        <v>71</v>
      </c>
      <c r="AC521" t="s">
        <v>72</v>
      </c>
    </row>
    <row r="522" spans="1:29" x14ac:dyDescent="0.2">
      <c r="A522" s="282">
        <v>1153</v>
      </c>
      <c r="B522" s="282">
        <v>2347</v>
      </c>
      <c r="C522" s="282" t="s">
        <v>3410</v>
      </c>
      <c r="D522" s="282"/>
      <c r="E522" s="282" t="s">
        <v>311</v>
      </c>
      <c r="F522" s="282" t="s">
        <v>4832</v>
      </c>
      <c r="G522" s="282" t="s">
        <v>5015</v>
      </c>
      <c r="H522" s="282"/>
      <c r="I522" s="282"/>
      <c r="J522" s="282"/>
      <c r="K522" s="282"/>
      <c r="L522" s="282"/>
      <c r="M522" s="283" t="e">
        <f t="shared" si="16"/>
        <v>#DIV/0!</v>
      </c>
      <c r="N522" s="282"/>
      <c r="O522" s="282"/>
      <c r="P522" s="282"/>
      <c r="Q522" s="282">
        <f>2023-Table28[[#This Row],[year_built]]</f>
        <v>2023</v>
      </c>
      <c r="R522" s="282"/>
      <c r="S522" s="282" t="s">
        <v>5021</v>
      </c>
      <c r="T522" s="282" t="s">
        <v>4857</v>
      </c>
      <c r="U522" s="282">
        <v>2018</v>
      </c>
      <c r="V522" s="284" t="str">
        <f t="shared" si="17"/>
        <v/>
      </c>
      <c r="W522" s="292" t="e">
        <f>Table28[[#This Row],[$/sqft]]/INDEX(CPI!$A$3:$C$31,MATCH(Table28[[#This Row],[start_year]],CPI!$A$3:$A$31,0),3)</f>
        <v>#VALUE!</v>
      </c>
      <c r="X522" s="282"/>
      <c r="Y522" s="282"/>
      <c r="Z522" s="282" t="s">
        <v>4840</v>
      </c>
      <c r="AA522" s="282"/>
      <c r="AB522" s="55" t="s">
        <v>71</v>
      </c>
      <c r="AC522" t="s">
        <v>72</v>
      </c>
    </row>
    <row r="523" spans="1:29" x14ac:dyDescent="0.2">
      <c r="A523" s="282">
        <v>1158</v>
      </c>
      <c r="B523" s="282">
        <v>2412</v>
      </c>
      <c r="C523" s="282" t="s">
        <v>3410</v>
      </c>
      <c r="D523" s="282"/>
      <c r="E523" s="282" t="s">
        <v>311</v>
      </c>
      <c r="F523" s="282" t="s">
        <v>4832</v>
      </c>
      <c r="G523" s="282" t="s">
        <v>5015</v>
      </c>
      <c r="H523" s="282"/>
      <c r="I523" s="282"/>
      <c r="J523" s="282"/>
      <c r="K523" s="282"/>
      <c r="L523" s="282"/>
      <c r="M523" s="283" t="e">
        <f t="shared" si="16"/>
        <v>#DIV/0!</v>
      </c>
      <c r="N523" s="282"/>
      <c r="O523" s="282"/>
      <c r="P523" s="282"/>
      <c r="Q523" s="282">
        <f>2023-Table28[[#This Row],[year_built]]</f>
        <v>2023</v>
      </c>
      <c r="R523" s="282">
        <v>1750</v>
      </c>
      <c r="S523" s="282" t="s">
        <v>5021</v>
      </c>
      <c r="T523" s="282" t="s">
        <v>4857</v>
      </c>
      <c r="U523" s="282">
        <v>2018</v>
      </c>
      <c r="V523" s="284" t="str">
        <f t="shared" si="17"/>
        <v/>
      </c>
      <c r="W523" s="292" t="e">
        <f>Table28[[#This Row],[$/sqft]]/INDEX(CPI!$A$3:$C$31,MATCH(Table28[[#This Row],[start_year]],CPI!$A$3:$A$31,0),3)</f>
        <v>#VALUE!</v>
      </c>
      <c r="X523" s="282"/>
      <c r="Y523" s="282"/>
      <c r="Z523" s="282"/>
      <c r="AA523" s="282"/>
      <c r="AB523" s="55" t="s">
        <v>71</v>
      </c>
      <c r="AC523" t="s">
        <v>72</v>
      </c>
    </row>
    <row r="524" spans="1:29" x14ac:dyDescent="0.2">
      <c r="A524" s="282">
        <v>1167</v>
      </c>
      <c r="B524" s="282">
        <v>2485</v>
      </c>
      <c r="C524" s="282" t="s">
        <v>3410</v>
      </c>
      <c r="D524" s="282"/>
      <c r="E524" s="282" t="s">
        <v>311</v>
      </c>
      <c r="F524" s="282" t="s">
        <v>4832</v>
      </c>
      <c r="G524" s="282" t="s">
        <v>5015</v>
      </c>
      <c r="H524" s="282"/>
      <c r="I524" s="282"/>
      <c r="J524" s="282"/>
      <c r="K524" s="282"/>
      <c r="L524" s="282"/>
      <c r="M524" s="283" t="e">
        <f t="shared" si="16"/>
        <v>#DIV/0!</v>
      </c>
      <c r="N524" s="282"/>
      <c r="O524" s="282"/>
      <c r="P524" s="282"/>
      <c r="Q524" s="282">
        <f>2023-Table28[[#This Row],[year_built]]</f>
        <v>2023</v>
      </c>
      <c r="R524" s="282"/>
      <c r="S524" s="282" t="s">
        <v>5021</v>
      </c>
      <c r="T524" s="282" t="s">
        <v>4857</v>
      </c>
      <c r="U524" s="282">
        <v>2018</v>
      </c>
      <c r="V524" s="284" t="str">
        <f t="shared" si="17"/>
        <v/>
      </c>
      <c r="W524" s="292" t="e">
        <f>Table28[[#This Row],[$/sqft]]/INDEX(CPI!$A$3:$C$31,MATCH(Table28[[#This Row],[start_year]],CPI!$A$3:$A$31,0),3)</f>
        <v>#VALUE!</v>
      </c>
      <c r="X524" s="282"/>
      <c r="Y524" s="282"/>
      <c r="Z524" s="282" t="s">
        <v>4840</v>
      </c>
      <c r="AA524" s="282"/>
      <c r="AB524" s="55" t="s">
        <v>71</v>
      </c>
      <c r="AC524" t="s">
        <v>72</v>
      </c>
    </row>
    <row r="525" spans="1:29" x14ac:dyDescent="0.2">
      <c r="A525" s="282">
        <v>1170</v>
      </c>
      <c r="B525" s="282">
        <v>2519</v>
      </c>
      <c r="C525" s="282" t="s">
        <v>3410</v>
      </c>
      <c r="D525" s="282"/>
      <c r="E525" s="282" t="s">
        <v>311</v>
      </c>
      <c r="F525" s="282" t="s">
        <v>4832</v>
      </c>
      <c r="G525" s="282" t="s">
        <v>5015</v>
      </c>
      <c r="H525" s="282"/>
      <c r="I525" s="282"/>
      <c r="J525" s="282"/>
      <c r="K525" s="282"/>
      <c r="L525" s="282"/>
      <c r="M525" s="283" t="e">
        <f t="shared" si="16"/>
        <v>#DIV/0!</v>
      </c>
      <c r="N525" s="282"/>
      <c r="O525" s="282"/>
      <c r="P525" s="282"/>
      <c r="Q525" s="282">
        <f>2023-Table28[[#This Row],[year_built]]</f>
        <v>2023</v>
      </c>
      <c r="R525" s="282">
        <v>1143</v>
      </c>
      <c r="S525" s="282" t="s">
        <v>5021</v>
      </c>
      <c r="T525" s="282" t="s">
        <v>4857</v>
      </c>
      <c r="U525" s="282"/>
      <c r="V525" s="284" t="str">
        <f t="shared" si="17"/>
        <v/>
      </c>
      <c r="W525" s="292" t="e">
        <f>Table28[[#This Row],[$/sqft]]/INDEX(CPI!$A$3:$C$31,MATCH(Table28[[#This Row],[start_year]],CPI!$A$3:$A$31,0),3)</f>
        <v>#VALUE!</v>
      </c>
      <c r="X525" s="282"/>
      <c r="Y525" s="282"/>
      <c r="Z525" s="282" t="s">
        <v>4907</v>
      </c>
      <c r="AA525" s="282"/>
      <c r="AB525" s="55" t="s">
        <v>71</v>
      </c>
      <c r="AC525" t="s">
        <v>72</v>
      </c>
    </row>
    <row r="526" spans="1:29" x14ac:dyDescent="0.2">
      <c r="A526" s="282">
        <v>1176</v>
      </c>
      <c r="B526" s="282">
        <v>14823</v>
      </c>
      <c r="C526" s="282" t="s">
        <v>3410</v>
      </c>
      <c r="D526" s="282"/>
      <c r="E526" s="282" t="s">
        <v>311</v>
      </c>
      <c r="F526" s="282" t="s">
        <v>5008</v>
      </c>
      <c r="G526" s="282" t="s">
        <v>5015</v>
      </c>
      <c r="H526" s="282"/>
      <c r="I526" s="282"/>
      <c r="J526" s="282"/>
      <c r="K526" s="282"/>
      <c r="L526" s="282"/>
      <c r="M526" s="283" t="e">
        <f t="shared" si="16"/>
        <v>#DIV/0!</v>
      </c>
      <c r="N526" s="282"/>
      <c r="O526" s="282"/>
      <c r="P526" s="282"/>
      <c r="Q526" s="282">
        <f>2023-Table28[[#This Row],[year_built]]</f>
        <v>2023</v>
      </c>
      <c r="R526" s="282">
        <v>5117</v>
      </c>
      <c r="S526" s="282" t="s">
        <v>5021</v>
      </c>
      <c r="T526" s="282" t="s">
        <v>4857</v>
      </c>
      <c r="U526" s="282">
        <v>2018</v>
      </c>
      <c r="V526" s="284" t="str">
        <f t="shared" si="17"/>
        <v/>
      </c>
      <c r="W526" s="292" t="e">
        <f>Table28[[#This Row],[$/sqft]]/INDEX(CPI!$A$3:$C$31,MATCH(Table28[[#This Row],[start_year]],CPI!$A$3:$A$31,0),3)</f>
        <v>#VALUE!</v>
      </c>
      <c r="X526" s="282"/>
      <c r="Y526" s="282"/>
      <c r="Z526" s="282" t="s">
        <v>4907</v>
      </c>
      <c r="AA526" s="282"/>
      <c r="AB526" s="55" t="s">
        <v>71</v>
      </c>
      <c r="AC526" t="s">
        <v>72</v>
      </c>
    </row>
    <row r="527" spans="1:29" x14ac:dyDescent="0.2">
      <c r="A527" s="282">
        <v>1187</v>
      </c>
      <c r="B527" s="282">
        <v>2641</v>
      </c>
      <c r="C527" s="282" t="s">
        <v>3410</v>
      </c>
      <c r="D527" s="282"/>
      <c r="E527" s="282" t="s">
        <v>5018</v>
      </c>
      <c r="F527" s="282" t="s">
        <v>4832</v>
      </c>
      <c r="G527" s="282" t="s">
        <v>5015</v>
      </c>
      <c r="H527" s="282"/>
      <c r="I527" s="282"/>
      <c r="J527" s="282"/>
      <c r="K527" s="282"/>
      <c r="L527" s="282"/>
      <c r="M527" s="283" t="e">
        <f t="shared" si="16"/>
        <v>#DIV/0!</v>
      </c>
      <c r="N527" s="282"/>
      <c r="O527" s="282"/>
      <c r="P527" s="282"/>
      <c r="Q527" s="282">
        <f>2023-Table28[[#This Row],[year_built]]</f>
        <v>2023</v>
      </c>
      <c r="R527" s="282"/>
      <c r="S527" s="282" t="s">
        <v>5021</v>
      </c>
      <c r="T527" s="282" t="s">
        <v>4857</v>
      </c>
      <c r="U527" s="282">
        <v>2018</v>
      </c>
      <c r="V527" s="284" t="str">
        <f t="shared" si="17"/>
        <v/>
      </c>
      <c r="W527" s="292" t="e">
        <f>Table28[[#This Row],[$/sqft]]/INDEX(CPI!$A$3:$C$31,MATCH(Table28[[#This Row],[start_year]],CPI!$A$3:$A$31,0),3)</f>
        <v>#VALUE!</v>
      </c>
      <c r="X527" s="282"/>
      <c r="Y527" s="282"/>
      <c r="Z527" s="282"/>
      <c r="AA527" s="282"/>
      <c r="AB527" s="55" t="s">
        <v>71</v>
      </c>
      <c r="AC527" t="s">
        <v>72</v>
      </c>
    </row>
    <row r="528" spans="1:29" x14ac:dyDescent="0.2">
      <c r="A528" s="282">
        <v>1197</v>
      </c>
      <c r="B528" s="282">
        <v>2768</v>
      </c>
      <c r="C528" s="282" t="s">
        <v>3410</v>
      </c>
      <c r="D528" s="282"/>
      <c r="E528" s="282" t="s">
        <v>311</v>
      </c>
      <c r="F528" s="282" t="s">
        <v>4832</v>
      </c>
      <c r="G528" s="282" t="s">
        <v>5015</v>
      </c>
      <c r="H528" s="282"/>
      <c r="I528" s="282"/>
      <c r="J528" s="282"/>
      <c r="K528" s="282"/>
      <c r="L528" s="282"/>
      <c r="M528" s="283" t="e">
        <f t="shared" si="16"/>
        <v>#DIV/0!</v>
      </c>
      <c r="N528" s="282"/>
      <c r="O528" s="282"/>
      <c r="P528" s="282"/>
      <c r="Q528" s="282">
        <f>2023-Table28[[#This Row],[year_built]]</f>
        <v>2023</v>
      </c>
      <c r="R528" s="282"/>
      <c r="S528" s="282" t="s">
        <v>5021</v>
      </c>
      <c r="T528" s="282" t="s">
        <v>4857</v>
      </c>
      <c r="U528" s="282">
        <v>2018</v>
      </c>
      <c r="V528" s="284" t="str">
        <f t="shared" si="17"/>
        <v/>
      </c>
      <c r="W528" s="292" t="e">
        <f>Table28[[#This Row],[$/sqft]]/INDEX(CPI!$A$3:$C$31,MATCH(Table28[[#This Row],[start_year]],CPI!$A$3:$A$31,0),3)</f>
        <v>#VALUE!</v>
      </c>
      <c r="X528" s="282"/>
      <c r="Y528" s="282"/>
      <c r="Z528" s="282" t="s">
        <v>4907</v>
      </c>
      <c r="AA528" s="282"/>
      <c r="AB528" s="55" t="s">
        <v>71</v>
      </c>
      <c r="AC528" t="s">
        <v>72</v>
      </c>
    </row>
    <row r="529" spans="1:29" x14ac:dyDescent="0.2">
      <c r="A529" s="282">
        <v>1198</v>
      </c>
      <c r="B529" s="282">
        <v>2773</v>
      </c>
      <c r="C529" s="282" t="s">
        <v>3410</v>
      </c>
      <c r="D529" s="282"/>
      <c r="E529" s="282" t="s">
        <v>311</v>
      </c>
      <c r="F529" s="282" t="s">
        <v>4832</v>
      </c>
      <c r="G529" s="282" t="s">
        <v>5015</v>
      </c>
      <c r="H529" s="282" t="s">
        <v>4838</v>
      </c>
      <c r="I529" s="282"/>
      <c r="J529" s="282"/>
      <c r="K529" s="282"/>
      <c r="L529" s="282"/>
      <c r="M529" s="283" t="e">
        <f t="shared" si="16"/>
        <v>#DIV/0!</v>
      </c>
      <c r="N529" s="282">
        <v>1950</v>
      </c>
      <c r="O529" s="282">
        <v>2</v>
      </c>
      <c r="P529" s="282">
        <v>1926</v>
      </c>
      <c r="Q529" s="282">
        <f>2023-Table28[[#This Row],[year_built]]</f>
        <v>97</v>
      </c>
      <c r="R529" s="282">
        <v>1500</v>
      </c>
      <c r="S529" s="282" t="s">
        <v>4897</v>
      </c>
      <c r="T529" s="282" t="s">
        <v>4857</v>
      </c>
      <c r="U529" s="282">
        <v>2014</v>
      </c>
      <c r="V529" s="284">
        <f t="shared" si="17"/>
        <v>0.76923076923076927</v>
      </c>
      <c r="W529" s="292">
        <f>Table28[[#This Row],[$/sqft]]/INDEX(CPI!$A$3:$C$31,MATCH(Table28[[#This Row],[start_year]],CPI!$A$3:$A$31,0),3)</f>
        <v>0.98811789049015342</v>
      </c>
      <c r="X529" s="282" t="s">
        <v>4844</v>
      </c>
      <c r="Y529" s="282"/>
      <c r="Z529" s="282" t="s">
        <v>4840</v>
      </c>
      <c r="AA529" s="282"/>
      <c r="AB529" s="55" t="s">
        <v>71</v>
      </c>
      <c r="AC529" t="s">
        <v>72</v>
      </c>
    </row>
    <row r="530" spans="1:29" x14ac:dyDescent="0.2">
      <c r="A530" s="282">
        <v>1210</v>
      </c>
      <c r="B530" s="282">
        <v>2847</v>
      </c>
      <c r="C530" s="282" t="s">
        <v>3410</v>
      </c>
      <c r="D530" s="282"/>
      <c r="E530" s="282" t="s">
        <v>311</v>
      </c>
      <c r="F530" s="282" t="s">
        <v>4832</v>
      </c>
      <c r="G530" s="282" t="s">
        <v>5015</v>
      </c>
      <c r="H530" s="282" t="s">
        <v>4838</v>
      </c>
      <c r="I530" s="282"/>
      <c r="J530" s="282"/>
      <c r="K530" s="282"/>
      <c r="L530" s="282"/>
      <c r="M530" s="283" t="e">
        <f t="shared" si="16"/>
        <v>#DIV/0!</v>
      </c>
      <c r="N530" s="282">
        <v>2357</v>
      </c>
      <c r="O530" s="282"/>
      <c r="P530" s="282">
        <v>1989</v>
      </c>
      <c r="Q530" s="282">
        <f>2023-Table28[[#This Row],[year_built]]</f>
        <v>34</v>
      </c>
      <c r="R530" s="282">
        <v>1605</v>
      </c>
      <c r="S530" s="282" t="s">
        <v>4901</v>
      </c>
      <c r="T530" s="282" t="s">
        <v>4857</v>
      </c>
      <c r="U530" s="282">
        <v>2013</v>
      </c>
      <c r="V530" s="284">
        <f t="shared" si="17"/>
        <v>0.68095036062791681</v>
      </c>
      <c r="W530" s="292">
        <f>Table28[[#This Row],[$/sqft]]/INDEX(CPI!$A$3:$C$31,MATCH(Table28[[#This Row],[start_year]],CPI!$A$3:$A$31,0),3)</f>
        <v>0.88890655643294469</v>
      </c>
      <c r="X530" s="282" t="s">
        <v>4844</v>
      </c>
      <c r="Y530" s="282"/>
      <c r="Z530" s="282" t="s">
        <v>4840</v>
      </c>
      <c r="AA530" s="282"/>
      <c r="AB530" s="55" t="s">
        <v>71</v>
      </c>
      <c r="AC530" t="s">
        <v>72</v>
      </c>
    </row>
    <row r="531" spans="1:29" x14ac:dyDescent="0.2">
      <c r="A531" s="282">
        <v>1215</v>
      </c>
      <c r="B531" s="282">
        <v>2904</v>
      </c>
      <c r="C531" s="282" t="s">
        <v>3410</v>
      </c>
      <c r="D531" s="282"/>
      <c r="E531" s="282" t="s">
        <v>5018</v>
      </c>
      <c r="F531" s="282" t="s">
        <v>4832</v>
      </c>
      <c r="G531" s="282" t="s">
        <v>5015</v>
      </c>
      <c r="H531" s="282" t="s">
        <v>4838</v>
      </c>
      <c r="I531" s="282"/>
      <c r="J531" s="282"/>
      <c r="K531" s="282"/>
      <c r="L531" s="282"/>
      <c r="M531" s="283" t="e">
        <f t="shared" si="16"/>
        <v>#DIV/0!</v>
      </c>
      <c r="N531" s="282">
        <v>1296</v>
      </c>
      <c r="O531" s="282">
        <v>2</v>
      </c>
      <c r="P531" s="282">
        <v>1981</v>
      </c>
      <c r="Q531" s="282">
        <f>2023-Table28[[#This Row],[year_built]]</f>
        <v>42</v>
      </c>
      <c r="R531" s="282"/>
      <c r="S531" s="282" t="s">
        <v>4893</v>
      </c>
      <c r="T531" s="282" t="s">
        <v>4857</v>
      </c>
      <c r="U531" s="282">
        <v>2012</v>
      </c>
      <c r="V531" s="284" t="str">
        <f t="shared" si="17"/>
        <v/>
      </c>
      <c r="W531" s="292" t="e">
        <f>Table28[[#This Row],[$/sqft]]/INDEX(CPI!$A$3:$C$31,MATCH(Table28[[#This Row],[start_year]],CPI!$A$3:$A$31,0),3)</f>
        <v>#VALUE!</v>
      </c>
      <c r="X531" s="282" t="s">
        <v>4844</v>
      </c>
      <c r="Y531" s="282" t="s">
        <v>16</v>
      </c>
      <c r="Z531" s="282" t="s">
        <v>4840</v>
      </c>
      <c r="AA531" s="282"/>
      <c r="AB531" s="55" t="s">
        <v>71</v>
      </c>
      <c r="AC531" t="s">
        <v>72</v>
      </c>
    </row>
    <row r="532" spans="1:29" x14ac:dyDescent="0.2">
      <c r="A532" s="282">
        <v>1279</v>
      </c>
      <c r="B532" s="282">
        <v>3538</v>
      </c>
      <c r="C532" s="282" t="s">
        <v>3410</v>
      </c>
      <c r="D532" s="282"/>
      <c r="E532" s="282" t="s">
        <v>311</v>
      </c>
      <c r="F532" s="282" t="s">
        <v>4832</v>
      </c>
      <c r="G532" s="282" t="s">
        <v>5015</v>
      </c>
      <c r="H532" s="282" t="s">
        <v>4838</v>
      </c>
      <c r="I532" s="282"/>
      <c r="J532" s="282"/>
      <c r="K532" s="282"/>
      <c r="L532" s="282"/>
      <c r="M532" s="283" t="e">
        <f t="shared" si="16"/>
        <v>#DIV/0!</v>
      </c>
      <c r="N532" s="282">
        <v>1400</v>
      </c>
      <c r="O532" s="282"/>
      <c r="P532" s="282">
        <v>1955</v>
      </c>
      <c r="Q532" s="282">
        <f>2023-Table28[[#This Row],[year_built]]</f>
        <v>68</v>
      </c>
      <c r="R532" s="282"/>
      <c r="S532" s="282" t="s">
        <v>5022</v>
      </c>
      <c r="T532" s="282" t="s">
        <v>4855</v>
      </c>
      <c r="U532" s="282">
        <v>2012</v>
      </c>
      <c r="V532" s="284" t="str">
        <f t="shared" si="17"/>
        <v/>
      </c>
      <c r="W532" s="292" t="e">
        <f>Table28[[#This Row],[$/sqft]]/INDEX(CPI!$A$3:$C$31,MATCH(Table28[[#This Row],[start_year]],CPI!$A$3:$A$31,0),3)</f>
        <v>#VALUE!</v>
      </c>
      <c r="X532" s="282" t="s">
        <v>4844</v>
      </c>
      <c r="Y532" s="282" t="s">
        <v>217</v>
      </c>
      <c r="Z532" s="282" t="s">
        <v>4840</v>
      </c>
      <c r="AA532" s="282"/>
      <c r="AB532" s="55" t="s">
        <v>71</v>
      </c>
      <c r="AC532" t="s">
        <v>72</v>
      </c>
    </row>
    <row r="533" spans="1:29" x14ac:dyDescent="0.2">
      <c r="A533" s="282">
        <v>1280</v>
      </c>
      <c r="B533" s="282">
        <v>3549</v>
      </c>
      <c r="C533" s="282" t="s">
        <v>3410</v>
      </c>
      <c r="D533" s="282"/>
      <c r="E533" s="282" t="s">
        <v>311</v>
      </c>
      <c r="F533" s="282" t="s">
        <v>4832</v>
      </c>
      <c r="G533" s="282" t="s">
        <v>5015</v>
      </c>
      <c r="H533" s="282" t="s">
        <v>4838</v>
      </c>
      <c r="I533" s="282"/>
      <c r="J533" s="282"/>
      <c r="K533" s="282"/>
      <c r="L533" s="282"/>
      <c r="M533" s="283" t="e">
        <f t="shared" si="16"/>
        <v>#DIV/0!</v>
      </c>
      <c r="N533" s="282">
        <v>1670</v>
      </c>
      <c r="O533" s="282"/>
      <c r="P533" s="282">
        <v>1950</v>
      </c>
      <c r="Q533" s="282">
        <f>2023-Table28[[#This Row],[year_built]]</f>
        <v>73</v>
      </c>
      <c r="R533" s="282"/>
      <c r="S533" s="282" t="s">
        <v>5023</v>
      </c>
      <c r="T533" s="282" t="s">
        <v>4855</v>
      </c>
      <c r="U533" s="282">
        <v>2012</v>
      </c>
      <c r="V533" s="284" t="str">
        <f t="shared" si="17"/>
        <v/>
      </c>
      <c r="W533" s="292" t="e">
        <f>Table28[[#This Row],[$/sqft]]/INDEX(CPI!$A$3:$C$31,MATCH(Table28[[#This Row],[start_year]],CPI!$A$3:$A$31,0),3)</f>
        <v>#VALUE!</v>
      </c>
      <c r="X533" s="282"/>
      <c r="Y533" s="282"/>
      <c r="Z533" s="282" t="s">
        <v>4840</v>
      </c>
      <c r="AA533" s="282"/>
      <c r="AB533" s="55" t="s">
        <v>71</v>
      </c>
      <c r="AC533" t="s">
        <v>72</v>
      </c>
    </row>
    <row r="534" spans="1:29" x14ac:dyDescent="0.2">
      <c r="A534" s="282">
        <v>1281</v>
      </c>
      <c r="B534" s="282">
        <v>3585</v>
      </c>
      <c r="C534" s="282" t="s">
        <v>3410</v>
      </c>
      <c r="D534" s="282"/>
      <c r="E534" s="282" t="s">
        <v>311</v>
      </c>
      <c r="F534" s="282" t="s">
        <v>4832</v>
      </c>
      <c r="G534" s="282" t="s">
        <v>5015</v>
      </c>
      <c r="H534" s="282" t="s">
        <v>4838</v>
      </c>
      <c r="I534" s="282"/>
      <c r="J534" s="282"/>
      <c r="K534" s="282"/>
      <c r="L534" s="282"/>
      <c r="M534" s="283" t="e">
        <f t="shared" si="16"/>
        <v>#DIV/0!</v>
      </c>
      <c r="N534" s="282">
        <v>1800</v>
      </c>
      <c r="O534" s="282"/>
      <c r="P534" s="282">
        <v>1950</v>
      </c>
      <c r="Q534" s="282">
        <f>2023-Table28[[#This Row],[year_built]]</f>
        <v>73</v>
      </c>
      <c r="R534" s="282"/>
      <c r="S534" s="282" t="s">
        <v>4854</v>
      </c>
      <c r="T534" s="282" t="s">
        <v>4855</v>
      </c>
      <c r="U534" s="282">
        <v>2013</v>
      </c>
      <c r="V534" s="284" t="str">
        <f t="shared" si="17"/>
        <v/>
      </c>
      <c r="W534" s="292" t="e">
        <f>Table28[[#This Row],[$/sqft]]/INDEX(CPI!$A$3:$C$31,MATCH(Table28[[#This Row],[start_year]],CPI!$A$3:$A$31,0),3)</f>
        <v>#VALUE!</v>
      </c>
      <c r="X534" s="282" t="s">
        <v>4844</v>
      </c>
      <c r="Y534" s="282" t="s">
        <v>217</v>
      </c>
      <c r="Z534" s="282" t="s">
        <v>4840</v>
      </c>
      <c r="AA534" s="282"/>
      <c r="AB534" s="55" t="s">
        <v>71</v>
      </c>
      <c r="AC534" t="s">
        <v>72</v>
      </c>
    </row>
    <row r="535" spans="1:29" x14ac:dyDescent="0.2">
      <c r="A535" s="282">
        <v>1069</v>
      </c>
      <c r="B535" s="282">
        <v>1528</v>
      </c>
      <c r="C535" s="282" t="s">
        <v>3410</v>
      </c>
      <c r="D535" s="282"/>
      <c r="E535" s="282" t="s">
        <v>5018</v>
      </c>
      <c r="F535" s="282" t="s">
        <v>4832</v>
      </c>
      <c r="G535" s="282" t="s">
        <v>16</v>
      </c>
      <c r="H535" s="282" t="s">
        <v>4838</v>
      </c>
      <c r="I535" s="282"/>
      <c r="J535" s="282"/>
      <c r="K535" s="282"/>
      <c r="L535" s="282"/>
      <c r="M535" s="283" t="e">
        <f t="shared" si="16"/>
        <v>#DIV/0!</v>
      </c>
      <c r="N535" s="282">
        <v>3766</v>
      </c>
      <c r="O535" s="282">
        <v>2</v>
      </c>
      <c r="P535" s="282">
        <v>1977</v>
      </c>
      <c r="Q535" s="282">
        <f>2023-Table28[[#This Row],[year_built]]</f>
        <v>46</v>
      </c>
      <c r="R535" s="282">
        <v>1838</v>
      </c>
      <c r="S535" s="282"/>
      <c r="T535" s="282" t="s">
        <v>4969</v>
      </c>
      <c r="U535" s="282">
        <v>2010</v>
      </c>
      <c r="V535" s="284">
        <f t="shared" si="17"/>
        <v>0.4880509824747743</v>
      </c>
      <c r="W535" s="292">
        <f>Table28[[#This Row],[$/sqft]]/INDEX(CPI!$A$3:$C$31,MATCH(Table28[[#This Row],[start_year]],CPI!$A$3:$A$31,0),3)</f>
        <v>0.68063389115905482</v>
      </c>
      <c r="X535" s="282" t="s">
        <v>4844</v>
      </c>
      <c r="Y535" s="282" t="s">
        <v>16</v>
      </c>
      <c r="Z535" s="282" t="s">
        <v>5024</v>
      </c>
      <c r="AA535" s="282"/>
      <c r="AB535" s="55" t="s">
        <v>71</v>
      </c>
      <c r="AC535" t="s">
        <v>72</v>
      </c>
    </row>
    <row r="536" spans="1:29" x14ac:dyDescent="0.2">
      <c r="A536" s="282">
        <v>1082</v>
      </c>
      <c r="B536" s="282">
        <v>1706</v>
      </c>
      <c r="C536" s="282" t="s">
        <v>3410</v>
      </c>
      <c r="D536" s="282"/>
      <c r="E536" s="282" t="s">
        <v>5018</v>
      </c>
      <c r="F536" s="282" t="s">
        <v>4832</v>
      </c>
      <c r="G536" s="282" t="s">
        <v>16</v>
      </c>
      <c r="H536" s="282" t="s">
        <v>4850</v>
      </c>
      <c r="I536" s="282"/>
      <c r="J536" s="282"/>
      <c r="K536" s="282"/>
      <c r="L536" s="282"/>
      <c r="M536" s="283" t="e">
        <f t="shared" si="16"/>
        <v>#DIV/0!</v>
      </c>
      <c r="N536" s="282">
        <v>2400</v>
      </c>
      <c r="O536" s="282">
        <v>2</v>
      </c>
      <c r="P536" s="282">
        <v>1960</v>
      </c>
      <c r="Q536" s="282">
        <f>2023-Table28[[#This Row],[year_built]]</f>
        <v>63</v>
      </c>
      <c r="R536" s="282"/>
      <c r="S536" s="282" t="s">
        <v>5025</v>
      </c>
      <c r="T536" s="282" t="s">
        <v>5006</v>
      </c>
      <c r="U536" s="282"/>
      <c r="V536" s="284" t="str">
        <f t="shared" si="17"/>
        <v/>
      </c>
      <c r="W536" s="292" t="e">
        <f>Table28[[#This Row],[$/sqft]]/INDEX(CPI!$A$3:$C$31,MATCH(Table28[[#This Row],[start_year]],CPI!$A$3:$A$31,0),3)</f>
        <v>#VALUE!</v>
      </c>
      <c r="X536" s="282" t="s">
        <v>4877</v>
      </c>
      <c r="Y536" s="282" t="s">
        <v>16</v>
      </c>
      <c r="Z536" s="282" t="s">
        <v>5007</v>
      </c>
      <c r="AA536" s="282"/>
      <c r="AB536" s="55" t="s">
        <v>71</v>
      </c>
      <c r="AC536" t="s">
        <v>72</v>
      </c>
    </row>
    <row r="537" spans="1:29" x14ac:dyDescent="0.2">
      <c r="A537" s="282">
        <v>1087</v>
      </c>
      <c r="B537" s="282">
        <v>1773</v>
      </c>
      <c r="C537" s="282" t="s">
        <v>3410</v>
      </c>
      <c r="D537" s="282"/>
      <c r="E537" s="282" t="s">
        <v>5018</v>
      </c>
      <c r="F537" s="282" t="s">
        <v>5008</v>
      </c>
      <c r="G537" s="282" t="s">
        <v>16</v>
      </c>
      <c r="H537" s="282" t="s">
        <v>4838</v>
      </c>
      <c r="I537" s="282"/>
      <c r="J537" s="282"/>
      <c r="K537" s="282"/>
      <c r="L537" s="282"/>
      <c r="M537" s="283" t="e">
        <f t="shared" si="16"/>
        <v>#DIV/0!</v>
      </c>
      <c r="N537" s="282">
        <v>3200</v>
      </c>
      <c r="O537" s="282"/>
      <c r="P537" s="282">
        <v>1836</v>
      </c>
      <c r="Q537" s="282">
        <f>2023-Table28[[#This Row],[year_built]]</f>
        <v>187</v>
      </c>
      <c r="R537" s="282"/>
      <c r="S537" s="282" t="s">
        <v>5005</v>
      </c>
      <c r="T537" s="282" t="s">
        <v>5006</v>
      </c>
      <c r="U537" s="282">
        <v>2019</v>
      </c>
      <c r="V537" s="284" t="str">
        <f t="shared" si="17"/>
        <v/>
      </c>
      <c r="W537" s="292" t="e">
        <f>Table28[[#This Row],[$/sqft]]/INDEX(CPI!$A$3:$C$31,MATCH(Table28[[#This Row],[start_year]],CPI!$A$3:$A$31,0),3)</f>
        <v>#VALUE!</v>
      </c>
      <c r="X537" s="282"/>
      <c r="Y537" s="282"/>
      <c r="Z537" s="282" t="s">
        <v>5007</v>
      </c>
      <c r="AA537" s="282"/>
      <c r="AB537" s="55" t="s">
        <v>71</v>
      </c>
      <c r="AC537" t="s">
        <v>72</v>
      </c>
    </row>
    <row r="538" spans="1:29" x14ac:dyDescent="0.2">
      <c r="A538" s="282">
        <v>1088</v>
      </c>
      <c r="B538" s="282">
        <v>1799</v>
      </c>
      <c r="C538" s="282" t="s">
        <v>3410</v>
      </c>
      <c r="D538" s="282"/>
      <c r="E538" s="282" t="s">
        <v>5018</v>
      </c>
      <c r="F538" s="282" t="s">
        <v>5008</v>
      </c>
      <c r="G538" s="282" t="s">
        <v>16</v>
      </c>
      <c r="H538" s="282"/>
      <c r="I538" s="282"/>
      <c r="J538" s="282"/>
      <c r="K538" s="282"/>
      <c r="L538" s="282"/>
      <c r="M538" s="283" t="e">
        <f t="shared" si="16"/>
        <v>#DIV/0!</v>
      </c>
      <c r="N538" s="282">
        <v>9500</v>
      </c>
      <c r="O538" s="282"/>
      <c r="P538" s="282">
        <v>1930</v>
      </c>
      <c r="Q538" s="282">
        <f>2023-Table28[[#This Row],[year_built]]</f>
        <v>93</v>
      </c>
      <c r="R538" s="282">
        <v>9400</v>
      </c>
      <c r="S538" s="282" t="s">
        <v>5026</v>
      </c>
      <c r="T538" s="282" t="s">
        <v>5006</v>
      </c>
      <c r="U538" s="282">
        <v>2014</v>
      </c>
      <c r="V538" s="284">
        <f t="shared" si="17"/>
        <v>0.98947368421052628</v>
      </c>
      <c r="W538" s="292">
        <f>Table28[[#This Row],[$/sqft]]/INDEX(CPI!$A$3:$C$31,MATCH(Table28[[#This Row],[start_year]],CPI!$A$3:$A$31,0),3)</f>
        <v>1.2710316443989129</v>
      </c>
      <c r="X538" s="282"/>
      <c r="Y538" s="282"/>
      <c r="Z538" s="282" t="s">
        <v>5007</v>
      </c>
      <c r="AA538" s="282"/>
      <c r="AB538" s="55" t="s">
        <v>71</v>
      </c>
      <c r="AC538" t="s">
        <v>72</v>
      </c>
    </row>
    <row r="539" spans="1:29" x14ac:dyDescent="0.2">
      <c r="A539" s="282">
        <v>1089</v>
      </c>
      <c r="B539" s="282">
        <v>1816</v>
      </c>
      <c r="C539" s="282" t="s">
        <v>3410</v>
      </c>
      <c r="D539" s="282"/>
      <c r="E539" s="282" t="s">
        <v>5018</v>
      </c>
      <c r="F539" s="282" t="s">
        <v>4832</v>
      </c>
      <c r="G539" s="282" t="s">
        <v>16</v>
      </c>
      <c r="H539" s="282" t="s">
        <v>4838</v>
      </c>
      <c r="I539" s="282"/>
      <c r="J539" s="282"/>
      <c r="K539" s="282"/>
      <c r="L539" s="282"/>
      <c r="M539" s="283" t="e">
        <f t="shared" si="16"/>
        <v>#DIV/0!</v>
      </c>
      <c r="N539" s="282">
        <v>1811</v>
      </c>
      <c r="O539" s="282"/>
      <c r="P539" s="282">
        <v>1925</v>
      </c>
      <c r="Q539" s="282">
        <f>2023-Table28[[#This Row],[year_built]]</f>
        <v>98</v>
      </c>
      <c r="R539" s="282"/>
      <c r="S539" s="282" t="s">
        <v>5027</v>
      </c>
      <c r="T539" s="282" t="s">
        <v>5006</v>
      </c>
      <c r="U539" s="282"/>
      <c r="V539" s="284" t="str">
        <f t="shared" si="17"/>
        <v/>
      </c>
      <c r="W539" s="292" t="e">
        <f>Table28[[#This Row],[$/sqft]]/INDEX(CPI!$A$3:$C$31,MATCH(Table28[[#This Row],[start_year]],CPI!$A$3:$A$31,0),3)</f>
        <v>#VALUE!</v>
      </c>
      <c r="X539" s="282" t="s">
        <v>4844</v>
      </c>
      <c r="Y539" s="282" t="s">
        <v>16</v>
      </c>
      <c r="Z539" s="282" t="s">
        <v>5007</v>
      </c>
      <c r="AA539" s="282"/>
      <c r="AB539" s="55" t="s">
        <v>71</v>
      </c>
      <c r="AC539" t="s">
        <v>72</v>
      </c>
    </row>
    <row r="540" spans="1:29" x14ac:dyDescent="0.2">
      <c r="A540" s="282">
        <v>1090</v>
      </c>
      <c r="B540" s="282">
        <v>1827</v>
      </c>
      <c r="C540" s="282" t="s">
        <v>3410</v>
      </c>
      <c r="D540" s="282"/>
      <c r="E540" s="282" t="s">
        <v>5018</v>
      </c>
      <c r="F540" s="282" t="s">
        <v>4832</v>
      </c>
      <c r="G540" s="282" t="s">
        <v>16</v>
      </c>
      <c r="H540" s="282" t="s">
        <v>4850</v>
      </c>
      <c r="I540" s="282"/>
      <c r="J540" s="282"/>
      <c r="K540" s="282"/>
      <c r="L540" s="282"/>
      <c r="M540" s="283" t="e">
        <f t="shared" si="16"/>
        <v>#DIV/0!</v>
      </c>
      <c r="N540" s="282">
        <v>11000</v>
      </c>
      <c r="O540" s="282"/>
      <c r="P540" s="282">
        <v>1966</v>
      </c>
      <c r="Q540" s="282">
        <f>2023-Table28[[#This Row],[year_built]]</f>
        <v>57</v>
      </c>
      <c r="R540" s="282"/>
      <c r="S540" s="282" t="s">
        <v>5025</v>
      </c>
      <c r="T540" s="282" t="s">
        <v>5006</v>
      </c>
      <c r="U540" s="282">
        <v>2018</v>
      </c>
      <c r="V540" s="284" t="str">
        <f t="shared" si="17"/>
        <v/>
      </c>
      <c r="W540" s="292" t="e">
        <f>Table28[[#This Row],[$/sqft]]/INDEX(CPI!$A$3:$C$31,MATCH(Table28[[#This Row],[start_year]],CPI!$A$3:$A$31,0),3)</f>
        <v>#VALUE!</v>
      </c>
      <c r="X540" s="282"/>
      <c r="Y540" s="282"/>
      <c r="Z540" s="282" t="s">
        <v>5007</v>
      </c>
      <c r="AA540" s="282"/>
      <c r="AB540" s="55" t="s">
        <v>71</v>
      </c>
      <c r="AC540" t="s">
        <v>72</v>
      </c>
    </row>
    <row r="541" spans="1:29" x14ac:dyDescent="0.2">
      <c r="A541" s="282">
        <v>1092</v>
      </c>
      <c r="B541" s="282">
        <v>14803</v>
      </c>
      <c r="C541" s="282" t="s">
        <v>3410</v>
      </c>
      <c r="D541" s="282"/>
      <c r="E541" s="282" t="s">
        <v>5018</v>
      </c>
      <c r="F541" s="282" t="s">
        <v>4832</v>
      </c>
      <c r="G541" s="282" t="s">
        <v>16</v>
      </c>
      <c r="H541" s="282"/>
      <c r="I541" s="282"/>
      <c r="J541" s="282"/>
      <c r="K541" s="282"/>
      <c r="L541" s="282"/>
      <c r="M541" s="283" t="e">
        <f t="shared" si="16"/>
        <v>#DIV/0!</v>
      </c>
      <c r="N541" s="282">
        <v>7630</v>
      </c>
      <c r="O541" s="282"/>
      <c r="P541" s="282">
        <v>1920</v>
      </c>
      <c r="Q541" s="282">
        <f>2023-Table28[[#This Row],[year_built]]</f>
        <v>103</v>
      </c>
      <c r="R541" s="282">
        <v>10201</v>
      </c>
      <c r="S541" s="282" t="s">
        <v>5028</v>
      </c>
      <c r="T541" s="282" t="s">
        <v>5006</v>
      </c>
      <c r="U541" s="282">
        <v>2017</v>
      </c>
      <c r="V541" s="284">
        <f t="shared" si="17"/>
        <v>1.336959370904325</v>
      </c>
      <c r="W541" s="292">
        <f>Table28[[#This Row],[$/sqft]]/INDEX(CPI!$A$3:$C$31,MATCH(Table28[[#This Row],[start_year]],CPI!$A$3:$A$31,0),3)</f>
        <v>1.6587896560261333</v>
      </c>
      <c r="X541" s="282"/>
      <c r="Y541" s="282"/>
      <c r="Z541" s="282"/>
      <c r="AA541" s="282"/>
      <c r="AB541" s="55" t="s">
        <v>71</v>
      </c>
      <c r="AC541" t="s">
        <v>72</v>
      </c>
    </row>
    <row r="542" spans="1:29" x14ac:dyDescent="0.2">
      <c r="A542" s="282">
        <v>1125</v>
      </c>
      <c r="B542" s="282">
        <v>2062</v>
      </c>
      <c r="C542" s="282" t="s">
        <v>3410</v>
      </c>
      <c r="D542" s="282"/>
      <c r="E542" s="282" t="s">
        <v>5018</v>
      </c>
      <c r="F542" s="282" t="s">
        <v>4832</v>
      </c>
      <c r="G542" s="282" t="s">
        <v>16</v>
      </c>
      <c r="H542" s="282" t="s">
        <v>4838</v>
      </c>
      <c r="I542" s="282"/>
      <c r="J542" s="282"/>
      <c r="K542" s="282"/>
      <c r="L542" s="282"/>
      <c r="M542" s="283" t="e">
        <f t="shared" si="16"/>
        <v>#DIV/0!</v>
      </c>
      <c r="N542" s="282">
        <v>1949</v>
      </c>
      <c r="O542" s="282"/>
      <c r="P542" s="282">
        <v>1965</v>
      </c>
      <c r="Q542" s="282">
        <f>2023-Table28[[#This Row],[year_built]]</f>
        <v>58</v>
      </c>
      <c r="R542" s="282">
        <v>700</v>
      </c>
      <c r="S542" s="282" t="s">
        <v>4901</v>
      </c>
      <c r="T542" s="282" t="s">
        <v>4857</v>
      </c>
      <c r="U542" s="282">
        <v>2011</v>
      </c>
      <c r="V542" s="284">
        <f t="shared" si="17"/>
        <v>0.35915854284248333</v>
      </c>
      <c r="W542" s="292">
        <f>Table28[[#This Row],[$/sqft]]/INDEX(CPI!$A$3:$C$31,MATCH(Table28[[#This Row],[start_year]],CPI!$A$3:$A$31,0),3)</f>
        <v>0.48555436308687772</v>
      </c>
      <c r="X542" s="282" t="s">
        <v>4844</v>
      </c>
      <c r="Y542" s="282"/>
      <c r="Z542" s="282" t="s">
        <v>4840</v>
      </c>
      <c r="AA542" s="282"/>
      <c r="AB542" s="55" t="s">
        <v>71</v>
      </c>
      <c r="AC542" t="s">
        <v>72</v>
      </c>
    </row>
    <row r="543" spans="1:29" x14ac:dyDescent="0.2">
      <c r="A543" s="282">
        <v>6000</v>
      </c>
      <c r="B543" s="282">
        <v>14004</v>
      </c>
      <c r="C543" s="282" t="s">
        <v>3410</v>
      </c>
      <c r="D543" s="282"/>
      <c r="E543" s="282" t="s">
        <v>5018</v>
      </c>
      <c r="F543" s="282" t="s">
        <v>4832</v>
      </c>
      <c r="G543" s="282" t="s">
        <v>16</v>
      </c>
      <c r="H543" s="282" t="s">
        <v>4838</v>
      </c>
      <c r="I543" s="282"/>
      <c r="J543" s="282"/>
      <c r="K543" s="282"/>
      <c r="L543" s="282"/>
      <c r="M543" s="283" t="e">
        <f t="shared" si="16"/>
        <v>#DIV/0!</v>
      </c>
      <c r="N543" s="282">
        <v>3200</v>
      </c>
      <c r="O543" s="282">
        <v>2</v>
      </c>
      <c r="P543" s="282">
        <v>1941</v>
      </c>
      <c r="Q543" s="282">
        <f>2023-Table28[[#This Row],[year_built]]</f>
        <v>82</v>
      </c>
      <c r="R543" s="282">
        <v>3880</v>
      </c>
      <c r="S543" s="282" t="s">
        <v>5029</v>
      </c>
      <c r="T543" s="282" t="s">
        <v>5002</v>
      </c>
      <c r="U543" s="282">
        <v>2015</v>
      </c>
      <c r="V543" s="284">
        <f t="shared" si="17"/>
        <v>1.2124999999999999</v>
      </c>
      <c r="W543" s="292">
        <f>Table28[[#This Row],[$/sqft]]/INDEX(CPI!$A$3:$C$31,MATCH(Table28[[#This Row],[start_year]],CPI!$A$3:$A$31,0),3)</f>
        <v>1.5556742765286877</v>
      </c>
      <c r="X543" s="282" t="s">
        <v>4844</v>
      </c>
      <c r="Y543" s="282"/>
      <c r="Z543" s="282" t="s">
        <v>4840</v>
      </c>
      <c r="AA543" s="282"/>
      <c r="AB543" s="55" t="s">
        <v>71</v>
      </c>
      <c r="AC543" t="s">
        <v>72</v>
      </c>
    </row>
    <row r="544" spans="1:29" x14ac:dyDescent="0.2">
      <c r="A544" s="214">
        <v>1282</v>
      </c>
      <c r="B544" s="214">
        <v>14839</v>
      </c>
      <c r="C544" s="282" t="s">
        <v>3410</v>
      </c>
      <c r="D544" s="214"/>
      <c r="E544" s="214" t="s">
        <v>311</v>
      </c>
      <c r="F544" s="214" t="s">
        <v>5008</v>
      </c>
      <c r="G544" s="214" t="s">
        <v>4639</v>
      </c>
      <c r="H544" s="214" t="s">
        <v>4838</v>
      </c>
      <c r="I544" s="214"/>
      <c r="J544" s="214"/>
      <c r="K544" s="214"/>
      <c r="L544" s="214"/>
      <c r="M544" s="285" t="e">
        <f t="shared" si="16"/>
        <v>#DIV/0!</v>
      </c>
      <c r="N544" s="214">
        <v>2184</v>
      </c>
      <c r="O544" s="214"/>
      <c r="P544" s="214">
        <v>1950</v>
      </c>
      <c r="Q544" s="214">
        <f>2023-Table28[[#This Row],[year_built]]</f>
        <v>73</v>
      </c>
      <c r="R544" s="214">
        <v>2400</v>
      </c>
      <c r="S544" s="214" t="s">
        <v>5030</v>
      </c>
      <c r="T544" s="214" t="s">
        <v>4855</v>
      </c>
      <c r="U544" s="214">
        <v>2014</v>
      </c>
      <c r="V544" s="286">
        <f t="shared" si="17"/>
        <v>1.098901098901099</v>
      </c>
      <c r="W544" s="293">
        <f>Table28[[#This Row],[$/sqft]]/INDEX(CPI!$A$3:$C$31,MATCH(Table28[[#This Row],[start_year]],CPI!$A$3:$A$31,0),3)</f>
        <v>1.4115969864145048</v>
      </c>
      <c r="X544" s="214" t="s">
        <v>4844</v>
      </c>
      <c r="Y544" s="214" t="s">
        <v>217</v>
      </c>
      <c r="Z544" s="214" t="s">
        <v>4840</v>
      </c>
      <c r="AA544" s="214"/>
      <c r="AB544" s="55" t="s">
        <v>71</v>
      </c>
      <c r="AC544" t="s">
        <v>72</v>
      </c>
    </row>
  </sheetData>
  <hyperlinks>
    <hyperlink ref="C1" location="'Table of Contents'!A1" display="Table of Contents" xr:uid="{4ED9071C-EC56-43CB-86E7-EFDB79A6B2C1}"/>
  </hyperlinks>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253D8-0E71-4124-8AD7-FE758ADE01BB}">
  <dimension ref="A1:T205"/>
  <sheetViews>
    <sheetView workbookViewId="0">
      <selection activeCell="C7" sqref="C7"/>
    </sheetView>
  </sheetViews>
  <sheetFormatPr baseColWidth="10" defaultColWidth="8.5" defaultRowHeight="15" x14ac:dyDescent="0.2"/>
  <cols>
    <col min="1" max="1" width="14.5" style="95" customWidth="1"/>
    <col min="2" max="2" width="13" style="95" customWidth="1"/>
    <col min="3" max="3" width="10.5" style="95" customWidth="1"/>
    <col min="4" max="4" width="8.5" style="95"/>
    <col min="5" max="5" width="12.5" style="95" customWidth="1"/>
    <col min="6" max="6" width="15.5" style="95" customWidth="1"/>
    <col min="7" max="7" width="9.5" style="95" customWidth="1"/>
    <col min="8" max="9" width="17.5" style="95" customWidth="1"/>
    <col min="10" max="10" width="19.5" style="95" customWidth="1"/>
    <col min="11" max="11" width="13.5" style="95" customWidth="1"/>
    <col min="12" max="12" width="25.5" style="95" customWidth="1"/>
    <col min="13" max="14" width="21.5" style="95" customWidth="1"/>
    <col min="15" max="15" width="10.5" style="95" customWidth="1"/>
    <col min="16" max="17" width="8.5" style="95"/>
    <col min="18" max="18" width="14.5" style="95" customWidth="1"/>
    <col min="19" max="19" width="8.5" style="95"/>
    <col min="20" max="20" width="13.5" style="95" customWidth="1"/>
    <col min="21" max="16384" width="8.5" style="95"/>
  </cols>
  <sheetData>
    <row r="1" spans="1:20" customFormat="1" x14ac:dyDescent="0.2">
      <c r="A1" s="4" t="s">
        <v>21</v>
      </c>
      <c r="K1" s="39"/>
      <c r="L1" s="39"/>
    </row>
    <row r="2" spans="1:20" customFormat="1" ht="19" x14ac:dyDescent="0.25">
      <c r="A2" s="24" t="s">
        <v>22</v>
      </c>
      <c r="K2" s="39"/>
      <c r="L2" s="39"/>
    </row>
    <row r="3" spans="1:20" s="96" customFormat="1" x14ac:dyDescent="0.2">
      <c r="A3" s="96" t="s">
        <v>25</v>
      </c>
      <c r="B3" s="96" t="s">
        <v>26</v>
      </c>
      <c r="C3" s="96" t="s">
        <v>27</v>
      </c>
      <c r="D3" s="96" t="s">
        <v>28</v>
      </c>
      <c r="E3" s="96" t="s">
        <v>29</v>
      </c>
      <c r="F3" s="96" t="s">
        <v>30</v>
      </c>
      <c r="G3" s="96" t="s">
        <v>31</v>
      </c>
      <c r="H3" s="96" t="s">
        <v>32</v>
      </c>
      <c r="I3" s="96" t="s">
        <v>33</v>
      </c>
      <c r="J3" s="96" t="s">
        <v>34</v>
      </c>
      <c r="K3" s="96" t="s">
        <v>35</v>
      </c>
      <c r="L3" s="96" t="s">
        <v>36</v>
      </c>
      <c r="M3" s="96" t="s">
        <v>37</v>
      </c>
      <c r="N3" s="96" t="s">
        <v>38</v>
      </c>
      <c r="O3" s="96" t="s">
        <v>39</v>
      </c>
      <c r="P3" s="96" t="s">
        <v>40</v>
      </c>
      <c r="Q3" s="96" t="s">
        <v>41</v>
      </c>
      <c r="R3" s="96" t="s">
        <v>42</v>
      </c>
      <c r="S3" s="96" t="s">
        <v>43</v>
      </c>
      <c r="T3" s="96" t="s">
        <v>44</v>
      </c>
    </row>
    <row r="4" spans="1:20" x14ac:dyDescent="0.2">
      <c r="A4" s="95" t="s">
        <v>65</v>
      </c>
      <c r="B4" s="95" t="s">
        <v>66</v>
      </c>
      <c r="C4" s="95" t="s">
        <v>67</v>
      </c>
      <c r="D4" s="95" t="s">
        <v>68</v>
      </c>
      <c r="E4" s="95" t="s">
        <v>68</v>
      </c>
      <c r="F4" s="95">
        <v>1</v>
      </c>
      <c r="G4" s="95">
        <v>4.0999999999999996</v>
      </c>
      <c r="I4" s="95">
        <v>0.42</v>
      </c>
      <c r="J4" s="95">
        <v>8.0000000000000002E-3</v>
      </c>
      <c r="K4" s="95">
        <v>0.31</v>
      </c>
      <c r="L4" s="95">
        <v>0.96</v>
      </c>
      <c r="O4" s="95">
        <v>999</v>
      </c>
      <c r="P4" s="95">
        <v>2023</v>
      </c>
      <c r="R4" s="95" t="s">
        <v>69</v>
      </c>
      <c r="S4" s="95" t="s">
        <v>70</v>
      </c>
    </row>
    <row r="5" spans="1:20" x14ac:dyDescent="0.2">
      <c r="A5" s="95" t="s">
        <v>65</v>
      </c>
      <c r="B5" s="95" t="s">
        <v>66</v>
      </c>
      <c r="C5" s="95" t="s">
        <v>67</v>
      </c>
      <c r="D5" s="95" t="s">
        <v>68</v>
      </c>
      <c r="E5" s="95" t="s">
        <v>68</v>
      </c>
      <c r="F5" s="95">
        <v>1.5</v>
      </c>
      <c r="G5" s="95">
        <v>6.2</v>
      </c>
      <c r="I5" s="95">
        <v>1.32</v>
      </c>
      <c r="J5" s="95">
        <v>8.0000000000000002E-3</v>
      </c>
      <c r="K5" s="95">
        <v>0.31</v>
      </c>
      <c r="L5" s="95">
        <v>1.95</v>
      </c>
      <c r="O5" s="95">
        <v>999</v>
      </c>
      <c r="P5" s="95">
        <v>2023</v>
      </c>
      <c r="R5" s="95" t="s">
        <v>69</v>
      </c>
      <c r="S5" s="95" t="s">
        <v>70</v>
      </c>
    </row>
    <row r="6" spans="1:20" x14ac:dyDescent="0.2">
      <c r="A6" s="95" t="s">
        <v>65</v>
      </c>
      <c r="B6" s="95" t="s">
        <v>66</v>
      </c>
      <c r="C6" s="95" t="s">
        <v>67</v>
      </c>
      <c r="D6" s="95" t="s">
        <v>68</v>
      </c>
      <c r="E6" s="95" t="s">
        <v>68</v>
      </c>
      <c r="F6" s="95">
        <v>2</v>
      </c>
      <c r="G6" s="95">
        <v>8.3000000000000007</v>
      </c>
      <c r="I6" s="95">
        <v>0.67</v>
      </c>
      <c r="J6" s="95">
        <v>8.0000000000000002E-3</v>
      </c>
      <c r="K6" s="95">
        <v>0.31</v>
      </c>
      <c r="L6" s="95">
        <v>1.24</v>
      </c>
      <c r="O6" s="95">
        <v>999</v>
      </c>
      <c r="P6" s="95">
        <v>2023</v>
      </c>
      <c r="R6" s="95" t="s">
        <v>69</v>
      </c>
      <c r="S6" s="95" t="s">
        <v>70</v>
      </c>
    </row>
    <row r="7" spans="1:20" x14ac:dyDescent="0.2">
      <c r="A7" s="95" t="s">
        <v>65</v>
      </c>
      <c r="B7" s="95" t="s">
        <v>66</v>
      </c>
      <c r="C7" s="95" t="s">
        <v>67</v>
      </c>
      <c r="D7" s="95" t="s">
        <v>68</v>
      </c>
      <c r="E7" s="95" t="s">
        <v>68</v>
      </c>
      <c r="F7" s="95">
        <v>3</v>
      </c>
      <c r="G7" s="95">
        <v>12.4</v>
      </c>
      <c r="I7" s="95">
        <v>0.89</v>
      </c>
      <c r="J7" s="95">
        <v>0.01</v>
      </c>
      <c r="K7" s="95">
        <v>0.39</v>
      </c>
      <c r="L7" s="95">
        <v>1.61</v>
      </c>
      <c r="O7" s="95">
        <v>999</v>
      </c>
      <c r="P7" s="95">
        <v>2023</v>
      </c>
      <c r="R7" s="95" t="s">
        <v>69</v>
      </c>
      <c r="S7" s="95" t="s">
        <v>70</v>
      </c>
    </row>
    <row r="8" spans="1:20" x14ac:dyDescent="0.2">
      <c r="A8" s="95" t="s">
        <v>65</v>
      </c>
      <c r="B8" s="95" t="s">
        <v>66</v>
      </c>
      <c r="C8" s="95" t="s">
        <v>67</v>
      </c>
      <c r="D8" s="95" t="s">
        <v>68</v>
      </c>
      <c r="E8" s="95" t="s">
        <v>68</v>
      </c>
      <c r="F8" s="95">
        <v>1</v>
      </c>
      <c r="G8" s="95">
        <v>4.3</v>
      </c>
      <c r="I8" s="95">
        <v>0.87</v>
      </c>
      <c r="J8" s="95">
        <v>8.0000000000000002E-3</v>
      </c>
      <c r="K8" s="95">
        <v>0.31</v>
      </c>
      <c r="L8" s="95">
        <v>1.46</v>
      </c>
      <c r="O8" s="95">
        <v>999</v>
      </c>
      <c r="P8" s="95">
        <v>2023</v>
      </c>
      <c r="R8" s="95" t="s">
        <v>69</v>
      </c>
      <c r="S8" s="95" t="s">
        <v>70</v>
      </c>
    </row>
    <row r="9" spans="1:20" x14ac:dyDescent="0.2">
      <c r="A9" s="95" t="s">
        <v>65</v>
      </c>
      <c r="B9" s="95" t="s">
        <v>66</v>
      </c>
      <c r="C9" s="95" t="s">
        <v>67</v>
      </c>
      <c r="D9" s="95" t="s">
        <v>68</v>
      </c>
      <c r="E9" s="95" t="s">
        <v>68</v>
      </c>
      <c r="F9" s="95">
        <v>2</v>
      </c>
      <c r="G9" s="95">
        <v>8.6999999999999993</v>
      </c>
      <c r="I9" s="95">
        <v>1.78</v>
      </c>
      <c r="J9" s="95">
        <v>8.9999999999999993E-3</v>
      </c>
      <c r="K9" s="95">
        <v>0.35</v>
      </c>
      <c r="L9" s="95">
        <v>2.5299999999999998</v>
      </c>
      <c r="O9" s="95">
        <v>999</v>
      </c>
      <c r="P9" s="95">
        <v>2023</v>
      </c>
      <c r="R9" s="95" t="s">
        <v>69</v>
      </c>
      <c r="S9" s="95" t="s">
        <v>70</v>
      </c>
    </row>
    <row r="10" spans="1:20" x14ac:dyDescent="0.2">
      <c r="A10" s="95" t="s">
        <v>65</v>
      </c>
      <c r="B10" s="95" t="s">
        <v>66</v>
      </c>
      <c r="C10" s="95" t="s">
        <v>67</v>
      </c>
      <c r="D10" s="95" t="s">
        <v>68</v>
      </c>
      <c r="E10" s="95" t="s">
        <v>68</v>
      </c>
      <c r="F10" s="95">
        <v>2.5</v>
      </c>
      <c r="G10" s="95">
        <v>10.9</v>
      </c>
      <c r="I10" s="95">
        <v>1.57</v>
      </c>
      <c r="J10" s="95">
        <v>0.01</v>
      </c>
      <c r="K10" s="95">
        <v>0.39</v>
      </c>
      <c r="L10" s="95">
        <v>2.36</v>
      </c>
      <c r="O10" s="95">
        <v>999</v>
      </c>
      <c r="P10" s="95">
        <v>2023</v>
      </c>
      <c r="R10" s="95" t="s">
        <v>69</v>
      </c>
      <c r="S10" s="95" t="s">
        <v>70</v>
      </c>
    </row>
    <row r="11" spans="1:20" x14ac:dyDescent="0.2">
      <c r="A11" s="95" t="s">
        <v>65</v>
      </c>
      <c r="B11" s="95" t="s">
        <v>66</v>
      </c>
      <c r="C11" s="95" t="s">
        <v>67</v>
      </c>
      <c r="D11" s="95" t="s">
        <v>68</v>
      </c>
      <c r="E11" s="95" t="s">
        <v>68</v>
      </c>
      <c r="F11" s="95">
        <v>3</v>
      </c>
      <c r="G11" s="95">
        <v>13</v>
      </c>
      <c r="I11" s="95">
        <v>0.59</v>
      </c>
      <c r="J11" s="95">
        <v>0.01</v>
      </c>
      <c r="K11" s="95">
        <v>0.39</v>
      </c>
      <c r="L11" s="95">
        <v>1.28</v>
      </c>
      <c r="O11" s="95">
        <v>999</v>
      </c>
      <c r="P11" s="95">
        <v>2023</v>
      </c>
      <c r="R11" s="95" t="s">
        <v>69</v>
      </c>
      <c r="S11" s="95" t="s">
        <v>70</v>
      </c>
    </row>
    <row r="12" spans="1:20" x14ac:dyDescent="0.2">
      <c r="A12" s="95" t="s">
        <v>65</v>
      </c>
      <c r="B12" s="95" t="s">
        <v>66</v>
      </c>
      <c r="C12" s="95" t="s">
        <v>67</v>
      </c>
      <c r="D12" s="95" t="s">
        <v>81</v>
      </c>
      <c r="E12" s="95" t="s">
        <v>82</v>
      </c>
      <c r="F12" s="95">
        <v>0.5</v>
      </c>
      <c r="G12" s="95">
        <v>4.3</v>
      </c>
      <c r="I12" s="95">
        <v>1.21</v>
      </c>
      <c r="J12" s="95">
        <v>8.0000000000000002E-3</v>
      </c>
      <c r="K12" s="95">
        <v>0.31</v>
      </c>
      <c r="L12" s="95">
        <v>1.83</v>
      </c>
      <c r="O12" s="95">
        <v>999</v>
      </c>
      <c r="P12" s="95">
        <v>2023</v>
      </c>
      <c r="R12" s="95" t="s">
        <v>69</v>
      </c>
      <c r="S12" s="95" t="s">
        <v>70</v>
      </c>
    </row>
    <row r="13" spans="1:20" x14ac:dyDescent="0.2">
      <c r="A13" s="95" t="s">
        <v>65</v>
      </c>
      <c r="B13" s="95" t="s">
        <v>66</v>
      </c>
      <c r="C13" s="95" t="s">
        <v>67</v>
      </c>
      <c r="D13" s="95" t="s">
        <v>81</v>
      </c>
      <c r="E13" s="95" t="s">
        <v>82</v>
      </c>
      <c r="F13" s="95">
        <v>0.625</v>
      </c>
      <c r="G13" s="95">
        <v>6.5</v>
      </c>
      <c r="I13" s="95">
        <v>1.68</v>
      </c>
      <c r="J13" s="95">
        <v>8.0000000000000002E-3</v>
      </c>
      <c r="K13" s="95">
        <v>0.31</v>
      </c>
      <c r="L13" s="95">
        <v>2.35</v>
      </c>
      <c r="O13" s="95">
        <v>999</v>
      </c>
      <c r="P13" s="95">
        <v>2023</v>
      </c>
      <c r="R13" s="95" t="s">
        <v>69</v>
      </c>
      <c r="S13" s="95" t="s">
        <v>70</v>
      </c>
    </row>
    <row r="14" spans="1:20" x14ac:dyDescent="0.2">
      <c r="A14" s="95" t="s">
        <v>65</v>
      </c>
      <c r="B14" s="95" t="s">
        <v>66</v>
      </c>
      <c r="C14" s="95" t="s">
        <v>67</v>
      </c>
      <c r="D14" s="95" t="s">
        <v>81</v>
      </c>
      <c r="E14" s="95" t="s">
        <v>82</v>
      </c>
      <c r="F14" s="95">
        <v>0.75</v>
      </c>
      <c r="G14" s="95">
        <v>8.6999999999999993</v>
      </c>
      <c r="I14" s="95">
        <v>2.27</v>
      </c>
      <c r="J14" s="95">
        <v>8.9999999999999993E-3</v>
      </c>
      <c r="K14" s="95">
        <v>0.35</v>
      </c>
      <c r="L14" s="95">
        <v>3.07</v>
      </c>
      <c r="O14" s="95">
        <v>999</v>
      </c>
      <c r="P14" s="95">
        <v>2023</v>
      </c>
      <c r="R14" s="95" t="s">
        <v>69</v>
      </c>
      <c r="S14" s="95" t="s">
        <v>70</v>
      </c>
    </row>
    <row r="15" spans="1:20" x14ac:dyDescent="0.2">
      <c r="A15" s="95" t="s">
        <v>65</v>
      </c>
      <c r="B15" s="95" t="s">
        <v>66</v>
      </c>
      <c r="C15" s="95" t="s">
        <v>67</v>
      </c>
      <c r="D15" s="95" t="s">
        <v>81</v>
      </c>
      <c r="E15" s="95" t="s">
        <v>82</v>
      </c>
      <c r="F15" s="95">
        <v>1</v>
      </c>
      <c r="G15" s="95">
        <v>10.9</v>
      </c>
      <c r="I15" s="95">
        <v>2.64</v>
      </c>
      <c r="J15" s="95">
        <v>0.01</v>
      </c>
      <c r="K15" s="95">
        <v>0.39</v>
      </c>
      <c r="L15" s="95">
        <v>3.53</v>
      </c>
      <c r="O15" s="95">
        <v>999</v>
      </c>
      <c r="P15" s="95">
        <v>2023</v>
      </c>
      <c r="R15" s="95" t="s">
        <v>69</v>
      </c>
      <c r="S15" s="95" t="s">
        <v>70</v>
      </c>
    </row>
    <row r="16" spans="1:20" x14ac:dyDescent="0.2">
      <c r="A16" s="95" t="s">
        <v>65</v>
      </c>
      <c r="B16" s="95" t="s">
        <v>66</v>
      </c>
      <c r="C16" s="95" t="s">
        <v>67</v>
      </c>
      <c r="D16" s="95" t="s">
        <v>81</v>
      </c>
      <c r="E16" s="95" t="s">
        <v>82</v>
      </c>
      <c r="F16" s="95">
        <v>1.5</v>
      </c>
      <c r="G16" s="95">
        <v>13</v>
      </c>
      <c r="I16" s="95">
        <v>0.56999999999999995</v>
      </c>
      <c r="J16" s="95">
        <v>0.01</v>
      </c>
      <c r="K16" s="95">
        <v>0.39</v>
      </c>
      <c r="L16" s="95">
        <v>1.26</v>
      </c>
      <c r="O16" s="95">
        <v>999</v>
      </c>
      <c r="P16" s="95">
        <v>2023</v>
      </c>
      <c r="R16" s="95" t="s">
        <v>69</v>
      </c>
      <c r="S16" s="95" t="s">
        <v>70</v>
      </c>
    </row>
    <row r="17" spans="1:19" x14ac:dyDescent="0.2">
      <c r="A17" s="95" t="s">
        <v>65</v>
      </c>
      <c r="B17" s="95" t="s">
        <v>66</v>
      </c>
      <c r="C17" s="95" t="s">
        <v>84</v>
      </c>
      <c r="D17" s="95" t="s">
        <v>81</v>
      </c>
      <c r="E17" s="95" t="s">
        <v>82</v>
      </c>
      <c r="F17" s="95">
        <v>1</v>
      </c>
      <c r="G17" s="95">
        <v>2.77</v>
      </c>
      <c r="I17" s="95">
        <v>0.71</v>
      </c>
      <c r="J17" s="95">
        <v>0.01</v>
      </c>
      <c r="K17" s="95">
        <v>0.39</v>
      </c>
      <c r="L17" s="95">
        <v>1.41</v>
      </c>
      <c r="O17" s="95">
        <v>999</v>
      </c>
      <c r="P17" s="95">
        <v>2023</v>
      </c>
      <c r="R17" s="95" t="s">
        <v>69</v>
      </c>
      <c r="S17" s="95" t="s">
        <v>70</v>
      </c>
    </row>
    <row r="18" spans="1:19" x14ac:dyDescent="0.2">
      <c r="A18" s="95" t="s">
        <v>65</v>
      </c>
      <c r="B18" s="95" t="s">
        <v>66</v>
      </c>
      <c r="C18" s="95" t="s">
        <v>84</v>
      </c>
      <c r="D18" s="95" t="s">
        <v>81</v>
      </c>
      <c r="E18" s="95" t="s">
        <v>82</v>
      </c>
      <c r="F18" s="95">
        <v>2</v>
      </c>
      <c r="G18" s="95">
        <v>5.55</v>
      </c>
      <c r="I18" s="95">
        <v>1.26</v>
      </c>
      <c r="J18" s="95">
        <v>1.0999999999999999E-2</v>
      </c>
      <c r="K18" s="95">
        <v>0.42</v>
      </c>
      <c r="L18" s="95">
        <v>2.08</v>
      </c>
      <c r="O18" s="95">
        <v>999</v>
      </c>
      <c r="P18" s="95">
        <v>2023</v>
      </c>
      <c r="R18" s="95" t="s">
        <v>69</v>
      </c>
      <c r="S18" s="95" t="s">
        <v>70</v>
      </c>
    </row>
    <row r="19" spans="1:19" x14ac:dyDescent="0.2">
      <c r="A19" s="95" t="s">
        <v>65</v>
      </c>
      <c r="B19" s="95" t="s">
        <v>66</v>
      </c>
      <c r="C19" s="95" t="s">
        <v>84</v>
      </c>
      <c r="D19" s="95" t="s">
        <v>81</v>
      </c>
      <c r="E19" s="95" t="s">
        <v>82</v>
      </c>
      <c r="F19" s="95">
        <v>1</v>
      </c>
      <c r="G19" s="95">
        <v>5</v>
      </c>
      <c r="I19" s="95">
        <v>1.26</v>
      </c>
      <c r="J19" s="95">
        <v>0.01</v>
      </c>
      <c r="K19" s="95">
        <v>0.39</v>
      </c>
      <c r="L19" s="95">
        <v>2.02</v>
      </c>
      <c r="O19" s="95">
        <v>999</v>
      </c>
      <c r="P19" s="95">
        <v>2023</v>
      </c>
      <c r="R19" s="95" t="s">
        <v>69</v>
      </c>
      <c r="S19" s="95" t="s">
        <v>70</v>
      </c>
    </row>
    <row r="20" spans="1:19" x14ac:dyDescent="0.2">
      <c r="A20" s="95" t="s">
        <v>65</v>
      </c>
      <c r="B20" s="95" t="s">
        <v>66</v>
      </c>
      <c r="C20" s="95" t="s">
        <v>84</v>
      </c>
      <c r="D20" s="95" t="s">
        <v>81</v>
      </c>
      <c r="E20" s="95" t="s">
        <v>82</v>
      </c>
      <c r="F20" s="95">
        <v>2</v>
      </c>
      <c r="G20" s="95">
        <v>10</v>
      </c>
      <c r="I20" s="95">
        <v>1.91</v>
      </c>
      <c r="J20" s="95">
        <v>1.0999999999999999E-2</v>
      </c>
      <c r="K20" s="95">
        <v>0.42</v>
      </c>
      <c r="L20" s="95">
        <v>2.79</v>
      </c>
      <c r="O20" s="95">
        <v>999</v>
      </c>
      <c r="P20" s="95">
        <v>2023</v>
      </c>
      <c r="R20" s="95" t="s">
        <v>69</v>
      </c>
      <c r="S20" s="95" t="s">
        <v>70</v>
      </c>
    </row>
    <row r="21" spans="1:19" x14ac:dyDescent="0.2">
      <c r="A21" s="95" t="s">
        <v>65</v>
      </c>
      <c r="B21" s="95" t="s">
        <v>66</v>
      </c>
      <c r="C21" s="95" t="s">
        <v>84</v>
      </c>
      <c r="D21" s="95" t="s">
        <v>81</v>
      </c>
      <c r="E21" s="95" t="s">
        <v>82</v>
      </c>
      <c r="F21" s="95">
        <v>3</v>
      </c>
      <c r="G21" s="95">
        <v>15</v>
      </c>
      <c r="I21" s="95">
        <v>3.05</v>
      </c>
      <c r="J21" s="95">
        <v>1.0999999999999999E-2</v>
      </c>
      <c r="K21" s="95">
        <v>0.42</v>
      </c>
      <c r="L21" s="95">
        <v>4.05</v>
      </c>
      <c r="O21" s="95">
        <v>999</v>
      </c>
      <c r="P21" s="95">
        <v>2023</v>
      </c>
      <c r="R21" s="95" t="s">
        <v>69</v>
      </c>
      <c r="S21" s="95" t="s">
        <v>70</v>
      </c>
    </row>
    <row r="22" spans="1:19" x14ac:dyDescent="0.2">
      <c r="A22" s="95" t="s">
        <v>65</v>
      </c>
      <c r="B22" s="95" t="s">
        <v>66</v>
      </c>
      <c r="C22" s="95" t="s">
        <v>84</v>
      </c>
      <c r="D22" s="95" t="s">
        <v>81</v>
      </c>
      <c r="E22" s="95" t="s">
        <v>82</v>
      </c>
      <c r="F22" s="95">
        <v>1</v>
      </c>
      <c r="G22" s="95">
        <v>3.85</v>
      </c>
      <c r="I22" s="95">
        <v>0.34</v>
      </c>
      <c r="J22" s="95">
        <v>0.01</v>
      </c>
      <c r="K22" s="95">
        <v>0.39</v>
      </c>
      <c r="L22" s="95">
        <v>1</v>
      </c>
      <c r="O22" s="95">
        <v>999</v>
      </c>
      <c r="P22" s="95">
        <v>2023</v>
      </c>
      <c r="R22" s="95" t="s">
        <v>69</v>
      </c>
      <c r="S22" s="95" t="s">
        <v>70</v>
      </c>
    </row>
    <row r="23" spans="1:19" x14ac:dyDescent="0.2">
      <c r="A23" s="95" t="s">
        <v>65</v>
      </c>
      <c r="B23" s="95" t="s">
        <v>66</v>
      </c>
      <c r="C23" s="95" t="s">
        <v>84</v>
      </c>
      <c r="D23" s="95" t="s">
        <v>81</v>
      </c>
      <c r="E23" s="95" t="s">
        <v>82</v>
      </c>
      <c r="F23" s="95">
        <v>2</v>
      </c>
      <c r="G23" s="95">
        <v>7.69</v>
      </c>
      <c r="I23" s="95">
        <v>0.68</v>
      </c>
      <c r="J23" s="95">
        <v>1.0999999999999999E-2</v>
      </c>
      <c r="K23" s="95">
        <v>0.42</v>
      </c>
      <c r="L23" s="95">
        <v>1.44</v>
      </c>
      <c r="O23" s="95">
        <v>999</v>
      </c>
      <c r="P23" s="95">
        <v>2023</v>
      </c>
      <c r="R23" s="95" t="s">
        <v>69</v>
      </c>
      <c r="S23" s="95" t="s">
        <v>70</v>
      </c>
    </row>
    <row r="24" spans="1:19" x14ac:dyDescent="0.2">
      <c r="A24" s="95" t="s">
        <v>65</v>
      </c>
      <c r="B24" s="95" t="s">
        <v>66</v>
      </c>
      <c r="C24" s="95" t="s">
        <v>84</v>
      </c>
      <c r="D24" s="95" t="s">
        <v>81</v>
      </c>
      <c r="E24" s="95" t="s">
        <v>82</v>
      </c>
      <c r="F24" s="95">
        <v>3</v>
      </c>
      <c r="G24" s="95">
        <v>11.49</v>
      </c>
      <c r="I24" s="95">
        <v>1.02</v>
      </c>
      <c r="J24" s="95">
        <v>1.0999999999999999E-2</v>
      </c>
      <c r="K24" s="95">
        <v>0.42</v>
      </c>
      <c r="L24" s="95">
        <v>1.81</v>
      </c>
      <c r="O24" s="95">
        <v>999</v>
      </c>
      <c r="P24" s="95">
        <v>2023</v>
      </c>
      <c r="R24" s="95" t="s">
        <v>69</v>
      </c>
      <c r="S24" s="95" t="s">
        <v>70</v>
      </c>
    </row>
    <row r="25" spans="1:19" x14ac:dyDescent="0.2">
      <c r="A25" s="95" t="s">
        <v>65</v>
      </c>
      <c r="B25" s="95" t="s">
        <v>66</v>
      </c>
      <c r="C25" s="95" t="s">
        <v>85</v>
      </c>
      <c r="D25" s="95" t="s">
        <v>68</v>
      </c>
      <c r="E25" s="95" t="s">
        <v>68</v>
      </c>
      <c r="F25" s="95">
        <v>1</v>
      </c>
      <c r="G25" s="95">
        <v>4</v>
      </c>
      <c r="I25" s="95">
        <v>0.34</v>
      </c>
      <c r="J25" s="95">
        <v>1.2E-2</v>
      </c>
      <c r="K25" s="95">
        <v>0.45</v>
      </c>
      <c r="L25" s="95">
        <v>1.1100000000000001</v>
      </c>
      <c r="O25" s="95">
        <v>999</v>
      </c>
      <c r="P25" s="95">
        <v>2023</v>
      </c>
      <c r="R25" s="95" t="s">
        <v>69</v>
      </c>
      <c r="S25" s="95" t="s">
        <v>70</v>
      </c>
    </row>
    <row r="26" spans="1:19" x14ac:dyDescent="0.2">
      <c r="A26" s="95" t="s">
        <v>65</v>
      </c>
      <c r="B26" s="95" t="s">
        <v>66</v>
      </c>
      <c r="C26" s="95" t="s">
        <v>85</v>
      </c>
      <c r="D26" s="95" t="s">
        <v>68</v>
      </c>
      <c r="E26" s="95" t="s">
        <v>68</v>
      </c>
      <c r="F26" s="95">
        <v>2</v>
      </c>
      <c r="G26" s="95">
        <v>8</v>
      </c>
      <c r="I26" s="95">
        <v>0.68</v>
      </c>
      <c r="J26" s="95">
        <v>1.2E-2</v>
      </c>
      <c r="K26" s="95">
        <v>0.46</v>
      </c>
      <c r="L26" s="95">
        <v>1.5</v>
      </c>
      <c r="O26" s="95">
        <v>999</v>
      </c>
      <c r="P26" s="95">
        <v>2023</v>
      </c>
      <c r="R26" s="95" t="s">
        <v>69</v>
      </c>
      <c r="S26" s="95" t="s">
        <v>70</v>
      </c>
    </row>
    <row r="27" spans="1:19" x14ac:dyDescent="0.2">
      <c r="A27" s="95" t="s">
        <v>65</v>
      </c>
      <c r="B27" s="95" t="s">
        <v>66</v>
      </c>
      <c r="C27" s="95" t="s">
        <v>86</v>
      </c>
      <c r="D27" s="95" t="s">
        <v>68</v>
      </c>
      <c r="E27" s="95" t="s">
        <v>68</v>
      </c>
      <c r="F27" s="95">
        <v>1</v>
      </c>
      <c r="G27" s="95">
        <v>4</v>
      </c>
      <c r="I27" s="95">
        <v>0.34</v>
      </c>
      <c r="J27" s="95">
        <v>1.2E-2</v>
      </c>
      <c r="K27" s="95">
        <v>0.45</v>
      </c>
      <c r="L27" s="95">
        <v>1.1100000000000001</v>
      </c>
      <c r="O27" s="95">
        <v>999</v>
      </c>
      <c r="P27" s="95">
        <v>2023</v>
      </c>
      <c r="R27" s="95" t="s">
        <v>69</v>
      </c>
      <c r="S27" s="95" t="s">
        <v>70</v>
      </c>
    </row>
    <row r="28" spans="1:19" x14ac:dyDescent="0.2">
      <c r="A28" s="95" t="s">
        <v>65</v>
      </c>
      <c r="B28" s="95" t="s">
        <v>66</v>
      </c>
      <c r="C28" s="95" t="s">
        <v>86</v>
      </c>
      <c r="D28" s="95" t="s">
        <v>68</v>
      </c>
      <c r="E28" s="95" t="s">
        <v>68</v>
      </c>
      <c r="F28" s="95">
        <v>2</v>
      </c>
      <c r="G28" s="95">
        <v>8</v>
      </c>
      <c r="I28" s="95">
        <v>0.68</v>
      </c>
      <c r="J28" s="95">
        <v>1.2E-2</v>
      </c>
      <c r="K28" s="95">
        <v>0.46</v>
      </c>
      <c r="L28" s="95">
        <v>1.5</v>
      </c>
      <c r="O28" s="95">
        <v>999</v>
      </c>
      <c r="P28" s="95">
        <v>2023</v>
      </c>
      <c r="R28" s="95" t="s">
        <v>69</v>
      </c>
      <c r="S28" s="95" t="s">
        <v>70</v>
      </c>
    </row>
    <row r="29" spans="1:19" x14ac:dyDescent="0.2">
      <c r="A29" s="95" t="s">
        <v>73</v>
      </c>
      <c r="B29" s="95" t="s">
        <v>69</v>
      </c>
      <c r="C29" s="95" t="s">
        <v>67</v>
      </c>
      <c r="D29" s="95" t="s">
        <v>81</v>
      </c>
      <c r="E29" s="95" t="s">
        <v>89</v>
      </c>
      <c r="F29" s="95">
        <v>3.5</v>
      </c>
      <c r="G29" s="95">
        <v>11</v>
      </c>
      <c r="I29" s="95">
        <v>0.53</v>
      </c>
      <c r="J29" s="95">
        <v>6.0000000000000001E-3</v>
      </c>
      <c r="K29" s="95">
        <v>0.23</v>
      </c>
      <c r="L29" s="95">
        <v>0.95</v>
      </c>
      <c r="O29" s="95">
        <v>999</v>
      </c>
      <c r="P29" s="95">
        <v>2023</v>
      </c>
      <c r="R29" s="95" t="s">
        <v>69</v>
      </c>
      <c r="S29" s="95" t="s">
        <v>70</v>
      </c>
    </row>
    <row r="30" spans="1:19" x14ac:dyDescent="0.2">
      <c r="A30" s="95" t="s">
        <v>73</v>
      </c>
      <c r="B30" s="95" t="s">
        <v>69</v>
      </c>
      <c r="C30" s="95" t="s">
        <v>67</v>
      </c>
      <c r="D30" s="95" t="s">
        <v>81</v>
      </c>
      <c r="E30" s="95" t="s">
        <v>89</v>
      </c>
      <c r="F30" s="95">
        <v>3.5</v>
      </c>
      <c r="G30" s="95">
        <v>13</v>
      </c>
      <c r="I30" s="95">
        <v>0.85</v>
      </c>
      <c r="J30" s="95">
        <v>7.0000000000000001E-3</v>
      </c>
      <c r="K30" s="95">
        <v>0.27</v>
      </c>
      <c r="L30" s="95">
        <v>1.38</v>
      </c>
      <c r="O30" s="95">
        <v>999</v>
      </c>
      <c r="P30" s="95">
        <v>2023</v>
      </c>
      <c r="R30" s="95" t="s">
        <v>69</v>
      </c>
      <c r="S30" s="95" t="s">
        <v>70</v>
      </c>
    </row>
    <row r="31" spans="1:19" x14ac:dyDescent="0.2">
      <c r="A31" s="95" t="s">
        <v>73</v>
      </c>
      <c r="B31" s="95" t="s">
        <v>69</v>
      </c>
      <c r="C31" s="95" t="s">
        <v>67</v>
      </c>
      <c r="D31" s="95" t="s">
        <v>81</v>
      </c>
      <c r="E31" s="95" t="s">
        <v>89</v>
      </c>
      <c r="F31" s="95">
        <v>3.5</v>
      </c>
      <c r="G31" s="95">
        <v>15</v>
      </c>
      <c r="I31" s="95">
        <v>0.87</v>
      </c>
      <c r="J31" s="95">
        <v>7.0000000000000001E-3</v>
      </c>
      <c r="K31" s="95">
        <v>0.27</v>
      </c>
      <c r="L31" s="95">
        <v>1.4</v>
      </c>
      <c r="O31" s="95">
        <v>999</v>
      </c>
      <c r="P31" s="95">
        <v>2023</v>
      </c>
      <c r="R31" s="95" t="s">
        <v>69</v>
      </c>
      <c r="S31" s="95" t="s">
        <v>70</v>
      </c>
    </row>
    <row r="32" spans="1:19" x14ac:dyDescent="0.2">
      <c r="A32" s="95" t="s">
        <v>73</v>
      </c>
      <c r="B32" s="95" t="s">
        <v>69</v>
      </c>
      <c r="C32" s="95" t="s">
        <v>67</v>
      </c>
      <c r="D32" s="95" t="s">
        <v>81</v>
      </c>
      <c r="E32" s="95" t="s">
        <v>89</v>
      </c>
      <c r="F32" s="95">
        <v>6</v>
      </c>
      <c r="G32" s="95">
        <v>19</v>
      </c>
      <c r="I32" s="95">
        <v>0.95</v>
      </c>
      <c r="J32" s="95">
        <v>7.0000000000000001E-3</v>
      </c>
      <c r="K32" s="95">
        <v>0.27</v>
      </c>
      <c r="L32" s="95">
        <v>1.49</v>
      </c>
      <c r="O32" s="95">
        <v>999</v>
      </c>
      <c r="P32" s="95">
        <v>2023</v>
      </c>
      <c r="R32" s="95" t="s">
        <v>69</v>
      </c>
      <c r="S32" s="95" t="s">
        <v>70</v>
      </c>
    </row>
    <row r="33" spans="1:19" x14ac:dyDescent="0.2">
      <c r="A33" s="95" t="s">
        <v>73</v>
      </c>
      <c r="B33" s="95" t="s">
        <v>69</v>
      </c>
      <c r="C33" s="95" t="s">
        <v>67</v>
      </c>
      <c r="D33" s="95" t="s">
        <v>81</v>
      </c>
      <c r="E33" s="95" t="s">
        <v>89</v>
      </c>
      <c r="F33" s="95">
        <v>9</v>
      </c>
      <c r="G33" s="95">
        <v>30</v>
      </c>
      <c r="I33" s="95">
        <v>1</v>
      </c>
      <c r="J33" s="95">
        <v>6.0000000000000001E-3</v>
      </c>
      <c r="K33" s="95">
        <v>0.23</v>
      </c>
      <c r="L33" s="95">
        <v>1.47</v>
      </c>
      <c r="O33" s="95">
        <v>999</v>
      </c>
      <c r="P33" s="95">
        <v>2023</v>
      </c>
      <c r="R33" s="95" t="s">
        <v>69</v>
      </c>
      <c r="S33" s="95" t="s">
        <v>70</v>
      </c>
    </row>
    <row r="34" spans="1:19" x14ac:dyDescent="0.2">
      <c r="A34" s="95" t="s">
        <v>73</v>
      </c>
      <c r="B34" s="95" t="s">
        <v>69</v>
      </c>
      <c r="C34" s="95" t="s">
        <v>67</v>
      </c>
      <c r="D34" s="95" t="s">
        <v>81</v>
      </c>
      <c r="E34" s="95" t="s">
        <v>89</v>
      </c>
      <c r="F34" s="95">
        <v>12</v>
      </c>
      <c r="G34" s="95">
        <v>38</v>
      </c>
      <c r="I34" s="95">
        <v>1.58</v>
      </c>
      <c r="J34" s="95">
        <v>6.0000000000000001E-3</v>
      </c>
      <c r="K34" s="95">
        <v>0.23</v>
      </c>
      <c r="L34" s="95">
        <v>2.11</v>
      </c>
      <c r="O34" s="95">
        <v>999</v>
      </c>
      <c r="P34" s="95">
        <v>2023</v>
      </c>
      <c r="R34" s="95" t="s">
        <v>69</v>
      </c>
      <c r="S34" s="95" t="s">
        <v>70</v>
      </c>
    </row>
    <row r="35" spans="1:19" x14ac:dyDescent="0.2">
      <c r="A35" s="95" t="s">
        <v>73</v>
      </c>
      <c r="B35" s="95" t="s">
        <v>69</v>
      </c>
      <c r="C35" s="95" t="s">
        <v>67</v>
      </c>
      <c r="D35" s="95" t="s">
        <v>81</v>
      </c>
      <c r="E35" s="95" t="s">
        <v>90</v>
      </c>
      <c r="F35" s="95">
        <v>3.5</v>
      </c>
      <c r="G35" s="95">
        <v>13</v>
      </c>
      <c r="I35" s="95">
        <v>0.71</v>
      </c>
      <c r="J35" s="95">
        <v>7.0000000000000001E-3</v>
      </c>
      <c r="K35" s="95">
        <v>0.27</v>
      </c>
      <c r="L35" s="95">
        <v>1.22</v>
      </c>
      <c r="O35" s="95">
        <v>999</v>
      </c>
      <c r="P35" s="95">
        <v>2023</v>
      </c>
      <c r="R35" s="95" t="s">
        <v>69</v>
      </c>
      <c r="S35" s="95" t="s">
        <v>70</v>
      </c>
    </row>
    <row r="36" spans="1:19" x14ac:dyDescent="0.2">
      <c r="A36" s="95" t="s">
        <v>73</v>
      </c>
      <c r="B36" s="95" t="s">
        <v>69</v>
      </c>
      <c r="C36" s="95" t="s">
        <v>67</v>
      </c>
      <c r="D36" s="95" t="s">
        <v>81</v>
      </c>
      <c r="E36" s="95" t="s">
        <v>90</v>
      </c>
      <c r="F36" s="95">
        <v>3.5</v>
      </c>
      <c r="G36" s="95">
        <v>15</v>
      </c>
      <c r="I36" s="95">
        <v>0.53</v>
      </c>
      <c r="J36" s="95">
        <v>7.0000000000000001E-3</v>
      </c>
      <c r="K36" s="95">
        <v>0.27</v>
      </c>
      <c r="L36" s="95">
        <v>1.02</v>
      </c>
      <c r="O36" s="95">
        <v>999</v>
      </c>
      <c r="P36" s="95">
        <v>2023</v>
      </c>
      <c r="R36" s="95" t="s">
        <v>69</v>
      </c>
      <c r="S36" s="95" t="s">
        <v>70</v>
      </c>
    </row>
    <row r="37" spans="1:19" x14ac:dyDescent="0.2">
      <c r="A37" s="95" t="s">
        <v>73</v>
      </c>
      <c r="B37" s="95" t="s">
        <v>69</v>
      </c>
      <c r="C37" s="95" t="s">
        <v>67</v>
      </c>
      <c r="D37" s="95" t="s">
        <v>81</v>
      </c>
      <c r="E37" s="95" t="s">
        <v>90</v>
      </c>
      <c r="F37" s="95">
        <v>6</v>
      </c>
      <c r="G37" s="95">
        <v>19</v>
      </c>
      <c r="I37" s="95">
        <v>0.89</v>
      </c>
      <c r="J37" s="95">
        <v>5.0000000000000001E-3</v>
      </c>
      <c r="K37" s="95">
        <v>0.19</v>
      </c>
      <c r="L37" s="95">
        <v>1.29</v>
      </c>
      <c r="O37" s="95">
        <v>999</v>
      </c>
      <c r="P37" s="95">
        <v>2023</v>
      </c>
      <c r="R37" s="95" t="s">
        <v>69</v>
      </c>
      <c r="S37" s="95" t="s">
        <v>70</v>
      </c>
    </row>
    <row r="38" spans="1:19" x14ac:dyDescent="0.2">
      <c r="A38" s="95" t="s">
        <v>73</v>
      </c>
      <c r="B38" s="95" t="s">
        <v>69</v>
      </c>
      <c r="C38" s="95" t="s">
        <v>67</v>
      </c>
      <c r="D38" s="95" t="s">
        <v>81</v>
      </c>
      <c r="E38" s="95" t="s">
        <v>90</v>
      </c>
      <c r="F38" s="95">
        <v>6</v>
      </c>
      <c r="G38" s="95">
        <v>21</v>
      </c>
      <c r="I38" s="95">
        <v>1.26</v>
      </c>
      <c r="J38" s="95">
        <v>7.0000000000000001E-3</v>
      </c>
      <c r="K38" s="95">
        <v>0.27</v>
      </c>
      <c r="L38" s="95">
        <v>1.83</v>
      </c>
      <c r="O38" s="95">
        <v>999</v>
      </c>
      <c r="P38" s="95">
        <v>2023</v>
      </c>
      <c r="R38" s="95" t="s">
        <v>69</v>
      </c>
      <c r="S38" s="95" t="s">
        <v>70</v>
      </c>
    </row>
    <row r="39" spans="1:19" x14ac:dyDescent="0.2">
      <c r="A39" s="95" t="s">
        <v>73</v>
      </c>
      <c r="B39" s="95" t="s">
        <v>69</v>
      </c>
      <c r="C39" s="95" t="s">
        <v>67</v>
      </c>
      <c r="D39" s="95" t="s">
        <v>81</v>
      </c>
      <c r="E39" s="95" t="s">
        <v>90</v>
      </c>
      <c r="F39" s="95">
        <v>9</v>
      </c>
      <c r="G39" s="95">
        <v>30</v>
      </c>
      <c r="I39" s="95">
        <v>1.19</v>
      </c>
      <c r="J39" s="95">
        <v>6.0000000000000001E-3</v>
      </c>
      <c r="K39" s="95">
        <v>0.23</v>
      </c>
      <c r="L39" s="95">
        <v>1.68</v>
      </c>
      <c r="O39" s="95">
        <v>999</v>
      </c>
      <c r="P39" s="95">
        <v>2023</v>
      </c>
      <c r="R39" s="95" t="s">
        <v>69</v>
      </c>
      <c r="S39" s="95" t="s">
        <v>70</v>
      </c>
    </row>
    <row r="40" spans="1:19" x14ac:dyDescent="0.2">
      <c r="A40" s="95" t="s">
        <v>73</v>
      </c>
      <c r="B40" s="95" t="s">
        <v>69</v>
      </c>
      <c r="C40" s="95" t="s">
        <v>67</v>
      </c>
      <c r="D40" s="95" t="s">
        <v>68</v>
      </c>
      <c r="E40" s="95" t="s">
        <v>68</v>
      </c>
      <c r="F40" s="95">
        <v>3.5</v>
      </c>
      <c r="G40" s="95">
        <v>13</v>
      </c>
      <c r="I40" s="95">
        <v>0.59</v>
      </c>
      <c r="J40" s="95">
        <v>7.0000000000000001E-3</v>
      </c>
      <c r="K40" s="95">
        <v>0.27</v>
      </c>
      <c r="L40" s="95">
        <v>1.0900000000000001</v>
      </c>
      <c r="O40" s="95">
        <v>999</v>
      </c>
      <c r="P40" s="95">
        <v>2023</v>
      </c>
      <c r="R40" s="95" t="s">
        <v>69</v>
      </c>
      <c r="S40" s="95" t="s">
        <v>70</v>
      </c>
    </row>
    <row r="41" spans="1:19" x14ac:dyDescent="0.2">
      <c r="A41" s="95" t="s">
        <v>73</v>
      </c>
      <c r="B41" s="95" t="s">
        <v>69</v>
      </c>
      <c r="C41" s="95" t="s">
        <v>67</v>
      </c>
      <c r="D41" s="95" t="s">
        <v>68</v>
      </c>
      <c r="E41" s="95" t="s">
        <v>68</v>
      </c>
      <c r="F41" s="95">
        <v>3.5</v>
      </c>
      <c r="G41" s="95">
        <v>15</v>
      </c>
      <c r="I41" s="95">
        <v>0.92</v>
      </c>
      <c r="J41" s="95">
        <v>7.0000000000000001E-3</v>
      </c>
      <c r="K41" s="95">
        <v>0.27</v>
      </c>
      <c r="L41" s="95">
        <v>1.45</v>
      </c>
      <c r="O41" s="95">
        <v>999</v>
      </c>
      <c r="P41" s="95">
        <v>2023</v>
      </c>
      <c r="R41" s="95" t="s">
        <v>69</v>
      </c>
      <c r="S41" s="95" t="s">
        <v>70</v>
      </c>
    </row>
    <row r="42" spans="1:19" x14ac:dyDescent="0.2">
      <c r="A42" s="95" t="s">
        <v>73</v>
      </c>
      <c r="B42" s="95" t="s">
        <v>69</v>
      </c>
      <c r="C42" s="95" t="s">
        <v>67</v>
      </c>
      <c r="D42" s="95" t="s">
        <v>68</v>
      </c>
      <c r="E42" s="95" t="s">
        <v>68</v>
      </c>
      <c r="F42" s="95">
        <v>6</v>
      </c>
      <c r="G42" s="95">
        <v>19</v>
      </c>
      <c r="I42" s="95">
        <v>0.93</v>
      </c>
      <c r="J42" s="95">
        <v>6.0000000000000001E-3</v>
      </c>
      <c r="K42" s="95">
        <v>0.23</v>
      </c>
      <c r="L42" s="95">
        <v>1.39</v>
      </c>
      <c r="O42" s="95">
        <v>999</v>
      </c>
      <c r="P42" s="95">
        <v>2023</v>
      </c>
      <c r="R42" s="95" t="s">
        <v>69</v>
      </c>
      <c r="S42" s="95" t="s">
        <v>70</v>
      </c>
    </row>
    <row r="43" spans="1:19" x14ac:dyDescent="0.2">
      <c r="A43" s="95" t="s">
        <v>73</v>
      </c>
      <c r="B43" s="95" t="s">
        <v>69</v>
      </c>
      <c r="C43" s="95" t="s">
        <v>67</v>
      </c>
      <c r="D43" s="95" t="s">
        <v>68</v>
      </c>
      <c r="E43" s="95" t="s">
        <v>68</v>
      </c>
      <c r="F43" s="95">
        <v>9</v>
      </c>
      <c r="G43" s="95">
        <v>30</v>
      </c>
      <c r="I43" s="95">
        <v>1.5660000000000001</v>
      </c>
      <c r="J43" s="95">
        <v>7.0000000000000001E-3</v>
      </c>
      <c r="K43" s="95">
        <v>0.27</v>
      </c>
      <c r="L43" s="95">
        <v>2.16</v>
      </c>
      <c r="O43" s="95">
        <v>999</v>
      </c>
      <c r="P43" s="95">
        <v>2023</v>
      </c>
      <c r="R43" s="95" t="s">
        <v>69</v>
      </c>
      <c r="S43" s="95" t="s">
        <v>70</v>
      </c>
    </row>
    <row r="44" spans="1:19" x14ac:dyDescent="0.2">
      <c r="A44" s="95" t="s">
        <v>73</v>
      </c>
      <c r="B44" s="95" t="s">
        <v>69</v>
      </c>
      <c r="C44" s="95" t="s">
        <v>67</v>
      </c>
      <c r="D44" s="95" t="s">
        <v>68</v>
      </c>
      <c r="E44" s="95" t="s">
        <v>68</v>
      </c>
      <c r="F44" s="95">
        <v>12</v>
      </c>
      <c r="G44" s="95">
        <v>38</v>
      </c>
      <c r="I44" s="95">
        <v>1.82</v>
      </c>
      <c r="J44" s="95">
        <v>7.0000000000000001E-3</v>
      </c>
      <c r="K44" s="95">
        <v>0.27</v>
      </c>
      <c r="L44" s="95">
        <v>2.44</v>
      </c>
      <c r="O44" s="95">
        <v>999</v>
      </c>
      <c r="P44" s="95">
        <v>2023</v>
      </c>
      <c r="R44" s="95" t="s">
        <v>69</v>
      </c>
      <c r="S44" s="95" t="s">
        <v>70</v>
      </c>
    </row>
    <row r="45" spans="1:19" x14ac:dyDescent="0.2">
      <c r="A45" s="95" t="s">
        <v>73</v>
      </c>
      <c r="B45" s="95" t="s">
        <v>66</v>
      </c>
      <c r="C45" s="95" t="s">
        <v>91</v>
      </c>
      <c r="D45" s="95" t="s">
        <v>68</v>
      </c>
      <c r="E45" s="95" t="s">
        <v>68</v>
      </c>
      <c r="F45" s="95">
        <v>3.5</v>
      </c>
      <c r="G45" s="95">
        <v>15</v>
      </c>
      <c r="I45" s="95">
        <v>1.47</v>
      </c>
      <c r="J45" s="95">
        <v>5.0000000000000001E-3</v>
      </c>
      <c r="K45" s="95">
        <v>0.19</v>
      </c>
      <c r="L45" s="95">
        <v>1.93</v>
      </c>
      <c r="O45" s="95">
        <v>999</v>
      </c>
      <c r="P45" s="95">
        <v>2023</v>
      </c>
      <c r="R45" s="95" t="s">
        <v>92</v>
      </c>
      <c r="S45" s="95" t="s">
        <v>70</v>
      </c>
    </row>
    <row r="46" spans="1:19" x14ac:dyDescent="0.2">
      <c r="A46" s="95" t="s">
        <v>73</v>
      </c>
      <c r="B46" s="95" t="s">
        <v>66</v>
      </c>
      <c r="C46" s="95" t="s">
        <v>91</v>
      </c>
      <c r="D46" s="95" t="s">
        <v>68</v>
      </c>
      <c r="E46" s="95" t="s">
        <v>68</v>
      </c>
      <c r="F46" s="95">
        <v>5.5</v>
      </c>
      <c r="G46" s="95">
        <v>23</v>
      </c>
      <c r="I46" s="95">
        <v>2.31</v>
      </c>
      <c r="J46" s="95">
        <v>5.0000000000000001E-3</v>
      </c>
      <c r="K46" s="95">
        <v>0.19</v>
      </c>
      <c r="L46" s="95">
        <v>2.85</v>
      </c>
      <c r="O46" s="95">
        <v>999</v>
      </c>
      <c r="P46" s="95">
        <v>2023</v>
      </c>
      <c r="R46" s="95" t="s">
        <v>92</v>
      </c>
      <c r="S46" s="95" t="s">
        <v>70</v>
      </c>
    </row>
    <row r="47" spans="1:19" x14ac:dyDescent="0.2">
      <c r="A47" s="95" t="s">
        <v>73</v>
      </c>
      <c r="B47" s="95" t="s">
        <v>66</v>
      </c>
      <c r="C47" s="95" t="s">
        <v>91</v>
      </c>
      <c r="D47" s="95" t="s">
        <v>68</v>
      </c>
      <c r="E47" s="95" t="s">
        <v>68</v>
      </c>
      <c r="F47" s="95">
        <v>7.25</v>
      </c>
      <c r="G47" s="95">
        <v>30</v>
      </c>
      <c r="I47" s="95">
        <v>3.05</v>
      </c>
      <c r="J47" s="95">
        <v>6.0000000000000001E-3</v>
      </c>
      <c r="K47" s="95">
        <v>0.23</v>
      </c>
      <c r="L47" s="95">
        <v>3.72</v>
      </c>
      <c r="O47" s="95">
        <v>999</v>
      </c>
      <c r="P47" s="95">
        <v>2023</v>
      </c>
      <c r="R47" s="95" t="s">
        <v>92</v>
      </c>
      <c r="S47" s="95" t="s">
        <v>70</v>
      </c>
    </row>
    <row r="48" spans="1:19" x14ac:dyDescent="0.2">
      <c r="A48" s="95" t="s">
        <v>73</v>
      </c>
      <c r="B48" s="95" t="s">
        <v>66</v>
      </c>
      <c r="C48" s="95" t="s">
        <v>91</v>
      </c>
      <c r="D48" s="95" t="s">
        <v>68</v>
      </c>
      <c r="E48" s="95" t="s">
        <v>68</v>
      </c>
      <c r="G48" s="95">
        <v>13</v>
      </c>
      <c r="I48" s="95">
        <v>1.02</v>
      </c>
      <c r="J48" s="95">
        <v>5.0000000000000001E-3</v>
      </c>
      <c r="K48" s="95">
        <v>0.19</v>
      </c>
      <c r="L48" s="95">
        <v>1.43</v>
      </c>
      <c r="O48" s="95">
        <v>999</v>
      </c>
      <c r="P48" s="95">
        <v>2023</v>
      </c>
      <c r="R48" s="95" t="s">
        <v>92</v>
      </c>
      <c r="S48" s="95" t="s">
        <v>70</v>
      </c>
    </row>
    <row r="49" spans="1:19" x14ac:dyDescent="0.2">
      <c r="A49" s="95" t="s">
        <v>73</v>
      </c>
      <c r="B49" s="95" t="s">
        <v>66</v>
      </c>
      <c r="C49" s="95" t="s">
        <v>91</v>
      </c>
      <c r="D49" s="95" t="s">
        <v>68</v>
      </c>
      <c r="E49" s="95" t="s">
        <v>68</v>
      </c>
      <c r="G49" s="95">
        <v>19</v>
      </c>
      <c r="I49" s="95">
        <v>1.49</v>
      </c>
      <c r="J49" s="95">
        <v>5.0000000000000001E-3</v>
      </c>
      <c r="K49" s="95">
        <v>0.19</v>
      </c>
      <c r="L49" s="95">
        <v>1.95</v>
      </c>
      <c r="O49" s="95">
        <v>999</v>
      </c>
      <c r="P49" s="95">
        <v>2023</v>
      </c>
      <c r="R49" s="95" t="s">
        <v>92</v>
      </c>
      <c r="S49" s="95" t="s">
        <v>70</v>
      </c>
    </row>
    <row r="50" spans="1:19" x14ac:dyDescent="0.2">
      <c r="A50" s="95" t="s">
        <v>76</v>
      </c>
      <c r="B50" s="95" t="s">
        <v>66</v>
      </c>
      <c r="C50" s="95" t="s">
        <v>93</v>
      </c>
      <c r="D50" s="95" t="s">
        <v>68</v>
      </c>
      <c r="E50" s="95" t="s">
        <v>94</v>
      </c>
      <c r="F50" s="95">
        <v>4</v>
      </c>
      <c r="G50" s="95">
        <v>3.8</v>
      </c>
      <c r="I50" s="95">
        <v>0.17</v>
      </c>
      <c r="J50" s="95">
        <v>8.0000000000000002E-3</v>
      </c>
      <c r="K50" s="95">
        <v>0.31</v>
      </c>
      <c r="L50" s="95">
        <v>0.69</v>
      </c>
      <c r="O50" s="95">
        <v>999</v>
      </c>
      <c r="P50" s="95">
        <v>2023</v>
      </c>
      <c r="R50" s="95" t="s">
        <v>92</v>
      </c>
      <c r="S50" s="95" t="s">
        <v>70</v>
      </c>
    </row>
    <row r="51" spans="1:19" x14ac:dyDescent="0.2">
      <c r="A51" s="95" t="s">
        <v>76</v>
      </c>
      <c r="B51" s="95" t="s">
        <v>66</v>
      </c>
      <c r="C51" s="95" t="s">
        <v>93</v>
      </c>
      <c r="D51" s="95" t="s">
        <v>68</v>
      </c>
      <c r="E51" s="95" t="s">
        <v>94</v>
      </c>
      <c r="F51" s="95">
        <v>6</v>
      </c>
      <c r="G51" s="95">
        <v>3.8</v>
      </c>
      <c r="I51" s="95">
        <v>0.28999999999999998</v>
      </c>
      <c r="J51" s="95">
        <v>0.01</v>
      </c>
      <c r="K51" s="95">
        <v>0.39</v>
      </c>
      <c r="L51" s="95">
        <v>0.95</v>
      </c>
      <c r="O51" s="95">
        <v>999</v>
      </c>
      <c r="P51" s="95">
        <v>2023</v>
      </c>
      <c r="R51" s="95" t="s">
        <v>92</v>
      </c>
      <c r="S51" s="95" t="s">
        <v>70</v>
      </c>
    </row>
    <row r="52" spans="1:19" x14ac:dyDescent="0.2">
      <c r="A52" s="95" t="s">
        <v>76</v>
      </c>
      <c r="B52" s="95" t="s">
        <v>66</v>
      </c>
      <c r="C52" s="95" t="s">
        <v>67</v>
      </c>
      <c r="D52" s="95" t="s">
        <v>68</v>
      </c>
      <c r="E52" s="95" t="s">
        <v>94</v>
      </c>
      <c r="F52" s="95">
        <v>4</v>
      </c>
      <c r="G52" s="95">
        <v>4</v>
      </c>
      <c r="I52" s="95">
        <v>0.25</v>
      </c>
      <c r="J52" s="95">
        <v>1.2999999999999999E-2</v>
      </c>
      <c r="K52" s="95">
        <v>0.52</v>
      </c>
      <c r="L52" s="95">
        <v>1.1100000000000001</v>
      </c>
      <c r="O52" s="95">
        <v>999</v>
      </c>
      <c r="P52" s="95">
        <v>2023</v>
      </c>
      <c r="R52" s="95" t="s">
        <v>92</v>
      </c>
      <c r="S52" s="95" t="s">
        <v>70</v>
      </c>
    </row>
    <row r="53" spans="1:19" x14ac:dyDescent="0.2">
      <c r="A53" s="95" t="s">
        <v>76</v>
      </c>
      <c r="B53" s="95" t="s">
        <v>66</v>
      </c>
      <c r="C53" s="95" t="s">
        <v>67</v>
      </c>
      <c r="D53" s="95" t="s">
        <v>68</v>
      </c>
      <c r="E53" s="95" t="s">
        <v>94</v>
      </c>
      <c r="F53" s="95">
        <v>6</v>
      </c>
      <c r="G53" s="95">
        <v>4</v>
      </c>
      <c r="I53" s="95">
        <v>0.35</v>
      </c>
      <c r="J53" s="95">
        <v>0.02</v>
      </c>
      <c r="K53" s="95">
        <v>0.77</v>
      </c>
      <c r="L53" s="95">
        <v>1.64</v>
      </c>
      <c r="O53" s="95">
        <v>999</v>
      </c>
      <c r="P53" s="95">
        <v>2023</v>
      </c>
      <c r="R53" s="95" t="s">
        <v>92</v>
      </c>
      <c r="S53" s="95" t="s">
        <v>70</v>
      </c>
    </row>
    <row r="54" spans="1:19" x14ac:dyDescent="0.2">
      <c r="A54" s="95" t="s">
        <v>76</v>
      </c>
      <c r="B54" s="95" t="s">
        <v>66</v>
      </c>
      <c r="C54" s="95" t="s">
        <v>91</v>
      </c>
      <c r="D54" s="95" t="s">
        <v>68</v>
      </c>
      <c r="E54" s="95" t="s">
        <v>94</v>
      </c>
      <c r="F54" s="95">
        <v>4</v>
      </c>
      <c r="G54" s="95">
        <v>3</v>
      </c>
      <c r="I54" s="95">
        <v>0.3</v>
      </c>
      <c r="J54" s="95">
        <v>1.2999999999999999E-2</v>
      </c>
      <c r="K54" s="95">
        <v>0.52</v>
      </c>
      <c r="L54" s="95">
        <v>1.17</v>
      </c>
      <c r="O54" s="95">
        <v>999</v>
      </c>
      <c r="P54" s="95">
        <v>2023</v>
      </c>
      <c r="R54" s="95" t="s">
        <v>92</v>
      </c>
      <c r="S54" s="95" t="s">
        <v>70</v>
      </c>
    </row>
    <row r="55" spans="1:19" x14ac:dyDescent="0.2">
      <c r="A55" s="95" t="s">
        <v>76</v>
      </c>
      <c r="B55" s="95" t="s">
        <v>66</v>
      </c>
      <c r="C55" s="95" t="s">
        <v>91</v>
      </c>
      <c r="D55" s="95" t="s">
        <v>68</v>
      </c>
      <c r="E55" s="95" t="s">
        <v>94</v>
      </c>
      <c r="F55" s="95">
        <v>6</v>
      </c>
      <c r="G55" s="95">
        <v>3</v>
      </c>
      <c r="I55" s="95">
        <v>0.45</v>
      </c>
      <c r="J55" s="95">
        <v>0.02</v>
      </c>
      <c r="K55" s="95">
        <v>0.77</v>
      </c>
      <c r="L55" s="95">
        <v>1.76</v>
      </c>
      <c r="O55" s="95">
        <v>999</v>
      </c>
      <c r="P55" s="95">
        <v>2023</v>
      </c>
      <c r="R55" s="95" t="s">
        <v>92</v>
      </c>
      <c r="S55" s="95" t="s">
        <v>70</v>
      </c>
    </row>
    <row r="56" spans="1:19" x14ac:dyDescent="0.2">
      <c r="A56" s="95" t="s">
        <v>76</v>
      </c>
      <c r="B56" s="95" t="s">
        <v>66</v>
      </c>
      <c r="C56" s="95" t="s">
        <v>95</v>
      </c>
      <c r="D56" s="95" t="s">
        <v>68</v>
      </c>
      <c r="E56" s="95" t="s">
        <v>94</v>
      </c>
      <c r="F56" s="95">
        <v>4</v>
      </c>
      <c r="G56" s="95">
        <v>4</v>
      </c>
      <c r="I56" s="95">
        <v>0.63</v>
      </c>
      <c r="J56" s="95">
        <v>1.2999999999999999E-2</v>
      </c>
      <c r="K56" s="95">
        <v>0.52</v>
      </c>
      <c r="L56" s="95">
        <v>1.54</v>
      </c>
      <c r="O56" s="95">
        <v>999</v>
      </c>
      <c r="P56" s="95">
        <v>2023</v>
      </c>
      <c r="R56" s="95" t="s">
        <v>92</v>
      </c>
      <c r="S56" s="95" t="s">
        <v>70</v>
      </c>
    </row>
    <row r="57" spans="1:19" x14ac:dyDescent="0.2">
      <c r="A57" s="95" t="s">
        <v>76</v>
      </c>
      <c r="B57" s="95" t="s">
        <v>66</v>
      </c>
      <c r="C57" s="95" t="s">
        <v>95</v>
      </c>
      <c r="D57" s="95" t="s">
        <v>68</v>
      </c>
      <c r="E57" s="95" t="s">
        <v>94</v>
      </c>
      <c r="F57" s="95">
        <v>6</v>
      </c>
      <c r="G57" s="95">
        <v>4</v>
      </c>
      <c r="I57" s="95">
        <v>0.96</v>
      </c>
      <c r="J57" s="95">
        <v>0.02</v>
      </c>
      <c r="K57" s="95">
        <v>0.77</v>
      </c>
      <c r="L57" s="95">
        <v>1.54</v>
      </c>
      <c r="O57" s="95">
        <v>999</v>
      </c>
      <c r="P57" s="95">
        <v>2023</v>
      </c>
      <c r="R57" s="95" t="s">
        <v>92</v>
      </c>
      <c r="S57" s="95" t="s">
        <v>70</v>
      </c>
    </row>
    <row r="58" spans="1:19" x14ac:dyDescent="0.2">
      <c r="A58" s="95" t="s">
        <v>76</v>
      </c>
      <c r="B58" s="95" t="s">
        <v>66</v>
      </c>
      <c r="C58" s="95" t="s">
        <v>96</v>
      </c>
      <c r="D58" s="95" t="s">
        <v>68</v>
      </c>
      <c r="E58" s="95" t="s">
        <v>94</v>
      </c>
      <c r="F58" s="95">
        <v>4</v>
      </c>
      <c r="G58" s="95">
        <v>2.78</v>
      </c>
      <c r="I58" s="95">
        <v>1.05</v>
      </c>
      <c r="J58" s="95">
        <v>8.0000000000000002E-3</v>
      </c>
      <c r="K58" s="95">
        <v>0.31</v>
      </c>
      <c r="L58" s="95">
        <v>1.65</v>
      </c>
      <c r="O58" s="95">
        <v>999</v>
      </c>
      <c r="P58" s="95">
        <v>2023</v>
      </c>
      <c r="R58" s="95" t="s">
        <v>92</v>
      </c>
      <c r="S58" s="95" t="s">
        <v>70</v>
      </c>
    </row>
    <row r="59" spans="1:19" x14ac:dyDescent="0.2">
      <c r="A59" s="95" t="s">
        <v>76</v>
      </c>
      <c r="B59" s="95" t="s">
        <v>66</v>
      </c>
      <c r="C59" s="95" t="s">
        <v>96</v>
      </c>
      <c r="D59" s="95" t="s">
        <v>68</v>
      </c>
      <c r="E59" s="95" t="s">
        <v>94</v>
      </c>
      <c r="F59" s="95">
        <v>6</v>
      </c>
      <c r="G59" s="95">
        <v>2.78</v>
      </c>
      <c r="I59" s="95">
        <v>1.58</v>
      </c>
      <c r="J59" s="95">
        <v>0.01</v>
      </c>
      <c r="K59" s="95">
        <v>0.39</v>
      </c>
      <c r="L59" s="95">
        <v>2.36</v>
      </c>
      <c r="O59" s="95">
        <v>999</v>
      </c>
      <c r="P59" s="95">
        <v>2023</v>
      </c>
      <c r="R59" s="95" t="s">
        <v>92</v>
      </c>
      <c r="S59" s="95" t="s">
        <v>70</v>
      </c>
    </row>
    <row r="60" spans="1:19" x14ac:dyDescent="0.2">
      <c r="A60" s="95" t="s">
        <v>97</v>
      </c>
      <c r="B60" s="95" t="s">
        <v>66</v>
      </c>
      <c r="C60" s="95" t="s">
        <v>98</v>
      </c>
      <c r="D60" s="95" t="s">
        <v>68</v>
      </c>
      <c r="E60" s="95" t="s">
        <v>94</v>
      </c>
      <c r="F60" s="95">
        <v>1</v>
      </c>
      <c r="G60" s="95">
        <v>6.5</v>
      </c>
      <c r="I60" s="95">
        <v>0.86</v>
      </c>
      <c r="J60" s="95">
        <v>4.0000000000000001E-3</v>
      </c>
      <c r="K60" s="95">
        <v>0.12</v>
      </c>
      <c r="L60" s="95">
        <v>1.28</v>
      </c>
      <c r="O60" s="95">
        <v>999</v>
      </c>
      <c r="P60" s="95">
        <v>2023</v>
      </c>
      <c r="R60" s="95" t="s">
        <v>92</v>
      </c>
      <c r="S60" s="95" t="s">
        <v>70</v>
      </c>
    </row>
    <row r="61" spans="1:19" x14ac:dyDescent="0.2">
      <c r="A61" s="95" t="s">
        <v>97</v>
      </c>
      <c r="B61" s="95" t="s">
        <v>66</v>
      </c>
      <c r="C61" s="95" t="s">
        <v>98</v>
      </c>
      <c r="D61" s="95" t="s">
        <v>68</v>
      </c>
      <c r="E61" s="95" t="s">
        <v>94</v>
      </c>
      <c r="F61" s="95">
        <v>2</v>
      </c>
      <c r="G61" s="95">
        <v>13</v>
      </c>
      <c r="I61" s="95">
        <v>1.73</v>
      </c>
      <c r="J61" s="95">
        <v>8.0000000000000002E-3</v>
      </c>
      <c r="K61" s="95">
        <v>0.24</v>
      </c>
      <c r="L61" s="95">
        <v>2.57</v>
      </c>
      <c r="O61" s="95">
        <v>999</v>
      </c>
      <c r="P61" s="95">
        <v>2023</v>
      </c>
      <c r="R61" s="95" t="s">
        <v>92</v>
      </c>
      <c r="S61" s="95" t="s">
        <v>70</v>
      </c>
    </row>
    <row r="62" spans="1:19" x14ac:dyDescent="0.2">
      <c r="A62" s="95" t="s">
        <v>97</v>
      </c>
      <c r="B62" s="95" t="s">
        <v>66</v>
      </c>
      <c r="C62" s="95" t="s">
        <v>98</v>
      </c>
      <c r="D62" s="95" t="s">
        <v>68</v>
      </c>
      <c r="E62" s="95" t="s">
        <v>94</v>
      </c>
      <c r="F62" s="95">
        <v>3</v>
      </c>
      <c r="G62" s="95">
        <v>19.5</v>
      </c>
      <c r="I62" s="95">
        <v>2.59</v>
      </c>
      <c r="J62" s="95">
        <v>1.2E-2</v>
      </c>
      <c r="K62" s="95">
        <v>0.35</v>
      </c>
      <c r="L62" s="95">
        <v>3.85</v>
      </c>
      <c r="O62" s="95">
        <v>999</v>
      </c>
      <c r="P62" s="95">
        <v>2023</v>
      </c>
      <c r="R62" s="95" t="s">
        <v>92</v>
      </c>
      <c r="S62" s="95" t="s">
        <v>70</v>
      </c>
    </row>
    <row r="63" spans="1:19" x14ac:dyDescent="0.2">
      <c r="A63" s="95" t="s">
        <v>97</v>
      </c>
      <c r="B63" s="95" t="s">
        <v>66</v>
      </c>
      <c r="C63" s="95" t="s">
        <v>98</v>
      </c>
      <c r="D63" s="95" t="s">
        <v>68</v>
      </c>
      <c r="E63" s="95" t="s">
        <v>94</v>
      </c>
      <c r="F63" s="95">
        <v>3.5</v>
      </c>
      <c r="G63" s="95">
        <v>22.75</v>
      </c>
      <c r="I63" s="95">
        <v>3.02</v>
      </c>
      <c r="J63" s="95">
        <v>1.4E-2</v>
      </c>
      <c r="K63" s="95">
        <v>0.41</v>
      </c>
      <c r="L63" s="95">
        <v>4.4800000000000004</v>
      </c>
      <c r="O63" s="95">
        <v>999</v>
      </c>
      <c r="P63" s="95">
        <v>2023</v>
      </c>
      <c r="R63" s="95" t="s">
        <v>92</v>
      </c>
      <c r="S63" s="95" t="s">
        <v>70</v>
      </c>
    </row>
    <row r="64" spans="1:19" x14ac:dyDescent="0.2">
      <c r="A64" s="95" t="s">
        <v>97</v>
      </c>
      <c r="B64" s="95" t="s">
        <v>66</v>
      </c>
      <c r="C64" s="95" t="s">
        <v>98</v>
      </c>
      <c r="D64" s="95" t="s">
        <v>68</v>
      </c>
      <c r="E64" s="95" t="s">
        <v>94</v>
      </c>
      <c r="F64" s="95">
        <v>4</v>
      </c>
      <c r="G64" s="95">
        <v>26</v>
      </c>
      <c r="I64" s="95">
        <v>3.45</v>
      </c>
      <c r="J64" s="95">
        <v>1.6E-2</v>
      </c>
      <c r="K64" s="95">
        <v>0.47</v>
      </c>
      <c r="L64" s="95">
        <v>5.13</v>
      </c>
      <c r="O64" s="95">
        <v>999</v>
      </c>
      <c r="P64" s="95">
        <v>2023</v>
      </c>
      <c r="R64" s="95" t="s">
        <v>92</v>
      </c>
      <c r="S64" s="95" t="s">
        <v>70</v>
      </c>
    </row>
    <row r="65" spans="1:20" x14ac:dyDescent="0.2">
      <c r="A65" s="95" t="s">
        <v>97</v>
      </c>
      <c r="B65" s="95" t="s">
        <v>66</v>
      </c>
      <c r="C65" s="95" t="s">
        <v>98</v>
      </c>
      <c r="D65" s="95" t="s">
        <v>68</v>
      </c>
      <c r="E65" s="95" t="s">
        <v>94</v>
      </c>
      <c r="F65" s="95">
        <v>5</v>
      </c>
      <c r="G65" s="95">
        <v>32.5</v>
      </c>
      <c r="I65" s="95">
        <v>4.3099999999999996</v>
      </c>
      <c r="J65" s="95">
        <v>0.02</v>
      </c>
      <c r="K65" s="95">
        <v>0.59</v>
      </c>
      <c r="L65" s="95">
        <v>6.4</v>
      </c>
      <c r="O65" s="95">
        <v>999</v>
      </c>
      <c r="P65" s="95">
        <v>2023</v>
      </c>
      <c r="R65" s="95" t="s">
        <v>92</v>
      </c>
      <c r="S65" s="95" t="s">
        <v>70</v>
      </c>
    </row>
    <row r="66" spans="1:20" x14ac:dyDescent="0.2">
      <c r="A66" s="95" t="s">
        <v>97</v>
      </c>
      <c r="B66" s="95" t="s">
        <v>66</v>
      </c>
      <c r="C66" s="95" t="s">
        <v>98</v>
      </c>
      <c r="D66" s="95" t="s">
        <v>68</v>
      </c>
      <c r="E66" s="95" t="s">
        <v>94</v>
      </c>
      <c r="F66" s="95">
        <v>5.5</v>
      </c>
      <c r="G66" s="95">
        <v>35.75</v>
      </c>
      <c r="I66" s="95">
        <v>4.74</v>
      </c>
      <c r="J66" s="95">
        <v>2.1999999999999999E-2</v>
      </c>
      <c r="K66" s="95">
        <v>0.65</v>
      </c>
      <c r="L66" s="95">
        <v>7.03</v>
      </c>
      <c r="O66" s="95">
        <v>999</v>
      </c>
      <c r="P66" s="95">
        <v>2023</v>
      </c>
      <c r="R66" s="95" t="s">
        <v>92</v>
      </c>
      <c r="S66" s="95" t="s">
        <v>70</v>
      </c>
    </row>
    <row r="67" spans="1:20" x14ac:dyDescent="0.2">
      <c r="A67" s="95" t="s">
        <v>97</v>
      </c>
      <c r="B67" s="95" t="s">
        <v>66</v>
      </c>
      <c r="C67" s="95" t="s">
        <v>98</v>
      </c>
      <c r="D67" s="95" t="s">
        <v>68</v>
      </c>
      <c r="E67" s="95" t="s">
        <v>94</v>
      </c>
      <c r="F67" s="95">
        <v>6</v>
      </c>
      <c r="G67" s="95">
        <v>39</v>
      </c>
      <c r="I67" s="95">
        <v>5.2</v>
      </c>
      <c r="J67" s="95">
        <v>2.4E-2</v>
      </c>
      <c r="K67" s="95">
        <v>0.71</v>
      </c>
      <c r="L67" s="95">
        <v>7.69</v>
      </c>
      <c r="O67" s="95">
        <v>999</v>
      </c>
      <c r="P67" s="95">
        <v>2023</v>
      </c>
      <c r="R67" s="95" t="s">
        <v>92</v>
      </c>
      <c r="S67" s="95" t="s">
        <v>70</v>
      </c>
    </row>
    <row r="68" spans="1:20" x14ac:dyDescent="0.2">
      <c r="A68" s="95" t="s">
        <v>73</v>
      </c>
      <c r="B68" s="95" t="s">
        <v>66</v>
      </c>
      <c r="C68" s="95" t="s">
        <v>67</v>
      </c>
      <c r="D68" s="95" t="s">
        <v>81</v>
      </c>
      <c r="G68" s="95">
        <v>15</v>
      </c>
      <c r="I68" s="95">
        <v>0.79</v>
      </c>
      <c r="P68" s="95">
        <v>2023</v>
      </c>
      <c r="S68" s="95" t="s">
        <v>99</v>
      </c>
      <c r="T68" s="95" t="s">
        <v>100</v>
      </c>
    </row>
    <row r="69" spans="1:20" x14ac:dyDescent="0.2">
      <c r="A69" s="95" t="s">
        <v>73</v>
      </c>
      <c r="B69" s="95" t="s">
        <v>66</v>
      </c>
      <c r="C69" s="95" t="s">
        <v>67</v>
      </c>
      <c r="D69" s="95" t="s">
        <v>81</v>
      </c>
      <c r="G69" s="95">
        <v>21</v>
      </c>
      <c r="I69" s="95">
        <v>0.87</v>
      </c>
      <c r="P69" s="95">
        <v>2023</v>
      </c>
      <c r="S69" s="95" t="s">
        <v>99</v>
      </c>
      <c r="T69" s="95" t="s">
        <v>101</v>
      </c>
    </row>
    <row r="70" spans="1:20" x14ac:dyDescent="0.2">
      <c r="A70" s="95" t="s">
        <v>73</v>
      </c>
      <c r="B70" s="95" t="s">
        <v>66</v>
      </c>
      <c r="C70" s="95" t="s">
        <v>91</v>
      </c>
      <c r="G70" s="95">
        <v>13</v>
      </c>
      <c r="I70" s="95">
        <v>1.38</v>
      </c>
      <c r="P70" s="95">
        <v>2023</v>
      </c>
      <c r="S70" s="95" t="s">
        <v>99</v>
      </c>
      <c r="T70" s="95" t="s">
        <v>102</v>
      </c>
    </row>
    <row r="71" spans="1:20" x14ac:dyDescent="0.2">
      <c r="A71" s="95" t="s">
        <v>73</v>
      </c>
      <c r="B71" s="95" t="s">
        <v>66</v>
      </c>
      <c r="C71" s="95" t="s">
        <v>67</v>
      </c>
      <c r="D71" s="95" t="s">
        <v>81</v>
      </c>
      <c r="G71" s="95">
        <v>30</v>
      </c>
      <c r="I71" s="95">
        <v>1.08</v>
      </c>
      <c r="P71" s="95">
        <v>2023</v>
      </c>
      <c r="S71" s="95" t="s">
        <v>99</v>
      </c>
      <c r="T71" s="95" t="s">
        <v>103</v>
      </c>
    </row>
    <row r="72" spans="1:20" x14ac:dyDescent="0.2">
      <c r="A72" s="95" t="s">
        <v>73</v>
      </c>
      <c r="B72" s="95" t="s">
        <v>66</v>
      </c>
      <c r="C72" s="95" t="s">
        <v>67</v>
      </c>
      <c r="D72" s="95" t="s">
        <v>81</v>
      </c>
      <c r="G72" s="95">
        <v>38</v>
      </c>
      <c r="I72" s="95">
        <v>1.31</v>
      </c>
      <c r="P72" s="95">
        <v>2023</v>
      </c>
      <c r="S72" s="95" t="s">
        <v>99</v>
      </c>
      <c r="T72" s="95" t="s">
        <v>104</v>
      </c>
    </row>
    <row r="73" spans="1:20" x14ac:dyDescent="0.2">
      <c r="A73" s="95" t="s">
        <v>73</v>
      </c>
      <c r="B73" s="95" t="s">
        <v>66</v>
      </c>
      <c r="C73" s="95" t="s">
        <v>67</v>
      </c>
      <c r="D73" s="95" t="s">
        <v>81</v>
      </c>
      <c r="G73" s="95">
        <v>19</v>
      </c>
      <c r="I73" s="95">
        <v>0.73</v>
      </c>
      <c r="P73" s="95">
        <v>2023</v>
      </c>
      <c r="S73" s="95" t="s">
        <v>99</v>
      </c>
      <c r="T73" s="95" t="s">
        <v>105</v>
      </c>
    </row>
    <row r="74" spans="1:20" x14ac:dyDescent="0.2">
      <c r="A74" s="95" t="s">
        <v>73</v>
      </c>
      <c r="B74" s="95" t="s">
        <v>66</v>
      </c>
      <c r="C74" s="95" t="s">
        <v>91</v>
      </c>
      <c r="G74" s="95">
        <v>15</v>
      </c>
      <c r="I74" s="95">
        <v>1.58</v>
      </c>
      <c r="P74" s="95">
        <v>2023</v>
      </c>
      <c r="S74" s="95" t="s">
        <v>99</v>
      </c>
      <c r="T74" s="95" t="s">
        <v>106</v>
      </c>
    </row>
    <row r="75" spans="1:20" x14ac:dyDescent="0.2">
      <c r="A75" s="95" t="s">
        <v>73</v>
      </c>
      <c r="B75" s="95" t="s">
        <v>66</v>
      </c>
      <c r="C75" s="95" t="s">
        <v>67</v>
      </c>
      <c r="D75" s="95" t="s">
        <v>81</v>
      </c>
      <c r="G75" s="95">
        <v>13</v>
      </c>
      <c r="I75" s="95">
        <v>0.56999999999999995</v>
      </c>
      <c r="P75" s="95">
        <v>2023</v>
      </c>
      <c r="S75" s="95" t="s">
        <v>99</v>
      </c>
      <c r="T75" s="95" t="s">
        <v>107</v>
      </c>
    </row>
    <row r="76" spans="1:20" x14ac:dyDescent="0.2">
      <c r="A76" s="95" t="s">
        <v>73</v>
      </c>
      <c r="B76" s="95" t="s">
        <v>66</v>
      </c>
      <c r="C76" s="95" t="s">
        <v>67</v>
      </c>
      <c r="D76" s="95" t="s">
        <v>81</v>
      </c>
      <c r="G76" s="95">
        <v>13</v>
      </c>
      <c r="I76" s="95">
        <v>0.56999999999999995</v>
      </c>
      <c r="P76" s="95">
        <v>2023</v>
      </c>
      <c r="S76" s="95" t="s">
        <v>99</v>
      </c>
      <c r="T76" s="95" t="s">
        <v>108</v>
      </c>
    </row>
    <row r="77" spans="1:20" x14ac:dyDescent="0.2">
      <c r="A77" s="95" t="s">
        <v>73</v>
      </c>
      <c r="B77" s="95" t="s">
        <v>66</v>
      </c>
      <c r="C77" s="95" t="s">
        <v>67</v>
      </c>
      <c r="D77" s="95" t="s">
        <v>81</v>
      </c>
      <c r="G77" s="95">
        <v>13</v>
      </c>
      <c r="I77" s="95">
        <v>0.56999999999999995</v>
      </c>
      <c r="P77" s="95">
        <v>2023</v>
      </c>
      <c r="S77" s="95" t="s">
        <v>99</v>
      </c>
      <c r="T77" s="95" t="s">
        <v>109</v>
      </c>
    </row>
    <row r="78" spans="1:20" x14ac:dyDescent="0.2">
      <c r="A78" s="95" t="s">
        <v>73</v>
      </c>
      <c r="B78" s="95" t="s">
        <v>66</v>
      </c>
      <c r="C78" s="95" t="s">
        <v>91</v>
      </c>
      <c r="G78" s="95">
        <v>15</v>
      </c>
      <c r="I78" s="95">
        <v>1.31</v>
      </c>
      <c r="P78" s="95">
        <v>2023</v>
      </c>
      <c r="S78" s="95" t="s">
        <v>99</v>
      </c>
      <c r="T78" s="95" t="s">
        <v>110</v>
      </c>
    </row>
    <row r="79" spans="1:20" x14ac:dyDescent="0.2">
      <c r="A79" s="95" t="s">
        <v>73</v>
      </c>
      <c r="B79" s="95" t="s">
        <v>66</v>
      </c>
      <c r="C79" s="95" t="s">
        <v>67</v>
      </c>
      <c r="D79" s="95" t="s">
        <v>68</v>
      </c>
      <c r="G79" s="95">
        <v>13</v>
      </c>
      <c r="I79" s="95">
        <v>0.49</v>
      </c>
      <c r="P79" s="95">
        <v>2023</v>
      </c>
      <c r="S79" s="95" t="s">
        <v>99</v>
      </c>
      <c r="T79" s="95" t="s">
        <v>111</v>
      </c>
    </row>
    <row r="80" spans="1:20" x14ac:dyDescent="0.2">
      <c r="A80" s="95" t="s">
        <v>73</v>
      </c>
      <c r="B80" s="95" t="s">
        <v>66</v>
      </c>
      <c r="C80" s="95" t="s">
        <v>67</v>
      </c>
      <c r="D80" s="95" t="s">
        <v>81</v>
      </c>
      <c r="G80" s="95">
        <v>19</v>
      </c>
      <c r="I80" s="95">
        <v>0.99</v>
      </c>
      <c r="P80" s="95">
        <v>2023</v>
      </c>
      <c r="S80" s="95" t="s">
        <v>99</v>
      </c>
      <c r="T80" s="95" t="s">
        <v>112</v>
      </c>
    </row>
    <row r="81" spans="1:20" x14ac:dyDescent="0.2">
      <c r="A81" s="95" t="s">
        <v>73</v>
      </c>
      <c r="B81" s="95" t="s">
        <v>66</v>
      </c>
      <c r="C81" s="95" t="s">
        <v>67</v>
      </c>
      <c r="D81" s="95" t="s">
        <v>68</v>
      </c>
      <c r="G81" s="95">
        <v>19</v>
      </c>
      <c r="I81" s="95">
        <v>0.66</v>
      </c>
      <c r="P81" s="95">
        <v>2023</v>
      </c>
      <c r="S81" s="95" t="s">
        <v>99</v>
      </c>
      <c r="T81" s="95" t="s">
        <v>113</v>
      </c>
    </row>
    <row r="82" spans="1:20" x14ac:dyDescent="0.2">
      <c r="A82" s="95" t="s">
        <v>73</v>
      </c>
      <c r="B82" s="95" t="s">
        <v>66</v>
      </c>
      <c r="C82" s="95" t="s">
        <v>67</v>
      </c>
      <c r="D82" s="95" t="s">
        <v>68</v>
      </c>
      <c r="G82" s="95">
        <v>19</v>
      </c>
      <c r="I82" s="95">
        <v>7.52</v>
      </c>
      <c r="P82" s="95">
        <v>2023</v>
      </c>
      <c r="S82" s="95" t="s">
        <v>99</v>
      </c>
      <c r="T82" s="95" t="s">
        <v>114</v>
      </c>
    </row>
    <row r="83" spans="1:20" x14ac:dyDescent="0.2">
      <c r="A83" s="95" t="s">
        <v>73</v>
      </c>
      <c r="B83" s="95" t="s">
        <v>66</v>
      </c>
      <c r="C83" s="95" t="s">
        <v>67</v>
      </c>
      <c r="D83" s="95" t="s">
        <v>81</v>
      </c>
      <c r="G83" s="95">
        <v>49</v>
      </c>
      <c r="I83" s="95">
        <v>2.56</v>
      </c>
      <c r="P83" s="95">
        <v>2023</v>
      </c>
      <c r="S83" s="95" t="s">
        <v>99</v>
      </c>
      <c r="T83" s="95" t="s">
        <v>115</v>
      </c>
    </row>
    <row r="84" spans="1:20" x14ac:dyDescent="0.2">
      <c r="A84" s="95" t="s">
        <v>73</v>
      </c>
      <c r="B84" s="95" t="s">
        <v>66</v>
      </c>
      <c r="C84" s="95" t="s">
        <v>67</v>
      </c>
      <c r="D84" s="95" t="s">
        <v>81</v>
      </c>
      <c r="G84" s="95">
        <v>30</v>
      </c>
      <c r="I84" s="95">
        <v>1.17</v>
      </c>
      <c r="P84" s="95">
        <v>2023</v>
      </c>
      <c r="S84" s="95" t="s">
        <v>99</v>
      </c>
      <c r="T84" s="95" t="s">
        <v>116</v>
      </c>
    </row>
    <row r="85" spans="1:20" x14ac:dyDescent="0.2">
      <c r="A85" s="95" t="s">
        <v>73</v>
      </c>
      <c r="B85" s="95" t="s">
        <v>66</v>
      </c>
      <c r="C85" s="95" t="s">
        <v>91</v>
      </c>
      <c r="G85" s="95">
        <v>30</v>
      </c>
      <c r="I85" s="95">
        <v>3.75</v>
      </c>
      <c r="P85" s="95">
        <v>2023</v>
      </c>
      <c r="S85" s="95" t="s">
        <v>99</v>
      </c>
      <c r="T85" s="95" t="s">
        <v>117</v>
      </c>
    </row>
    <row r="86" spans="1:20" x14ac:dyDescent="0.2">
      <c r="A86" s="95" t="s">
        <v>73</v>
      </c>
      <c r="B86" s="95" t="s">
        <v>66</v>
      </c>
      <c r="C86" s="95" t="s">
        <v>91</v>
      </c>
      <c r="G86" s="95">
        <v>23</v>
      </c>
      <c r="I86" s="95">
        <v>1.52</v>
      </c>
      <c r="P86" s="95">
        <v>2023</v>
      </c>
      <c r="S86" s="95" t="s">
        <v>99</v>
      </c>
      <c r="T86" s="95" t="s">
        <v>118</v>
      </c>
    </row>
    <row r="87" spans="1:20" x14ac:dyDescent="0.2">
      <c r="A87" s="95" t="s">
        <v>73</v>
      </c>
      <c r="B87" s="95" t="s">
        <v>66</v>
      </c>
      <c r="C87" s="95" t="s">
        <v>91</v>
      </c>
      <c r="G87" s="95">
        <v>21</v>
      </c>
      <c r="I87" s="95">
        <v>2.65</v>
      </c>
      <c r="P87" s="95">
        <v>2023</v>
      </c>
      <c r="S87" s="95" t="s">
        <v>99</v>
      </c>
      <c r="T87" s="95" t="s">
        <v>119</v>
      </c>
    </row>
    <row r="88" spans="1:20" x14ac:dyDescent="0.2">
      <c r="A88" s="95" t="s">
        <v>73</v>
      </c>
      <c r="B88" s="95" t="s">
        <v>66</v>
      </c>
      <c r="C88" s="95" t="s">
        <v>67</v>
      </c>
      <c r="D88" s="95" t="s">
        <v>81</v>
      </c>
      <c r="G88" s="95">
        <v>38</v>
      </c>
      <c r="I88" s="95">
        <v>2.09</v>
      </c>
      <c r="P88" s="95">
        <v>2023</v>
      </c>
      <c r="S88" s="95" t="s">
        <v>99</v>
      </c>
      <c r="T88" s="95" t="s">
        <v>120</v>
      </c>
    </row>
    <row r="89" spans="1:20" x14ac:dyDescent="0.2">
      <c r="A89" s="95" t="s">
        <v>73</v>
      </c>
      <c r="B89" s="95" t="s">
        <v>66</v>
      </c>
      <c r="C89" s="95" t="s">
        <v>67</v>
      </c>
      <c r="D89" s="95" t="s">
        <v>81</v>
      </c>
      <c r="G89" s="95">
        <v>38</v>
      </c>
      <c r="I89" s="95">
        <v>2.23</v>
      </c>
      <c r="P89" s="95">
        <v>2023</v>
      </c>
      <c r="S89" s="95" t="s">
        <v>99</v>
      </c>
      <c r="T89" s="95" t="s">
        <v>121</v>
      </c>
    </row>
    <row r="90" spans="1:20" x14ac:dyDescent="0.2">
      <c r="A90" s="95" t="s">
        <v>73</v>
      </c>
      <c r="B90" s="95" t="s">
        <v>66</v>
      </c>
      <c r="C90" s="95" t="s">
        <v>67</v>
      </c>
      <c r="D90" s="95" t="s">
        <v>81</v>
      </c>
      <c r="G90" s="95">
        <v>21</v>
      </c>
      <c r="I90" s="95">
        <v>1.03</v>
      </c>
      <c r="P90" s="95">
        <v>2023</v>
      </c>
      <c r="S90" s="95" t="s">
        <v>99</v>
      </c>
      <c r="T90" s="95" t="s">
        <v>122</v>
      </c>
    </row>
    <row r="91" spans="1:20" x14ac:dyDescent="0.2">
      <c r="A91" s="95" t="s">
        <v>73</v>
      </c>
      <c r="B91" s="95" t="s">
        <v>66</v>
      </c>
      <c r="C91" s="95" t="s">
        <v>91</v>
      </c>
      <c r="G91" s="95">
        <v>30</v>
      </c>
      <c r="I91" s="95">
        <v>3.47</v>
      </c>
      <c r="P91" s="95">
        <v>2023</v>
      </c>
      <c r="S91" s="95" t="s">
        <v>99</v>
      </c>
      <c r="T91" s="95" t="s">
        <v>123</v>
      </c>
    </row>
    <row r="92" spans="1:20" x14ac:dyDescent="0.2">
      <c r="A92" s="95" t="s">
        <v>73</v>
      </c>
      <c r="B92" s="95" t="s">
        <v>66</v>
      </c>
      <c r="C92" s="95" t="s">
        <v>67</v>
      </c>
      <c r="D92" s="95" t="s">
        <v>81</v>
      </c>
      <c r="G92" s="95">
        <v>19</v>
      </c>
      <c r="I92" s="95">
        <v>0.65</v>
      </c>
      <c r="P92" s="95">
        <v>2023</v>
      </c>
      <c r="S92" s="95" t="s">
        <v>99</v>
      </c>
      <c r="T92" s="95" t="s">
        <v>124</v>
      </c>
    </row>
    <row r="93" spans="1:20" x14ac:dyDescent="0.2">
      <c r="A93" s="95" t="s">
        <v>73</v>
      </c>
      <c r="B93" s="95" t="s">
        <v>66</v>
      </c>
      <c r="C93" s="95" t="s">
        <v>67</v>
      </c>
      <c r="D93" s="95" t="s">
        <v>81</v>
      </c>
      <c r="G93" s="95">
        <v>38</v>
      </c>
      <c r="I93" s="95">
        <v>1.65</v>
      </c>
      <c r="P93" s="95">
        <v>2023</v>
      </c>
      <c r="S93" s="95" t="s">
        <v>99</v>
      </c>
      <c r="T93" s="95" t="s">
        <v>125</v>
      </c>
    </row>
    <row r="94" spans="1:20" x14ac:dyDescent="0.2">
      <c r="A94" s="95" t="s">
        <v>73</v>
      </c>
      <c r="B94" s="95" t="s">
        <v>66</v>
      </c>
      <c r="C94" s="95" t="s">
        <v>67</v>
      </c>
      <c r="D94" s="95" t="s">
        <v>81</v>
      </c>
      <c r="G94" s="95">
        <v>30</v>
      </c>
      <c r="I94" s="95">
        <v>1.44</v>
      </c>
      <c r="P94" s="95">
        <v>2023</v>
      </c>
      <c r="S94" s="95" t="s">
        <v>99</v>
      </c>
      <c r="T94" s="95" t="s">
        <v>126</v>
      </c>
    </row>
    <row r="95" spans="1:20" x14ac:dyDescent="0.2">
      <c r="A95" s="95" t="s">
        <v>73</v>
      </c>
      <c r="B95" s="95" t="s">
        <v>66</v>
      </c>
      <c r="C95" s="95" t="s">
        <v>67</v>
      </c>
      <c r="D95" s="95" t="s">
        <v>81</v>
      </c>
      <c r="G95" s="95">
        <v>21</v>
      </c>
      <c r="I95" s="95">
        <v>1.31</v>
      </c>
      <c r="P95" s="95">
        <v>2023</v>
      </c>
      <c r="S95" s="95" t="s">
        <v>99</v>
      </c>
      <c r="T95" s="95" t="s">
        <v>127</v>
      </c>
    </row>
    <row r="96" spans="1:20" x14ac:dyDescent="0.2">
      <c r="A96" s="95" t="s">
        <v>73</v>
      </c>
      <c r="B96" s="95" t="s">
        <v>66</v>
      </c>
      <c r="C96" s="95" t="s">
        <v>67</v>
      </c>
      <c r="D96" s="95" t="s">
        <v>81</v>
      </c>
      <c r="G96" s="95">
        <v>21</v>
      </c>
      <c r="I96" s="95">
        <v>1.33</v>
      </c>
      <c r="P96" s="95">
        <v>2023</v>
      </c>
      <c r="S96" s="95" t="s">
        <v>99</v>
      </c>
      <c r="T96" s="95" t="s">
        <v>128</v>
      </c>
    </row>
    <row r="97" spans="1:20" x14ac:dyDescent="0.2">
      <c r="A97" s="95" t="s">
        <v>73</v>
      </c>
      <c r="B97" s="95" t="s">
        <v>66</v>
      </c>
      <c r="C97" s="95" t="s">
        <v>67</v>
      </c>
      <c r="D97" s="95" t="s">
        <v>68</v>
      </c>
      <c r="G97" s="95">
        <v>13</v>
      </c>
      <c r="I97" s="95">
        <v>0.68</v>
      </c>
      <c r="P97" s="95">
        <v>2023</v>
      </c>
      <c r="S97" s="95" t="s">
        <v>99</v>
      </c>
      <c r="T97" s="95" t="s">
        <v>129</v>
      </c>
    </row>
    <row r="98" spans="1:20" x14ac:dyDescent="0.2">
      <c r="A98" s="95" t="s">
        <v>73</v>
      </c>
      <c r="B98" s="95" t="s">
        <v>66</v>
      </c>
      <c r="D98" s="95" t="s">
        <v>81</v>
      </c>
      <c r="G98" s="95">
        <v>49</v>
      </c>
      <c r="I98" s="95">
        <v>2.5099999999999998</v>
      </c>
      <c r="P98" s="95">
        <v>2023</v>
      </c>
      <c r="S98" s="95" t="s">
        <v>99</v>
      </c>
      <c r="T98" s="95" t="s">
        <v>130</v>
      </c>
    </row>
    <row r="99" spans="1:20" x14ac:dyDescent="0.2">
      <c r="A99" s="95" t="s">
        <v>73</v>
      </c>
      <c r="B99" s="95" t="s">
        <v>66</v>
      </c>
      <c r="C99" s="95" t="s">
        <v>67</v>
      </c>
      <c r="D99" s="95" t="s">
        <v>81</v>
      </c>
      <c r="G99" s="95">
        <v>15</v>
      </c>
      <c r="I99" s="95">
        <v>1.1499999999999999</v>
      </c>
      <c r="P99" s="95">
        <v>2023</v>
      </c>
      <c r="S99" s="95" t="s">
        <v>99</v>
      </c>
      <c r="T99" s="95" t="s">
        <v>131</v>
      </c>
    </row>
    <row r="100" spans="1:20" x14ac:dyDescent="0.2">
      <c r="A100" s="95" t="s">
        <v>73</v>
      </c>
      <c r="B100" s="95" t="s">
        <v>66</v>
      </c>
      <c r="C100" s="95" t="s">
        <v>67</v>
      </c>
      <c r="D100" s="95" t="s">
        <v>68</v>
      </c>
      <c r="G100" s="95">
        <v>19</v>
      </c>
      <c r="I100" s="95">
        <v>0.98</v>
      </c>
      <c r="P100" s="95">
        <v>2023</v>
      </c>
      <c r="S100" s="95" t="s">
        <v>99</v>
      </c>
      <c r="T100" s="95" t="s">
        <v>132</v>
      </c>
    </row>
    <row r="101" spans="1:20" x14ac:dyDescent="0.2">
      <c r="A101" s="95" t="s">
        <v>73</v>
      </c>
      <c r="B101" s="95" t="s">
        <v>66</v>
      </c>
      <c r="C101" s="95" t="s">
        <v>67</v>
      </c>
      <c r="D101" s="95" t="s">
        <v>81</v>
      </c>
      <c r="G101" s="95">
        <v>15</v>
      </c>
      <c r="I101" s="95">
        <v>1.1299999999999999</v>
      </c>
      <c r="P101" s="95">
        <v>2023</v>
      </c>
      <c r="S101" s="95" t="s">
        <v>99</v>
      </c>
      <c r="T101" s="95" t="s">
        <v>133</v>
      </c>
    </row>
    <row r="102" spans="1:20" x14ac:dyDescent="0.2">
      <c r="A102" s="95" t="s">
        <v>73</v>
      </c>
      <c r="B102" s="95" t="s">
        <v>66</v>
      </c>
      <c r="C102" s="95" t="s">
        <v>67</v>
      </c>
      <c r="D102" s="95" t="s">
        <v>68</v>
      </c>
      <c r="G102" s="95">
        <v>49</v>
      </c>
      <c r="I102" s="95">
        <v>2.37</v>
      </c>
      <c r="P102" s="95">
        <v>2023</v>
      </c>
      <c r="S102" s="95" t="s">
        <v>99</v>
      </c>
      <c r="T102" s="95" t="s">
        <v>134</v>
      </c>
    </row>
    <row r="103" spans="1:20" x14ac:dyDescent="0.2">
      <c r="A103" s="95" t="s">
        <v>73</v>
      </c>
      <c r="B103" s="95" t="s">
        <v>66</v>
      </c>
      <c r="C103" s="95" t="s">
        <v>67</v>
      </c>
      <c r="D103" s="95" t="s">
        <v>81</v>
      </c>
      <c r="G103" s="95">
        <v>30</v>
      </c>
      <c r="I103" s="95">
        <v>1.72</v>
      </c>
      <c r="P103" s="95">
        <v>2023</v>
      </c>
      <c r="S103" s="95" t="s">
        <v>99</v>
      </c>
      <c r="T103" s="95" t="s">
        <v>135</v>
      </c>
    </row>
    <row r="104" spans="1:20" x14ac:dyDescent="0.2">
      <c r="A104" s="95" t="s">
        <v>73</v>
      </c>
      <c r="B104" s="95" t="s">
        <v>66</v>
      </c>
      <c r="C104" s="95" t="s">
        <v>67</v>
      </c>
      <c r="D104" s="95" t="s">
        <v>68</v>
      </c>
      <c r="G104" s="95">
        <v>13</v>
      </c>
      <c r="I104" s="95">
        <v>0.68</v>
      </c>
      <c r="P104" s="95">
        <v>2023</v>
      </c>
      <c r="S104" s="95" t="s">
        <v>99</v>
      </c>
      <c r="T104" s="95" t="s">
        <v>136</v>
      </c>
    </row>
    <row r="105" spans="1:20" x14ac:dyDescent="0.2">
      <c r="A105" s="95" t="s">
        <v>73</v>
      </c>
      <c r="B105" s="95" t="s">
        <v>66</v>
      </c>
      <c r="C105" s="95" t="s">
        <v>67</v>
      </c>
      <c r="D105" s="95" t="s">
        <v>68</v>
      </c>
      <c r="G105" s="95">
        <v>19</v>
      </c>
      <c r="I105" s="95">
        <v>0.86</v>
      </c>
      <c r="P105" s="95">
        <v>2023</v>
      </c>
      <c r="S105" s="95" t="s">
        <v>99</v>
      </c>
      <c r="T105" s="95" t="s">
        <v>137</v>
      </c>
    </row>
    <row r="106" spans="1:20" x14ac:dyDescent="0.2">
      <c r="A106" s="95" t="s">
        <v>73</v>
      </c>
      <c r="B106" s="95" t="s">
        <v>66</v>
      </c>
      <c r="C106" s="95" t="s">
        <v>67</v>
      </c>
      <c r="D106" s="95" t="s">
        <v>68</v>
      </c>
      <c r="G106" s="95">
        <v>19</v>
      </c>
      <c r="I106" s="95">
        <v>1.1200000000000001</v>
      </c>
      <c r="P106" s="95">
        <v>2023</v>
      </c>
      <c r="S106" s="95" t="s">
        <v>99</v>
      </c>
      <c r="T106" s="95" t="s">
        <v>138</v>
      </c>
    </row>
    <row r="107" spans="1:20" x14ac:dyDescent="0.2">
      <c r="A107" s="95" t="s">
        <v>73</v>
      </c>
      <c r="B107" s="95" t="s">
        <v>66</v>
      </c>
      <c r="C107" s="95" t="s">
        <v>91</v>
      </c>
      <c r="G107" s="95">
        <v>21</v>
      </c>
      <c r="I107" s="95">
        <v>42.61</v>
      </c>
      <c r="P107" s="95">
        <v>2023</v>
      </c>
      <c r="S107" s="95" t="s">
        <v>99</v>
      </c>
      <c r="T107" s="95" t="s">
        <v>139</v>
      </c>
    </row>
    <row r="108" spans="1:20" x14ac:dyDescent="0.2">
      <c r="A108" s="95" t="s">
        <v>73</v>
      </c>
      <c r="B108" s="95" t="s">
        <v>66</v>
      </c>
      <c r="C108" s="95" t="s">
        <v>67</v>
      </c>
      <c r="D108" s="95" t="s">
        <v>68</v>
      </c>
      <c r="G108" s="95">
        <v>30</v>
      </c>
      <c r="I108" s="95">
        <v>1.36</v>
      </c>
      <c r="P108" s="95">
        <v>2023</v>
      </c>
      <c r="S108" s="95" t="s">
        <v>99</v>
      </c>
      <c r="T108" s="95" t="s">
        <v>140</v>
      </c>
    </row>
    <row r="109" spans="1:20" x14ac:dyDescent="0.2">
      <c r="A109" s="95" t="s">
        <v>73</v>
      </c>
      <c r="B109" s="95" t="s">
        <v>66</v>
      </c>
      <c r="C109" s="95" t="s">
        <v>67</v>
      </c>
      <c r="D109" s="95" t="s">
        <v>81</v>
      </c>
      <c r="G109" s="95">
        <v>13</v>
      </c>
      <c r="I109" s="95">
        <v>0.57999999999999996</v>
      </c>
      <c r="P109" s="95">
        <v>2023</v>
      </c>
      <c r="S109" s="95" t="s">
        <v>99</v>
      </c>
      <c r="T109" s="95" t="s">
        <v>141</v>
      </c>
    </row>
    <row r="110" spans="1:20" x14ac:dyDescent="0.2">
      <c r="A110" s="95" t="s">
        <v>73</v>
      </c>
      <c r="B110" s="95" t="s">
        <v>66</v>
      </c>
      <c r="C110" s="95" t="s">
        <v>67</v>
      </c>
      <c r="D110" s="95" t="s">
        <v>68</v>
      </c>
      <c r="G110" s="95">
        <v>13</v>
      </c>
      <c r="I110" s="95">
        <v>0.75</v>
      </c>
      <c r="P110" s="95">
        <v>2023</v>
      </c>
      <c r="S110" s="95" t="s">
        <v>99</v>
      </c>
      <c r="T110" s="95" t="s">
        <v>142</v>
      </c>
    </row>
    <row r="111" spans="1:20" x14ac:dyDescent="0.2">
      <c r="A111" s="95" t="s">
        <v>73</v>
      </c>
      <c r="B111" s="95" t="s">
        <v>66</v>
      </c>
      <c r="C111" s="95" t="s">
        <v>67</v>
      </c>
      <c r="D111" s="95" t="s">
        <v>81</v>
      </c>
      <c r="G111" s="95">
        <v>19</v>
      </c>
      <c r="I111" s="95">
        <v>1.02</v>
      </c>
      <c r="P111" s="95">
        <v>2023</v>
      </c>
      <c r="S111" s="95" t="s">
        <v>99</v>
      </c>
      <c r="T111" s="95" t="s">
        <v>143</v>
      </c>
    </row>
    <row r="112" spans="1:20" x14ac:dyDescent="0.2">
      <c r="A112" s="95" t="s">
        <v>73</v>
      </c>
      <c r="B112" s="95" t="s">
        <v>66</v>
      </c>
      <c r="C112" s="95" t="s">
        <v>67</v>
      </c>
      <c r="D112" s="95" t="s">
        <v>81</v>
      </c>
      <c r="G112" s="95">
        <v>19</v>
      </c>
      <c r="I112" s="95">
        <v>0.87</v>
      </c>
      <c r="P112" s="95">
        <v>2023</v>
      </c>
      <c r="S112" s="95" t="s">
        <v>99</v>
      </c>
      <c r="T112" s="95" t="s">
        <v>144</v>
      </c>
    </row>
    <row r="113" spans="1:20" x14ac:dyDescent="0.2">
      <c r="A113" s="95" t="s">
        <v>73</v>
      </c>
      <c r="B113" s="95" t="s">
        <v>66</v>
      </c>
      <c r="C113" s="95" t="s">
        <v>67</v>
      </c>
      <c r="D113" s="95" t="s">
        <v>81</v>
      </c>
      <c r="G113" s="95">
        <v>30</v>
      </c>
      <c r="I113" s="95">
        <v>1.33</v>
      </c>
      <c r="P113" s="95">
        <v>2023</v>
      </c>
      <c r="S113" s="95" t="s">
        <v>99</v>
      </c>
      <c r="T113" s="95" t="s">
        <v>145</v>
      </c>
    </row>
    <row r="114" spans="1:20" x14ac:dyDescent="0.2">
      <c r="A114" s="95" t="s">
        <v>73</v>
      </c>
      <c r="B114" s="95" t="s">
        <v>66</v>
      </c>
      <c r="C114" s="95" t="s">
        <v>91</v>
      </c>
      <c r="G114" s="95">
        <v>13</v>
      </c>
      <c r="I114" s="95">
        <v>23.26</v>
      </c>
      <c r="P114" s="95">
        <v>2023</v>
      </c>
      <c r="S114" s="95" t="s">
        <v>99</v>
      </c>
      <c r="T114" s="95" t="s">
        <v>146</v>
      </c>
    </row>
    <row r="115" spans="1:20" x14ac:dyDescent="0.2">
      <c r="A115" s="95" t="s">
        <v>73</v>
      </c>
      <c r="B115" s="95" t="s">
        <v>66</v>
      </c>
      <c r="C115" s="95" t="s">
        <v>67</v>
      </c>
      <c r="D115" s="95" t="s">
        <v>81</v>
      </c>
      <c r="G115" s="95">
        <v>19</v>
      </c>
      <c r="I115" s="95">
        <v>0.99</v>
      </c>
      <c r="P115" s="95">
        <v>2023</v>
      </c>
      <c r="S115" s="95" t="s">
        <v>99</v>
      </c>
      <c r="T115" s="95" t="s">
        <v>147</v>
      </c>
    </row>
    <row r="116" spans="1:20" x14ac:dyDescent="0.2">
      <c r="A116" s="95" t="s">
        <v>73</v>
      </c>
      <c r="B116" s="95" t="s">
        <v>66</v>
      </c>
      <c r="C116" s="95" t="s">
        <v>67</v>
      </c>
      <c r="D116" s="95" t="s">
        <v>68</v>
      </c>
      <c r="G116" s="95">
        <v>15</v>
      </c>
      <c r="I116" s="95">
        <v>1.27</v>
      </c>
      <c r="P116" s="95">
        <v>2023</v>
      </c>
      <c r="S116" s="95" t="s">
        <v>99</v>
      </c>
      <c r="T116" s="95" t="s">
        <v>148</v>
      </c>
    </row>
    <row r="117" spans="1:20" x14ac:dyDescent="0.2">
      <c r="A117" s="95" t="s">
        <v>73</v>
      </c>
      <c r="B117" s="95" t="s">
        <v>66</v>
      </c>
      <c r="C117" s="95" t="s">
        <v>67</v>
      </c>
      <c r="D117" s="95" t="s">
        <v>81</v>
      </c>
      <c r="G117" s="95">
        <v>13</v>
      </c>
      <c r="I117" s="95">
        <v>0.78</v>
      </c>
      <c r="P117" s="95">
        <v>2023</v>
      </c>
      <c r="S117" s="95" t="s">
        <v>99</v>
      </c>
      <c r="T117" s="95" t="s">
        <v>149</v>
      </c>
    </row>
    <row r="118" spans="1:20" x14ac:dyDescent="0.2">
      <c r="A118" s="95" t="s">
        <v>73</v>
      </c>
      <c r="B118" s="95" t="s">
        <v>66</v>
      </c>
      <c r="C118" s="95" t="s">
        <v>67</v>
      </c>
      <c r="D118" s="95" t="s">
        <v>68</v>
      </c>
      <c r="G118" s="95">
        <v>30</v>
      </c>
      <c r="I118" s="95">
        <v>1.74</v>
      </c>
      <c r="P118" s="95">
        <v>2023</v>
      </c>
      <c r="S118" s="95" t="s">
        <v>99</v>
      </c>
      <c r="T118" s="95" t="s">
        <v>150</v>
      </c>
    </row>
    <row r="119" spans="1:20" x14ac:dyDescent="0.2">
      <c r="A119" s="95" t="s">
        <v>73</v>
      </c>
      <c r="B119" s="95" t="s">
        <v>66</v>
      </c>
      <c r="G119" s="95">
        <v>19</v>
      </c>
      <c r="I119" s="95">
        <v>15.29</v>
      </c>
      <c r="P119" s="95">
        <v>2023</v>
      </c>
      <c r="S119" s="95" t="s">
        <v>99</v>
      </c>
      <c r="T119" s="95" t="s">
        <v>151</v>
      </c>
    </row>
    <row r="120" spans="1:20" x14ac:dyDescent="0.2">
      <c r="A120" s="95" t="s">
        <v>73</v>
      </c>
      <c r="B120" s="95" t="s">
        <v>66</v>
      </c>
      <c r="C120" s="95" t="s">
        <v>67</v>
      </c>
      <c r="D120" s="95" t="s">
        <v>81</v>
      </c>
      <c r="G120" s="95">
        <v>13</v>
      </c>
      <c r="I120" s="95">
        <v>0.42</v>
      </c>
      <c r="P120" s="95">
        <v>2023</v>
      </c>
      <c r="S120" s="95" t="s">
        <v>99</v>
      </c>
      <c r="T120" s="95" t="s">
        <v>152</v>
      </c>
    </row>
    <row r="121" spans="1:20" x14ac:dyDescent="0.2">
      <c r="A121" s="95" t="s">
        <v>73</v>
      </c>
      <c r="B121" s="95" t="s">
        <v>66</v>
      </c>
      <c r="C121" s="95" t="s">
        <v>67</v>
      </c>
      <c r="D121" s="95" t="s">
        <v>81</v>
      </c>
      <c r="G121" s="95">
        <v>19</v>
      </c>
      <c r="I121" s="95">
        <v>0.76</v>
      </c>
      <c r="P121" s="95">
        <v>2023</v>
      </c>
      <c r="S121" s="95" t="s">
        <v>99</v>
      </c>
      <c r="T121" s="95" t="s">
        <v>153</v>
      </c>
    </row>
    <row r="122" spans="1:20" x14ac:dyDescent="0.2">
      <c r="A122" s="95" t="s">
        <v>73</v>
      </c>
      <c r="B122" s="95" t="s">
        <v>66</v>
      </c>
      <c r="C122" s="95" t="s">
        <v>67</v>
      </c>
      <c r="D122" s="95" t="s">
        <v>68</v>
      </c>
      <c r="G122" s="95">
        <v>30</v>
      </c>
      <c r="I122" s="95">
        <v>1.1599999999999999</v>
      </c>
      <c r="P122" s="95">
        <v>2023</v>
      </c>
      <c r="S122" s="95" t="s">
        <v>99</v>
      </c>
      <c r="T122" s="95" t="s">
        <v>154</v>
      </c>
    </row>
    <row r="123" spans="1:20" x14ac:dyDescent="0.2">
      <c r="A123" s="95" t="s">
        <v>73</v>
      </c>
      <c r="B123" s="95" t="s">
        <v>66</v>
      </c>
      <c r="C123" s="95" t="s">
        <v>67</v>
      </c>
      <c r="D123" s="95" t="s">
        <v>81</v>
      </c>
      <c r="G123" s="95">
        <v>15</v>
      </c>
      <c r="I123" s="95">
        <v>1.1200000000000001</v>
      </c>
      <c r="P123" s="95">
        <v>2023</v>
      </c>
      <c r="S123" s="95" t="s">
        <v>99</v>
      </c>
      <c r="T123" s="95" t="s">
        <v>155</v>
      </c>
    </row>
    <row r="124" spans="1:20" x14ac:dyDescent="0.2">
      <c r="A124" s="95" t="s">
        <v>73</v>
      </c>
      <c r="B124" s="95" t="s">
        <v>66</v>
      </c>
      <c r="C124" s="95" t="s">
        <v>67</v>
      </c>
      <c r="D124" s="95" t="s">
        <v>68</v>
      </c>
      <c r="G124" s="95">
        <v>30</v>
      </c>
      <c r="I124" s="95">
        <v>1.47</v>
      </c>
      <c r="P124" s="95">
        <v>2023</v>
      </c>
      <c r="S124" s="95" t="s">
        <v>99</v>
      </c>
      <c r="T124" s="95" t="s">
        <v>156</v>
      </c>
    </row>
    <row r="125" spans="1:20" x14ac:dyDescent="0.2">
      <c r="A125" s="95" t="s">
        <v>73</v>
      </c>
      <c r="B125" s="95" t="s">
        <v>66</v>
      </c>
      <c r="C125" s="95" t="s">
        <v>67</v>
      </c>
      <c r="D125" s="95" t="s">
        <v>81</v>
      </c>
      <c r="G125" s="95">
        <v>19</v>
      </c>
      <c r="I125" s="95">
        <v>0.87</v>
      </c>
      <c r="P125" s="95">
        <v>2023</v>
      </c>
      <c r="S125" s="95" t="s">
        <v>99</v>
      </c>
      <c r="T125" s="95" t="s">
        <v>157</v>
      </c>
    </row>
    <row r="126" spans="1:20" x14ac:dyDescent="0.2">
      <c r="A126" s="95" t="s">
        <v>73</v>
      </c>
      <c r="B126" s="95" t="s">
        <v>66</v>
      </c>
      <c r="C126" s="95" t="s">
        <v>67</v>
      </c>
      <c r="D126" s="95" t="s">
        <v>81</v>
      </c>
      <c r="G126" s="95">
        <v>19</v>
      </c>
      <c r="I126" s="95">
        <v>0.97</v>
      </c>
      <c r="P126" s="95">
        <v>2023</v>
      </c>
      <c r="S126" s="95" t="s">
        <v>99</v>
      </c>
      <c r="T126" s="95" t="s">
        <v>158</v>
      </c>
    </row>
    <row r="127" spans="1:20" x14ac:dyDescent="0.2">
      <c r="A127" s="95" t="s">
        <v>73</v>
      </c>
      <c r="B127" s="95" t="s">
        <v>66</v>
      </c>
      <c r="C127" s="95" t="s">
        <v>67</v>
      </c>
      <c r="D127" s="95" t="s">
        <v>81</v>
      </c>
      <c r="G127" s="95">
        <v>13</v>
      </c>
      <c r="I127" s="95">
        <v>0.63</v>
      </c>
      <c r="P127" s="95">
        <v>2023</v>
      </c>
      <c r="S127" s="95" t="s">
        <v>99</v>
      </c>
      <c r="T127" s="95" t="s">
        <v>159</v>
      </c>
    </row>
    <row r="128" spans="1:20" x14ac:dyDescent="0.2">
      <c r="A128" s="95" t="s">
        <v>73</v>
      </c>
      <c r="B128" s="95" t="s">
        <v>66</v>
      </c>
      <c r="C128" s="95" t="s">
        <v>67</v>
      </c>
      <c r="D128" s="95" t="s">
        <v>68</v>
      </c>
      <c r="G128" s="95">
        <v>6</v>
      </c>
      <c r="I128" s="95">
        <v>1.87</v>
      </c>
      <c r="P128" s="95">
        <v>2023</v>
      </c>
      <c r="S128" s="95" t="s">
        <v>99</v>
      </c>
      <c r="T128" s="95" t="s">
        <v>160</v>
      </c>
    </row>
    <row r="129" spans="1:20" x14ac:dyDescent="0.2">
      <c r="A129" s="95" t="s">
        <v>73</v>
      </c>
      <c r="B129" s="95" t="s">
        <v>66</v>
      </c>
      <c r="C129" s="95" t="s">
        <v>67</v>
      </c>
      <c r="D129" s="95" t="s">
        <v>68</v>
      </c>
      <c r="G129" s="95">
        <v>30</v>
      </c>
      <c r="I129" s="95">
        <v>1.24</v>
      </c>
      <c r="P129" s="95">
        <v>2023</v>
      </c>
      <c r="S129" s="95" t="s">
        <v>99</v>
      </c>
      <c r="T129" s="95" t="s">
        <v>161</v>
      </c>
    </row>
    <row r="130" spans="1:20" x14ac:dyDescent="0.2">
      <c r="A130" s="95" t="s">
        <v>73</v>
      </c>
      <c r="B130" s="95" t="s">
        <v>66</v>
      </c>
      <c r="C130" s="95" t="s">
        <v>67</v>
      </c>
      <c r="D130" s="95" t="s">
        <v>68</v>
      </c>
      <c r="G130" s="95">
        <v>30</v>
      </c>
      <c r="I130" s="95">
        <v>19.57</v>
      </c>
      <c r="P130" s="95">
        <v>2023</v>
      </c>
      <c r="S130" s="95" t="s">
        <v>99</v>
      </c>
      <c r="T130" s="95" t="s">
        <v>162</v>
      </c>
    </row>
    <row r="131" spans="1:20" x14ac:dyDescent="0.2">
      <c r="A131" s="95" t="s">
        <v>73</v>
      </c>
      <c r="B131" s="95" t="s">
        <v>66</v>
      </c>
      <c r="C131" s="95" t="s">
        <v>67</v>
      </c>
      <c r="D131" s="95" t="s">
        <v>81</v>
      </c>
      <c r="G131" s="95">
        <v>13</v>
      </c>
      <c r="I131" s="95">
        <v>0.82</v>
      </c>
      <c r="P131" s="95">
        <v>2023</v>
      </c>
      <c r="S131" s="95" t="s">
        <v>99</v>
      </c>
      <c r="T131" s="95" t="s">
        <v>163</v>
      </c>
    </row>
    <row r="132" spans="1:20" x14ac:dyDescent="0.2">
      <c r="A132" s="95" t="s">
        <v>73</v>
      </c>
      <c r="B132" s="95" t="s">
        <v>66</v>
      </c>
      <c r="C132" s="95" t="s">
        <v>67</v>
      </c>
      <c r="D132" s="95" t="s">
        <v>81</v>
      </c>
      <c r="G132" s="95">
        <v>30</v>
      </c>
      <c r="I132" s="95">
        <v>1.43</v>
      </c>
      <c r="P132" s="95">
        <v>2023</v>
      </c>
      <c r="S132" s="95" t="s">
        <v>99</v>
      </c>
      <c r="T132" s="95" t="s">
        <v>164</v>
      </c>
    </row>
    <row r="133" spans="1:20" x14ac:dyDescent="0.2">
      <c r="A133" s="95" t="s">
        <v>73</v>
      </c>
      <c r="B133" s="95" t="s">
        <v>66</v>
      </c>
      <c r="C133" s="95" t="s">
        <v>67</v>
      </c>
      <c r="D133" s="95" t="s">
        <v>81</v>
      </c>
      <c r="G133" s="95">
        <v>13</v>
      </c>
      <c r="I133" s="95">
        <v>0.84</v>
      </c>
      <c r="P133" s="95">
        <v>2023</v>
      </c>
      <c r="S133" s="95" t="s">
        <v>99</v>
      </c>
      <c r="T133" s="95" t="s">
        <v>165</v>
      </c>
    </row>
    <row r="134" spans="1:20" x14ac:dyDescent="0.2">
      <c r="A134" s="95" t="s">
        <v>73</v>
      </c>
      <c r="B134" s="95" t="s">
        <v>66</v>
      </c>
      <c r="C134" s="95" t="s">
        <v>67</v>
      </c>
      <c r="D134" s="95" t="s">
        <v>81</v>
      </c>
      <c r="G134" s="95">
        <v>19</v>
      </c>
      <c r="I134" s="95">
        <v>0.85</v>
      </c>
      <c r="P134" s="95">
        <v>2023</v>
      </c>
      <c r="S134" s="95" t="s">
        <v>99</v>
      </c>
      <c r="T134" s="95" t="s">
        <v>166</v>
      </c>
    </row>
    <row r="135" spans="1:20" x14ac:dyDescent="0.2">
      <c r="A135" s="95" t="s">
        <v>73</v>
      </c>
      <c r="B135" s="95" t="s">
        <v>66</v>
      </c>
      <c r="C135" s="95" t="s">
        <v>67</v>
      </c>
      <c r="D135" s="95" t="s">
        <v>81</v>
      </c>
      <c r="G135" s="95">
        <v>19</v>
      </c>
      <c r="I135" s="95">
        <v>1.26</v>
      </c>
      <c r="P135" s="95">
        <v>2023</v>
      </c>
      <c r="S135" s="95" t="s">
        <v>99</v>
      </c>
      <c r="T135" s="95" t="s">
        <v>167</v>
      </c>
    </row>
    <row r="136" spans="1:20" x14ac:dyDescent="0.2">
      <c r="A136" s="95" t="s">
        <v>73</v>
      </c>
      <c r="B136" s="95" t="s">
        <v>66</v>
      </c>
      <c r="C136" s="95" t="s">
        <v>67</v>
      </c>
      <c r="D136" s="95" t="s">
        <v>68</v>
      </c>
      <c r="G136" s="95">
        <v>30</v>
      </c>
      <c r="I136" s="95">
        <v>1.48</v>
      </c>
      <c r="P136" s="95">
        <v>2023</v>
      </c>
      <c r="S136" s="95" t="s">
        <v>99</v>
      </c>
      <c r="T136" s="95" t="s">
        <v>168</v>
      </c>
    </row>
    <row r="137" spans="1:20" x14ac:dyDescent="0.2">
      <c r="A137" s="95" t="s">
        <v>73</v>
      </c>
      <c r="B137" s="95" t="s">
        <v>66</v>
      </c>
      <c r="C137" s="95" t="s">
        <v>67</v>
      </c>
      <c r="D137" s="95" t="s">
        <v>81</v>
      </c>
      <c r="G137" s="95">
        <v>19</v>
      </c>
      <c r="I137" s="95">
        <v>1.1499999999999999</v>
      </c>
      <c r="P137" s="95">
        <v>2023</v>
      </c>
      <c r="S137" s="95" t="s">
        <v>99</v>
      </c>
      <c r="T137" s="95" t="s">
        <v>169</v>
      </c>
    </row>
    <row r="138" spans="1:20" x14ac:dyDescent="0.2">
      <c r="A138" s="95" t="s">
        <v>73</v>
      </c>
      <c r="B138" s="95" t="s">
        <v>66</v>
      </c>
      <c r="C138" s="95" t="s">
        <v>67</v>
      </c>
      <c r="D138" s="95" t="s">
        <v>81</v>
      </c>
      <c r="G138" s="95">
        <v>13</v>
      </c>
      <c r="I138" s="95">
        <v>0.96</v>
      </c>
      <c r="P138" s="95">
        <v>2023</v>
      </c>
      <c r="S138" s="95" t="s">
        <v>99</v>
      </c>
      <c r="T138" s="95" t="s">
        <v>170</v>
      </c>
    </row>
    <row r="139" spans="1:20" x14ac:dyDescent="0.2">
      <c r="A139" s="95" t="s">
        <v>73</v>
      </c>
      <c r="B139" s="95" t="s">
        <v>66</v>
      </c>
      <c r="C139" s="95" t="s">
        <v>67</v>
      </c>
      <c r="D139" s="95" t="s">
        <v>81</v>
      </c>
      <c r="G139" s="95">
        <v>19</v>
      </c>
      <c r="I139" s="95">
        <v>1.08</v>
      </c>
      <c r="P139" s="95">
        <v>2023</v>
      </c>
      <c r="S139" s="95" t="s">
        <v>99</v>
      </c>
      <c r="T139" s="95" t="s">
        <v>171</v>
      </c>
    </row>
    <row r="140" spans="1:20" x14ac:dyDescent="0.2">
      <c r="A140" s="95" t="s">
        <v>73</v>
      </c>
      <c r="B140" s="95" t="s">
        <v>66</v>
      </c>
      <c r="C140" s="95" t="s">
        <v>67</v>
      </c>
      <c r="D140" s="95" t="s">
        <v>68</v>
      </c>
      <c r="G140" s="95">
        <v>13</v>
      </c>
      <c r="I140" s="95">
        <v>0.93</v>
      </c>
      <c r="P140" s="95">
        <v>2023</v>
      </c>
      <c r="S140" s="95" t="s">
        <v>99</v>
      </c>
      <c r="T140" s="95" t="s">
        <v>172</v>
      </c>
    </row>
    <row r="141" spans="1:20" x14ac:dyDescent="0.2">
      <c r="A141" s="95" t="s">
        <v>73</v>
      </c>
      <c r="B141" s="95" t="s">
        <v>66</v>
      </c>
      <c r="C141" s="95" t="s">
        <v>67</v>
      </c>
      <c r="D141" s="95" t="s">
        <v>68</v>
      </c>
      <c r="G141" s="95">
        <v>7</v>
      </c>
      <c r="I141" s="95">
        <v>1.99</v>
      </c>
      <c r="P141" s="95">
        <v>2023</v>
      </c>
      <c r="S141" s="95" t="s">
        <v>99</v>
      </c>
      <c r="T141" s="95" t="s">
        <v>173</v>
      </c>
    </row>
    <row r="142" spans="1:20" x14ac:dyDescent="0.2">
      <c r="A142" s="95" t="s">
        <v>73</v>
      </c>
      <c r="B142" s="95" t="s">
        <v>66</v>
      </c>
      <c r="C142" s="95" t="s">
        <v>67</v>
      </c>
      <c r="D142" s="95" t="s">
        <v>68</v>
      </c>
      <c r="G142" s="95">
        <v>6</v>
      </c>
      <c r="I142" s="95">
        <v>95.58</v>
      </c>
      <c r="P142" s="95">
        <v>2023</v>
      </c>
      <c r="S142" s="95" t="s">
        <v>99</v>
      </c>
      <c r="T142" s="95" t="s">
        <v>174</v>
      </c>
    </row>
    <row r="143" spans="1:20" x14ac:dyDescent="0.2">
      <c r="A143" s="95" t="s">
        <v>73</v>
      </c>
      <c r="B143" s="95" t="s">
        <v>66</v>
      </c>
      <c r="C143" s="95" t="s">
        <v>67</v>
      </c>
      <c r="D143" s="95" t="s">
        <v>81</v>
      </c>
      <c r="G143" s="95">
        <v>13</v>
      </c>
      <c r="I143" s="95">
        <v>0.75</v>
      </c>
      <c r="P143" s="95">
        <v>2023</v>
      </c>
      <c r="S143" s="95" t="s">
        <v>99</v>
      </c>
      <c r="T143" s="95" t="s">
        <v>175</v>
      </c>
    </row>
    <row r="144" spans="1:20" x14ac:dyDescent="0.2">
      <c r="A144" s="95" t="s">
        <v>65</v>
      </c>
      <c r="B144" s="95" t="s">
        <v>66</v>
      </c>
      <c r="C144" s="95" t="s">
        <v>86</v>
      </c>
      <c r="D144" s="95" t="s">
        <v>68</v>
      </c>
      <c r="F144" s="95">
        <v>0.5</v>
      </c>
      <c r="G144" s="95">
        <v>3</v>
      </c>
      <c r="I144" s="95">
        <v>0.43687500000000001</v>
      </c>
      <c r="P144" s="95">
        <v>2023</v>
      </c>
      <c r="Q144" s="95" t="s">
        <v>176</v>
      </c>
      <c r="R144" s="95" t="s">
        <v>177</v>
      </c>
      <c r="S144" s="95" t="s">
        <v>99</v>
      </c>
      <c r="T144" s="95" t="s">
        <v>178</v>
      </c>
    </row>
    <row r="145" spans="1:20" x14ac:dyDescent="0.2">
      <c r="A145" s="95" t="s">
        <v>65</v>
      </c>
      <c r="B145" s="95" t="s">
        <v>66</v>
      </c>
      <c r="C145" s="95" t="s">
        <v>84</v>
      </c>
      <c r="D145" s="95" t="s">
        <v>81</v>
      </c>
      <c r="F145" s="95">
        <v>0.5</v>
      </c>
      <c r="G145" s="95">
        <v>3.2</v>
      </c>
      <c r="I145" s="95">
        <v>0.62250000000000005</v>
      </c>
      <c r="P145" s="95">
        <v>2023</v>
      </c>
      <c r="Q145" s="95" t="s">
        <v>179</v>
      </c>
      <c r="R145" s="95" t="s">
        <v>180</v>
      </c>
      <c r="S145" s="95" t="s">
        <v>99</v>
      </c>
      <c r="T145" s="95" t="s">
        <v>181</v>
      </c>
    </row>
    <row r="146" spans="1:20" x14ac:dyDescent="0.2">
      <c r="A146" s="95" t="s">
        <v>65</v>
      </c>
      <c r="B146" s="95" t="s">
        <v>66</v>
      </c>
      <c r="C146" s="95" t="s">
        <v>85</v>
      </c>
      <c r="D146" s="95" t="s">
        <v>81</v>
      </c>
      <c r="F146" s="95">
        <v>0.63</v>
      </c>
      <c r="G146" s="95">
        <v>3</v>
      </c>
      <c r="I146" s="95">
        <v>0.83250000000000002</v>
      </c>
      <c r="P146" s="95">
        <v>2023</v>
      </c>
      <c r="Q146" s="95" t="s">
        <v>182</v>
      </c>
      <c r="R146" s="95" t="s">
        <v>183</v>
      </c>
      <c r="S146" s="95" t="s">
        <v>99</v>
      </c>
      <c r="T146" s="95" t="s">
        <v>184</v>
      </c>
    </row>
    <row r="147" spans="1:20" x14ac:dyDescent="0.2">
      <c r="A147" s="95" t="s">
        <v>65</v>
      </c>
      <c r="B147" s="95" t="s">
        <v>66</v>
      </c>
      <c r="C147" s="95" t="s">
        <v>85</v>
      </c>
      <c r="D147" s="95" t="s">
        <v>68</v>
      </c>
      <c r="F147" s="95">
        <v>0.75</v>
      </c>
      <c r="G147" s="95">
        <v>2.65</v>
      </c>
      <c r="I147" s="95">
        <v>2.5950000000000002</v>
      </c>
      <c r="P147" s="95">
        <v>2023</v>
      </c>
      <c r="Q147" s="95" t="s">
        <v>185</v>
      </c>
      <c r="R147" s="95" t="s">
        <v>186</v>
      </c>
      <c r="S147" s="95" t="s">
        <v>99</v>
      </c>
      <c r="T147" s="95" t="s">
        <v>187</v>
      </c>
    </row>
    <row r="148" spans="1:20" x14ac:dyDescent="0.2">
      <c r="A148" s="95" t="s">
        <v>65</v>
      </c>
      <c r="B148" s="95" t="s">
        <v>66</v>
      </c>
      <c r="C148" s="95" t="s">
        <v>86</v>
      </c>
      <c r="D148" s="95" t="s">
        <v>68</v>
      </c>
      <c r="F148" s="95">
        <v>1</v>
      </c>
      <c r="G148" s="95">
        <v>5</v>
      </c>
      <c r="I148" s="95">
        <v>0.97875000000000001</v>
      </c>
      <c r="P148" s="95">
        <v>2023</v>
      </c>
      <c r="Q148" s="95" t="s">
        <v>188</v>
      </c>
      <c r="R148" s="95" t="s">
        <v>189</v>
      </c>
      <c r="S148" s="95" t="s">
        <v>99</v>
      </c>
      <c r="T148" s="95" t="s">
        <v>190</v>
      </c>
    </row>
    <row r="149" spans="1:20" x14ac:dyDescent="0.2">
      <c r="A149" s="95" t="s">
        <v>65</v>
      </c>
      <c r="B149" s="95" t="s">
        <v>66</v>
      </c>
      <c r="C149" s="95" t="s">
        <v>85</v>
      </c>
      <c r="D149" s="95" t="s">
        <v>81</v>
      </c>
      <c r="F149" s="95">
        <v>1</v>
      </c>
      <c r="G149" s="95">
        <v>3.85</v>
      </c>
      <c r="I149" s="95">
        <v>0.48781249999999998</v>
      </c>
      <c r="P149" s="95">
        <v>2023</v>
      </c>
      <c r="Q149" s="95" t="s">
        <v>191</v>
      </c>
      <c r="R149" s="95" t="s">
        <v>192</v>
      </c>
      <c r="S149" s="95" t="s">
        <v>99</v>
      </c>
      <c r="T149" s="95" t="s">
        <v>193</v>
      </c>
    </row>
    <row r="150" spans="1:20" x14ac:dyDescent="0.2">
      <c r="A150" s="95" t="s">
        <v>65</v>
      </c>
      <c r="B150" s="95" t="s">
        <v>66</v>
      </c>
      <c r="C150" s="95" t="s">
        <v>85</v>
      </c>
      <c r="D150" s="95" t="s">
        <v>81</v>
      </c>
      <c r="F150" s="95">
        <v>1</v>
      </c>
      <c r="G150" s="95">
        <v>5</v>
      </c>
      <c r="I150" s="95">
        <v>1.3891666666666669</v>
      </c>
      <c r="P150" s="95">
        <v>2023</v>
      </c>
      <c r="Q150" s="95" t="s">
        <v>194</v>
      </c>
      <c r="R150" s="95" t="s">
        <v>195</v>
      </c>
      <c r="S150" s="95" t="s">
        <v>99</v>
      </c>
      <c r="T150" s="95" t="s">
        <v>196</v>
      </c>
    </row>
    <row r="151" spans="1:20" x14ac:dyDescent="0.2">
      <c r="A151" s="95" t="s">
        <v>65</v>
      </c>
      <c r="B151" s="95" t="s">
        <v>66</v>
      </c>
      <c r="C151" s="95" t="s">
        <v>86</v>
      </c>
      <c r="D151" s="95" t="s">
        <v>68</v>
      </c>
      <c r="F151" s="95">
        <v>1</v>
      </c>
      <c r="G151" s="95">
        <v>5</v>
      </c>
      <c r="I151" s="95">
        <v>1.7450000000000001</v>
      </c>
      <c r="P151" s="95">
        <v>2023</v>
      </c>
      <c r="Q151" s="95" t="s">
        <v>16</v>
      </c>
      <c r="R151" s="95" t="s">
        <v>197</v>
      </c>
      <c r="S151" s="95" t="s">
        <v>99</v>
      </c>
      <c r="T151" s="95" t="s">
        <v>198</v>
      </c>
    </row>
    <row r="152" spans="1:20" x14ac:dyDescent="0.2">
      <c r="A152" s="95" t="s">
        <v>65</v>
      </c>
      <c r="B152" s="95" t="s">
        <v>66</v>
      </c>
      <c r="C152" s="95" t="s">
        <v>86</v>
      </c>
      <c r="D152" s="95" t="s">
        <v>81</v>
      </c>
      <c r="F152" s="95">
        <v>1</v>
      </c>
      <c r="G152" s="95">
        <v>5</v>
      </c>
      <c r="I152" s="95">
        <v>3.85</v>
      </c>
      <c r="P152" s="95">
        <v>2023</v>
      </c>
      <c r="Q152" s="95" t="s">
        <v>199</v>
      </c>
      <c r="R152" s="95" t="s">
        <v>200</v>
      </c>
      <c r="S152" s="95" t="s">
        <v>99</v>
      </c>
      <c r="T152" s="95" t="s">
        <v>201</v>
      </c>
    </row>
    <row r="153" spans="1:20" x14ac:dyDescent="0.2">
      <c r="A153" s="95" t="s">
        <v>65</v>
      </c>
      <c r="B153" s="95" t="s">
        <v>66</v>
      </c>
      <c r="C153" s="95" t="s">
        <v>86</v>
      </c>
      <c r="D153" s="95" t="s">
        <v>81</v>
      </c>
      <c r="F153" s="95">
        <v>1</v>
      </c>
      <c r="G153" s="95">
        <v>5</v>
      </c>
      <c r="I153" s="95">
        <v>3.66</v>
      </c>
      <c r="P153" s="95">
        <v>2023</v>
      </c>
      <c r="Q153" s="95" t="s">
        <v>199</v>
      </c>
      <c r="R153" s="95" t="s">
        <v>202</v>
      </c>
      <c r="S153" s="95" t="s">
        <v>99</v>
      </c>
      <c r="T153" s="95" t="s">
        <v>203</v>
      </c>
    </row>
    <row r="154" spans="1:20" x14ac:dyDescent="0.2">
      <c r="A154" s="95" t="s">
        <v>65</v>
      </c>
      <c r="B154" s="95" t="s">
        <v>66</v>
      </c>
      <c r="C154" s="95" t="s">
        <v>86</v>
      </c>
      <c r="D154" s="95" t="s">
        <v>81</v>
      </c>
      <c r="F154" s="95">
        <v>1</v>
      </c>
      <c r="G154" s="95">
        <v>5</v>
      </c>
      <c r="I154" s="95">
        <v>3.9950000000000001</v>
      </c>
      <c r="P154" s="95">
        <v>2023</v>
      </c>
      <c r="Q154" s="95" t="s">
        <v>199</v>
      </c>
      <c r="R154" s="95" t="s">
        <v>204</v>
      </c>
      <c r="S154" s="95" t="s">
        <v>99</v>
      </c>
      <c r="T154" s="95" t="s">
        <v>205</v>
      </c>
    </row>
    <row r="155" spans="1:20" x14ac:dyDescent="0.2">
      <c r="A155" s="95" t="s">
        <v>65</v>
      </c>
      <c r="B155" s="95" t="s">
        <v>66</v>
      </c>
      <c r="C155" s="95" t="s">
        <v>86</v>
      </c>
      <c r="D155" s="95" t="s">
        <v>68</v>
      </c>
      <c r="F155" s="95">
        <v>1.5</v>
      </c>
      <c r="G155" s="95">
        <v>7.5</v>
      </c>
      <c r="I155" s="95">
        <v>1.1131249999999999</v>
      </c>
      <c r="P155" s="95">
        <v>2023</v>
      </c>
      <c r="Q155" s="95" t="s">
        <v>199</v>
      </c>
      <c r="R155" s="95" t="s">
        <v>206</v>
      </c>
      <c r="S155" s="95" t="s">
        <v>99</v>
      </c>
      <c r="T155" s="95" t="s">
        <v>207</v>
      </c>
    </row>
    <row r="156" spans="1:20" x14ac:dyDescent="0.2">
      <c r="A156" s="95" t="s">
        <v>65</v>
      </c>
      <c r="B156" s="95" t="s">
        <v>66</v>
      </c>
      <c r="C156" s="95" t="s">
        <v>85</v>
      </c>
      <c r="D156" s="95" t="s">
        <v>81</v>
      </c>
      <c r="F156" s="95">
        <v>1.5</v>
      </c>
      <c r="G156" s="95">
        <v>5.78</v>
      </c>
      <c r="I156" s="95">
        <v>0.65187499999999998</v>
      </c>
      <c r="P156" s="95">
        <v>2023</v>
      </c>
      <c r="Q156" s="95" t="s">
        <v>191</v>
      </c>
      <c r="R156" s="95" t="s">
        <v>208</v>
      </c>
      <c r="S156" s="95" t="s">
        <v>99</v>
      </c>
      <c r="T156" s="95" t="s">
        <v>209</v>
      </c>
    </row>
    <row r="157" spans="1:20" x14ac:dyDescent="0.2">
      <c r="A157" s="95" t="s">
        <v>65</v>
      </c>
      <c r="B157" s="95" t="s">
        <v>66</v>
      </c>
      <c r="C157" s="95" t="s">
        <v>86</v>
      </c>
      <c r="D157" s="95" t="s">
        <v>68</v>
      </c>
      <c r="F157" s="95">
        <v>2</v>
      </c>
      <c r="G157" s="95">
        <v>10</v>
      </c>
      <c r="I157" s="95">
        <v>1.89</v>
      </c>
      <c r="P157" s="95">
        <v>2023</v>
      </c>
      <c r="Q157" s="95" t="s">
        <v>210</v>
      </c>
      <c r="R157" s="95" t="s">
        <v>211</v>
      </c>
      <c r="S157" s="95" t="s">
        <v>99</v>
      </c>
      <c r="T157" s="95" t="s">
        <v>212</v>
      </c>
    </row>
    <row r="158" spans="1:20" x14ac:dyDescent="0.2">
      <c r="A158" s="95" t="s">
        <v>65</v>
      </c>
      <c r="B158" s="95" t="s">
        <v>66</v>
      </c>
      <c r="C158" s="95" t="s">
        <v>85</v>
      </c>
      <c r="D158" s="95" t="s">
        <v>81</v>
      </c>
      <c r="F158" s="95">
        <v>2</v>
      </c>
      <c r="G158" s="95">
        <v>7.7</v>
      </c>
      <c r="I158" s="95">
        <v>0.83218749999999997</v>
      </c>
      <c r="P158" s="95">
        <v>2023</v>
      </c>
      <c r="Q158" s="95" t="s">
        <v>191</v>
      </c>
      <c r="R158" s="95" t="s">
        <v>213</v>
      </c>
      <c r="S158" s="95" t="s">
        <v>99</v>
      </c>
      <c r="T158" s="95" t="s">
        <v>214</v>
      </c>
    </row>
    <row r="159" spans="1:20" x14ac:dyDescent="0.2">
      <c r="A159" s="95" t="s">
        <v>65</v>
      </c>
      <c r="B159" s="95" t="s">
        <v>66</v>
      </c>
      <c r="C159" s="95" t="s">
        <v>86</v>
      </c>
      <c r="D159" s="95" t="s">
        <v>68</v>
      </c>
      <c r="F159" s="95">
        <v>2</v>
      </c>
      <c r="G159" s="95">
        <v>10</v>
      </c>
      <c r="I159" s="95">
        <v>1.85625</v>
      </c>
      <c r="P159" s="95">
        <v>2023</v>
      </c>
      <c r="Q159" s="95" t="s">
        <v>176</v>
      </c>
      <c r="R159" s="95" t="s">
        <v>215</v>
      </c>
      <c r="S159" s="95" t="s">
        <v>99</v>
      </c>
      <c r="T159" s="95" t="s">
        <v>216</v>
      </c>
    </row>
    <row r="160" spans="1:20" x14ac:dyDescent="0.2">
      <c r="A160" s="95" t="s">
        <v>65</v>
      </c>
      <c r="B160" s="95" t="s">
        <v>66</v>
      </c>
      <c r="C160" s="95" t="s">
        <v>86</v>
      </c>
      <c r="D160" s="95" t="s">
        <v>68</v>
      </c>
      <c r="F160" s="95">
        <v>2</v>
      </c>
      <c r="G160" s="95">
        <v>10</v>
      </c>
      <c r="I160" s="95">
        <v>1.85625</v>
      </c>
      <c r="P160" s="95">
        <v>2023</v>
      </c>
      <c r="Q160" s="95" t="s">
        <v>217</v>
      </c>
      <c r="R160" s="95" t="s">
        <v>218</v>
      </c>
      <c r="S160" s="95" t="s">
        <v>99</v>
      </c>
      <c r="T160" s="95" t="s">
        <v>219</v>
      </c>
    </row>
    <row r="161" spans="1:20" x14ac:dyDescent="0.2">
      <c r="A161" s="95" t="s">
        <v>65</v>
      </c>
      <c r="B161" s="95" t="s">
        <v>66</v>
      </c>
      <c r="C161" s="95" t="s">
        <v>85</v>
      </c>
      <c r="D161" s="95" t="s">
        <v>81</v>
      </c>
      <c r="F161" s="95">
        <v>2</v>
      </c>
      <c r="G161" s="95">
        <v>10</v>
      </c>
      <c r="I161" s="95">
        <v>2.875</v>
      </c>
      <c r="P161" s="95">
        <v>2023</v>
      </c>
      <c r="Q161" s="95" t="s">
        <v>182</v>
      </c>
      <c r="R161" s="95" t="s">
        <v>220</v>
      </c>
      <c r="S161" s="95" t="s">
        <v>99</v>
      </c>
      <c r="T161" s="95" t="s">
        <v>221</v>
      </c>
    </row>
    <row r="162" spans="1:20" x14ac:dyDescent="0.2">
      <c r="A162" s="95" t="s">
        <v>65</v>
      </c>
      <c r="B162" s="95" t="s">
        <v>66</v>
      </c>
      <c r="C162" s="95" t="s">
        <v>86</v>
      </c>
      <c r="D162" s="95" t="s">
        <v>81</v>
      </c>
      <c r="F162" s="95">
        <v>2</v>
      </c>
      <c r="G162" s="95">
        <v>10</v>
      </c>
      <c r="I162" s="95">
        <v>5.2262500000000003</v>
      </c>
      <c r="P162" s="95">
        <v>2023</v>
      </c>
      <c r="Q162" s="95" t="s">
        <v>199</v>
      </c>
      <c r="R162" s="95" t="s">
        <v>222</v>
      </c>
      <c r="S162" s="95" t="s">
        <v>99</v>
      </c>
      <c r="T162" s="95" t="s">
        <v>223</v>
      </c>
    </row>
    <row r="163" spans="1:20" x14ac:dyDescent="0.2">
      <c r="A163" s="95" t="s">
        <v>65</v>
      </c>
      <c r="B163" s="95" t="s">
        <v>66</v>
      </c>
      <c r="C163" s="95" t="s">
        <v>86</v>
      </c>
      <c r="D163" s="95" t="s">
        <v>81</v>
      </c>
      <c r="F163" s="95">
        <v>2</v>
      </c>
      <c r="G163" s="95">
        <v>10</v>
      </c>
      <c r="I163" s="95">
        <v>4.9924999999999997</v>
      </c>
      <c r="P163" s="95">
        <v>2023</v>
      </c>
      <c r="Q163" s="95" t="s">
        <v>199</v>
      </c>
      <c r="R163" s="95" t="s">
        <v>224</v>
      </c>
      <c r="S163" s="95" t="s">
        <v>99</v>
      </c>
      <c r="T163" s="95" t="s">
        <v>225</v>
      </c>
    </row>
    <row r="164" spans="1:20" x14ac:dyDescent="0.2">
      <c r="A164" s="95" t="s">
        <v>65</v>
      </c>
      <c r="B164" s="95" t="s">
        <v>66</v>
      </c>
      <c r="C164" s="95" t="s">
        <v>86</v>
      </c>
      <c r="D164" s="95" t="s">
        <v>81</v>
      </c>
      <c r="F164" s="95">
        <v>2</v>
      </c>
      <c r="G164" s="95">
        <v>10</v>
      </c>
      <c r="I164" s="95">
        <v>5.15625</v>
      </c>
      <c r="P164" s="95">
        <v>2023</v>
      </c>
      <c r="Q164" s="95" t="s">
        <v>199</v>
      </c>
      <c r="R164" s="95" t="s">
        <v>226</v>
      </c>
      <c r="S164" s="95" t="s">
        <v>99</v>
      </c>
      <c r="T164" s="95" t="s">
        <v>227</v>
      </c>
    </row>
    <row r="165" spans="1:20" x14ac:dyDescent="0.2">
      <c r="A165" s="95" t="s">
        <v>65</v>
      </c>
      <c r="B165" s="95" t="s">
        <v>66</v>
      </c>
      <c r="C165" s="95" t="s">
        <v>85</v>
      </c>
      <c r="D165" s="95" t="s">
        <v>68</v>
      </c>
      <c r="F165" s="95">
        <v>2.38</v>
      </c>
      <c r="G165" s="95">
        <v>10</v>
      </c>
      <c r="I165" s="95">
        <v>2.5821874999999999</v>
      </c>
      <c r="P165" s="95">
        <v>2023</v>
      </c>
      <c r="Q165" s="95" t="s">
        <v>228</v>
      </c>
      <c r="R165" s="95" t="s">
        <v>229</v>
      </c>
      <c r="S165" s="95" t="s">
        <v>99</v>
      </c>
      <c r="T165" s="95" t="s">
        <v>230</v>
      </c>
    </row>
    <row r="166" spans="1:20" x14ac:dyDescent="0.2">
      <c r="A166" s="95" t="s">
        <v>97</v>
      </c>
      <c r="B166" s="95" t="s">
        <v>66</v>
      </c>
      <c r="C166" s="95" t="s">
        <v>239</v>
      </c>
      <c r="G166" s="95">
        <v>2</v>
      </c>
      <c r="H166" s="95">
        <v>3.7</v>
      </c>
      <c r="I166" s="95">
        <v>0.876</v>
      </c>
      <c r="P166" s="95">
        <v>2023</v>
      </c>
      <c r="R166" s="95" t="s">
        <v>240</v>
      </c>
      <c r="S166" s="95" t="s">
        <v>99</v>
      </c>
      <c r="T166" s="95" t="s">
        <v>241</v>
      </c>
    </row>
    <row r="167" spans="1:20" x14ac:dyDescent="0.2">
      <c r="A167" s="95" t="s">
        <v>97</v>
      </c>
      <c r="B167" s="95" t="s">
        <v>66</v>
      </c>
      <c r="C167" s="95" t="s">
        <v>252</v>
      </c>
      <c r="G167" s="95">
        <v>6.44</v>
      </c>
      <c r="I167" s="95">
        <v>1.9450000000000001</v>
      </c>
      <c r="P167" s="95">
        <v>2023</v>
      </c>
      <c r="R167" s="95" t="s">
        <v>242</v>
      </c>
      <c r="S167" s="95" t="s">
        <v>99</v>
      </c>
      <c r="T167" s="95" t="s">
        <v>243</v>
      </c>
    </row>
    <row r="168" spans="1:20" x14ac:dyDescent="0.2">
      <c r="A168" s="95" t="s">
        <v>97</v>
      </c>
      <c r="B168" s="95" t="s">
        <v>66</v>
      </c>
      <c r="C168" s="95" t="s">
        <v>239</v>
      </c>
      <c r="G168" s="95">
        <v>3.7</v>
      </c>
      <c r="I168" s="95">
        <v>1.0760000000000001</v>
      </c>
      <c r="P168" s="95">
        <v>2023</v>
      </c>
      <c r="R168" s="95" t="s">
        <v>244</v>
      </c>
      <c r="S168" s="95" t="s">
        <v>99</v>
      </c>
      <c r="T168" s="95" t="s">
        <v>245</v>
      </c>
    </row>
    <row r="169" spans="1:20" x14ac:dyDescent="0.2">
      <c r="A169" s="95" t="s">
        <v>97</v>
      </c>
      <c r="B169" s="95" t="s">
        <v>66</v>
      </c>
      <c r="C169" s="95" t="s">
        <v>239</v>
      </c>
      <c r="G169" s="95">
        <v>4.49</v>
      </c>
      <c r="H169" s="95">
        <v>4</v>
      </c>
      <c r="I169" s="95">
        <v>1.3759999999999999</v>
      </c>
      <c r="P169" s="95">
        <v>2023</v>
      </c>
      <c r="R169" s="95" t="s">
        <v>246</v>
      </c>
      <c r="S169" s="95" t="s">
        <v>99</v>
      </c>
      <c r="T169" s="95" t="s">
        <v>247</v>
      </c>
    </row>
    <row r="170" spans="1:20" x14ac:dyDescent="0.2">
      <c r="A170" s="95" t="s">
        <v>97</v>
      </c>
      <c r="B170" s="95" t="s">
        <v>66</v>
      </c>
      <c r="C170" s="95" t="s">
        <v>252</v>
      </c>
      <c r="G170" s="95">
        <v>6</v>
      </c>
      <c r="I170" s="95">
        <v>1.9450000000000001</v>
      </c>
      <c r="P170" s="95">
        <v>2023</v>
      </c>
      <c r="R170" s="95" t="s">
        <v>248</v>
      </c>
      <c r="S170" s="95" t="s">
        <v>99</v>
      </c>
      <c r="T170" s="95" t="s">
        <v>249</v>
      </c>
    </row>
    <row r="171" spans="1:20" x14ac:dyDescent="0.2">
      <c r="A171" s="95" t="s">
        <v>97</v>
      </c>
      <c r="B171" s="95" t="s">
        <v>66</v>
      </c>
      <c r="C171" s="95" t="s">
        <v>239</v>
      </c>
      <c r="G171" s="95">
        <v>4.5</v>
      </c>
      <c r="H171" s="95">
        <v>4</v>
      </c>
      <c r="I171" s="95">
        <v>1.536</v>
      </c>
      <c r="P171" s="95">
        <v>2023</v>
      </c>
      <c r="R171" s="95" t="s">
        <v>250</v>
      </c>
      <c r="S171" s="95" t="s">
        <v>99</v>
      </c>
      <c r="T171" s="95" t="s">
        <v>251</v>
      </c>
    </row>
    <row r="172" spans="1:20" x14ac:dyDescent="0.2">
      <c r="A172" s="95" t="s">
        <v>97</v>
      </c>
      <c r="B172" s="95" t="s">
        <v>66</v>
      </c>
      <c r="C172" s="95" t="s">
        <v>252</v>
      </c>
      <c r="G172" s="95">
        <v>6.5</v>
      </c>
      <c r="I172" s="95">
        <v>1.665</v>
      </c>
      <c r="P172" s="95">
        <v>2023</v>
      </c>
      <c r="R172" s="95" t="s">
        <v>253</v>
      </c>
      <c r="S172" s="95" t="s">
        <v>99</v>
      </c>
      <c r="T172" s="95" t="s">
        <v>254</v>
      </c>
    </row>
    <row r="173" spans="1:20" x14ac:dyDescent="0.2">
      <c r="A173" s="95" t="s">
        <v>97</v>
      </c>
      <c r="B173" s="95" t="s">
        <v>66</v>
      </c>
      <c r="C173" s="95" t="s">
        <v>239</v>
      </c>
      <c r="G173" s="95">
        <v>4.5</v>
      </c>
      <c r="H173" s="95">
        <v>4</v>
      </c>
      <c r="I173" s="95">
        <v>0.74750000000000005</v>
      </c>
      <c r="P173" s="95">
        <v>2023</v>
      </c>
      <c r="R173" s="95" t="s">
        <v>255</v>
      </c>
      <c r="S173" s="95" t="s">
        <v>99</v>
      </c>
      <c r="T173" s="95" t="s">
        <v>256</v>
      </c>
    </row>
    <row r="174" spans="1:20" x14ac:dyDescent="0.2">
      <c r="A174" s="95" t="s">
        <v>97</v>
      </c>
      <c r="B174" s="95" t="s">
        <v>66</v>
      </c>
      <c r="C174" s="95" t="s">
        <v>239</v>
      </c>
      <c r="G174" s="95">
        <v>2</v>
      </c>
      <c r="H174" s="95">
        <v>3.7</v>
      </c>
      <c r="I174" s="95">
        <v>0.92642857142857149</v>
      </c>
      <c r="P174" s="95">
        <v>2023</v>
      </c>
      <c r="R174" s="95" t="s">
        <v>257</v>
      </c>
      <c r="S174" s="95" t="s">
        <v>99</v>
      </c>
      <c r="T174" s="95" t="s">
        <v>258</v>
      </c>
    </row>
    <row r="175" spans="1:20" x14ac:dyDescent="0.2">
      <c r="A175" s="95" t="s">
        <v>97</v>
      </c>
      <c r="B175" s="95" t="s">
        <v>66</v>
      </c>
      <c r="C175" s="95" t="s">
        <v>239</v>
      </c>
      <c r="G175" s="95">
        <v>3.8</v>
      </c>
      <c r="I175" s="95">
        <v>1.4950000000000001</v>
      </c>
      <c r="P175" s="95">
        <v>2023</v>
      </c>
      <c r="R175" s="95" t="s">
        <v>259</v>
      </c>
      <c r="S175" s="95" t="s">
        <v>99</v>
      </c>
      <c r="T175" s="95" t="s">
        <v>260</v>
      </c>
    </row>
    <row r="176" spans="1:20" x14ac:dyDescent="0.2">
      <c r="A176" s="95" t="s">
        <v>97</v>
      </c>
      <c r="B176" s="95" t="s">
        <v>66</v>
      </c>
      <c r="C176" s="95" t="s">
        <v>239</v>
      </c>
      <c r="G176" s="95">
        <v>2</v>
      </c>
      <c r="H176" s="95">
        <v>3.7</v>
      </c>
      <c r="I176" s="95">
        <v>1.4970000000000001</v>
      </c>
      <c r="P176" s="95">
        <v>2023</v>
      </c>
      <c r="R176" s="95" t="s">
        <v>261</v>
      </c>
      <c r="S176" s="95" t="s">
        <v>99</v>
      </c>
      <c r="T176" s="95" t="s">
        <v>262</v>
      </c>
    </row>
    <row r="177" spans="1:20" x14ac:dyDescent="0.2">
      <c r="A177" s="95" t="s">
        <v>97</v>
      </c>
      <c r="B177" s="95" t="s">
        <v>66</v>
      </c>
      <c r="C177" s="95" t="s">
        <v>239</v>
      </c>
      <c r="G177" s="95">
        <v>4</v>
      </c>
      <c r="I177" s="95">
        <v>1.3283333333333334</v>
      </c>
      <c r="P177" s="95">
        <v>2023</v>
      </c>
      <c r="R177" s="95" t="s">
        <v>263</v>
      </c>
      <c r="S177" s="95" t="s">
        <v>99</v>
      </c>
      <c r="T177" s="95" t="s">
        <v>264</v>
      </c>
    </row>
    <row r="178" spans="1:20" x14ac:dyDescent="0.2">
      <c r="A178" s="95" t="s">
        <v>97</v>
      </c>
      <c r="B178" s="95" t="s">
        <v>66</v>
      </c>
      <c r="C178" s="95" t="s">
        <v>239</v>
      </c>
      <c r="G178" s="95">
        <v>3.7</v>
      </c>
      <c r="I178" s="95">
        <v>1.1960000000000002</v>
      </c>
      <c r="P178" s="95">
        <v>2023</v>
      </c>
      <c r="R178" s="95" t="s">
        <v>265</v>
      </c>
      <c r="S178" s="95" t="s">
        <v>99</v>
      </c>
      <c r="T178" s="95" t="s">
        <v>266</v>
      </c>
    </row>
    <row r="179" spans="1:20" x14ac:dyDescent="0.2">
      <c r="A179" s="95" t="s">
        <v>97</v>
      </c>
      <c r="B179" s="95" t="s">
        <v>66</v>
      </c>
      <c r="C179" s="95" t="s">
        <v>252</v>
      </c>
      <c r="G179" s="95">
        <v>14</v>
      </c>
      <c r="H179" s="95">
        <v>6.8</v>
      </c>
      <c r="I179" s="95">
        <v>1.6658153846153845</v>
      </c>
      <c r="P179" s="95">
        <v>2023</v>
      </c>
      <c r="R179" s="95" t="s">
        <v>267</v>
      </c>
      <c r="S179" s="95" t="s">
        <v>99</v>
      </c>
      <c r="T179" s="95" t="s">
        <v>268</v>
      </c>
    </row>
    <row r="180" spans="1:20" x14ac:dyDescent="0.2">
      <c r="A180" s="95" t="s">
        <v>97</v>
      </c>
      <c r="B180" s="95" t="s">
        <v>66</v>
      </c>
      <c r="C180" s="95" t="s">
        <v>239</v>
      </c>
      <c r="G180" s="95">
        <v>4</v>
      </c>
      <c r="I180" s="95">
        <v>1.9957142857142858</v>
      </c>
      <c r="P180" s="95">
        <v>2023</v>
      </c>
      <c r="R180" s="95" t="s">
        <v>269</v>
      </c>
      <c r="S180" s="95" t="s">
        <v>99</v>
      </c>
      <c r="T180" s="95" t="s">
        <v>270</v>
      </c>
    </row>
    <row r="181" spans="1:20" x14ac:dyDescent="0.2">
      <c r="A181" s="95" t="s">
        <v>97</v>
      </c>
      <c r="B181" s="95" t="s">
        <v>66</v>
      </c>
      <c r="C181" s="95" t="s">
        <v>239</v>
      </c>
      <c r="G181" s="95">
        <v>4</v>
      </c>
      <c r="I181" s="95">
        <v>1.7100000000000002</v>
      </c>
      <c r="P181" s="95">
        <v>2023</v>
      </c>
      <c r="R181" s="95" t="s">
        <v>271</v>
      </c>
      <c r="S181" s="95" t="s">
        <v>99</v>
      </c>
      <c r="T181" s="95" t="s">
        <v>272</v>
      </c>
    </row>
    <row r="182" spans="1:20" x14ac:dyDescent="0.2">
      <c r="A182" s="95" t="s">
        <v>97</v>
      </c>
      <c r="B182" s="95" t="s">
        <v>66</v>
      </c>
      <c r="C182" s="95" t="s">
        <v>252</v>
      </c>
      <c r="G182" s="95">
        <v>14</v>
      </c>
      <c r="H182" s="95">
        <v>6.8</v>
      </c>
      <c r="I182" s="95">
        <v>1.621032258064516</v>
      </c>
      <c r="P182" s="95">
        <v>2023</v>
      </c>
      <c r="R182" s="95" t="s">
        <v>273</v>
      </c>
      <c r="S182" s="95" t="s">
        <v>99</v>
      </c>
      <c r="T182" s="95" t="s">
        <v>274</v>
      </c>
    </row>
    <row r="183" spans="1:20" x14ac:dyDescent="0.2">
      <c r="A183" s="95" t="s">
        <v>97</v>
      </c>
      <c r="B183" s="95" t="s">
        <v>66</v>
      </c>
      <c r="C183" s="95" t="s">
        <v>252</v>
      </c>
      <c r="G183" s="95">
        <v>5.5</v>
      </c>
      <c r="I183" s="95">
        <v>2.2069047619047617</v>
      </c>
      <c r="P183" s="95">
        <v>2023</v>
      </c>
      <c r="R183" s="95" t="s">
        <v>275</v>
      </c>
      <c r="S183" s="95" t="s">
        <v>99</v>
      </c>
      <c r="T183" s="95" t="s">
        <v>276</v>
      </c>
    </row>
    <row r="184" spans="1:20" x14ac:dyDescent="0.2">
      <c r="A184" s="95" t="s">
        <v>97</v>
      </c>
      <c r="B184" s="95" t="s">
        <v>66</v>
      </c>
      <c r="C184" s="95" t="s">
        <v>252</v>
      </c>
      <c r="G184" s="95">
        <v>3.7</v>
      </c>
      <c r="I184" s="95">
        <v>6.427142857142857</v>
      </c>
      <c r="P184" s="95">
        <v>2023</v>
      </c>
      <c r="R184" s="95" t="s">
        <v>277</v>
      </c>
      <c r="S184" s="95" t="s">
        <v>99</v>
      </c>
      <c r="T184" s="95" t="s">
        <v>278</v>
      </c>
    </row>
    <row r="185" spans="1:20" x14ac:dyDescent="0.2">
      <c r="A185" s="95" t="s">
        <v>97</v>
      </c>
      <c r="B185" s="95" t="s">
        <v>66</v>
      </c>
      <c r="C185" s="95" t="s">
        <v>239</v>
      </c>
      <c r="G185" s="95">
        <v>3.8</v>
      </c>
      <c r="I185" s="95">
        <v>1.1475</v>
      </c>
      <c r="P185" s="95">
        <v>2023</v>
      </c>
      <c r="R185" s="95" t="s">
        <v>279</v>
      </c>
      <c r="S185" s="95" t="s">
        <v>99</v>
      </c>
      <c r="T185" s="95" t="s">
        <v>280</v>
      </c>
    </row>
    <row r="186" spans="1:20" x14ac:dyDescent="0.2">
      <c r="A186" s="95" t="s">
        <v>97</v>
      </c>
      <c r="B186" s="95" t="s">
        <v>66</v>
      </c>
      <c r="C186" s="95" t="s">
        <v>252</v>
      </c>
      <c r="G186" s="95">
        <v>3.7</v>
      </c>
      <c r="I186" s="95">
        <v>9.2707142857142859</v>
      </c>
      <c r="P186" s="95">
        <v>2023</v>
      </c>
      <c r="R186" s="95" t="s">
        <v>281</v>
      </c>
      <c r="S186" s="95" t="s">
        <v>99</v>
      </c>
      <c r="T186" s="95" t="s">
        <v>282</v>
      </c>
    </row>
    <row r="187" spans="1:20" x14ac:dyDescent="0.2">
      <c r="A187" s="95" t="s">
        <v>97</v>
      </c>
      <c r="B187" s="95" t="s">
        <v>66</v>
      </c>
      <c r="C187" s="95" t="s">
        <v>252</v>
      </c>
      <c r="G187" s="95">
        <v>3.7</v>
      </c>
      <c r="I187" s="95">
        <v>7.2735714285714286</v>
      </c>
      <c r="P187" s="95">
        <v>2023</v>
      </c>
      <c r="R187" s="95" t="s">
        <v>283</v>
      </c>
      <c r="S187" s="95" t="s">
        <v>99</v>
      </c>
      <c r="T187" s="95" t="s">
        <v>284</v>
      </c>
    </row>
    <row r="188" spans="1:20" x14ac:dyDescent="0.2">
      <c r="A188" s="95" t="s">
        <v>73</v>
      </c>
      <c r="B188" s="95" t="s">
        <v>66</v>
      </c>
      <c r="C188" s="95" t="s">
        <v>91</v>
      </c>
      <c r="D188" s="95" t="s">
        <v>68</v>
      </c>
      <c r="F188" s="95">
        <v>2</v>
      </c>
      <c r="G188" s="95">
        <v>8.4</v>
      </c>
      <c r="I188" s="95">
        <v>3.6652473958333331</v>
      </c>
      <c r="P188" s="95">
        <v>2023</v>
      </c>
      <c r="Q188" s="95" t="s">
        <v>176</v>
      </c>
      <c r="R188" s="95" t="s">
        <v>285</v>
      </c>
      <c r="S188" s="95" t="s">
        <v>99</v>
      </c>
      <c r="T188" s="95" t="s">
        <v>286</v>
      </c>
    </row>
    <row r="189" spans="1:20" x14ac:dyDescent="0.2">
      <c r="A189" s="95" t="s">
        <v>73</v>
      </c>
      <c r="B189" s="95" t="s">
        <v>66</v>
      </c>
      <c r="C189" s="95" t="s">
        <v>287</v>
      </c>
      <c r="D189" s="95" t="s">
        <v>68</v>
      </c>
      <c r="I189" s="95">
        <v>1.1765886287625418</v>
      </c>
      <c r="P189" s="95">
        <v>2023</v>
      </c>
      <c r="Q189" s="95" t="s">
        <v>288</v>
      </c>
      <c r="R189" s="95" t="s">
        <v>289</v>
      </c>
      <c r="S189" s="95" t="s">
        <v>99</v>
      </c>
      <c r="T189" s="95" t="s">
        <v>290</v>
      </c>
    </row>
    <row r="190" spans="1:20" x14ac:dyDescent="0.2">
      <c r="A190" s="95" t="s">
        <v>73</v>
      </c>
      <c r="B190" s="95" t="s">
        <v>66</v>
      </c>
      <c r="C190" s="95" t="s">
        <v>291</v>
      </c>
      <c r="D190" s="95" t="s">
        <v>68</v>
      </c>
      <c r="F190" s="95">
        <v>3.5</v>
      </c>
      <c r="G190" s="95">
        <v>13</v>
      </c>
      <c r="I190" s="95">
        <v>1.3846938775510202</v>
      </c>
      <c r="P190" s="95">
        <v>2023</v>
      </c>
      <c r="Q190" s="95" t="s">
        <v>292</v>
      </c>
      <c r="R190" s="95" t="s">
        <v>293</v>
      </c>
      <c r="S190" s="95" t="s">
        <v>99</v>
      </c>
      <c r="T190" s="95" t="s">
        <v>102</v>
      </c>
    </row>
    <row r="191" spans="1:20" x14ac:dyDescent="0.2">
      <c r="A191" s="95" t="s">
        <v>73</v>
      </c>
      <c r="B191" s="95" t="s">
        <v>66</v>
      </c>
      <c r="C191" s="95" t="s">
        <v>291</v>
      </c>
      <c r="D191" s="95" t="s">
        <v>68</v>
      </c>
      <c r="F191" s="95">
        <v>3.5</v>
      </c>
      <c r="G191" s="95">
        <v>15</v>
      </c>
      <c r="I191" s="95">
        <v>1.5803571428571428</v>
      </c>
      <c r="P191" s="95">
        <v>2023</v>
      </c>
      <c r="Q191" s="95" t="s">
        <v>292</v>
      </c>
      <c r="R191" s="95" t="s">
        <v>294</v>
      </c>
      <c r="S191" s="95" t="s">
        <v>99</v>
      </c>
      <c r="T191" s="95" t="s">
        <v>106</v>
      </c>
    </row>
    <row r="192" spans="1:20" x14ac:dyDescent="0.2">
      <c r="A192" s="95" t="s">
        <v>73</v>
      </c>
      <c r="B192" s="95" t="s">
        <v>66</v>
      </c>
      <c r="C192" s="95" t="s">
        <v>295</v>
      </c>
      <c r="D192" s="95" t="s">
        <v>68</v>
      </c>
      <c r="F192" s="95">
        <v>3.5</v>
      </c>
      <c r="G192" s="95">
        <v>15</v>
      </c>
      <c r="I192" s="95">
        <v>1.3144053601340033</v>
      </c>
      <c r="P192" s="95">
        <v>2023</v>
      </c>
      <c r="Q192" s="95" t="s">
        <v>296</v>
      </c>
      <c r="R192" s="95" t="s">
        <v>297</v>
      </c>
      <c r="S192" s="95" t="s">
        <v>99</v>
      </c>
      <c r="T192" s="95" t="s">
        <v>110</v>
      </c>
    </row>
    <row r="193" spans="1:20" x14ac:dyDescent="0.2">
      <c r="A193" s="95" t="s">
        <v>73</v>
      </c>
      <c r="B193" s="95" t="s">
        <v>66</v>
      </c>
      <c r="C193" s="95" t="s">
        <v>291</v>
      </c>
      <c r="D193" s="95" t="s">
        <v>68</v>
      </c>
      <c r="F193" s="95">
        <v>7.125</v>
      </c>
      <c r="G193" s="95">
        <v>30</v>
      </c>
      <c r="I193" s="95">
        <v>3.7503401360544215</v>
      </c>
      <c r="P193" s="95">
        <v>2023</v>
      </c>
      <c r="Q193" s="95" t="s">
        <v>298</v>
      </c>
      <c r="R193" s="95" t="s">
        <v>299</v>
      </c>
      <c r="S193" s="95" t="s">
        <v>99</v>
      </c>
      <c r="T193" s="95" t="s">
        <v>117</v>
      </c>
    </row>
    <row r="194" spans="1:20" x14ac:dyDescent="0.2">
      <c r="A194" s="95" t="s">
        <v>73</v>
      </c>
      <c r="B194" s="95" t="s">
        <v>66</v>
      </c>
      <c r="C194" s="95" t="s">
        <v>291</v>
      </c>
      <c r="D194" s="95" t="s">
        <v>68</v>
      </c>
      <c r="F194" s="95">
        <v>5.5</v>
      </c>
      <c r="G194" s="95">
        <v>23</v>
      </c>
      <c r="I194" s="95">
        <v>2.0020483613109512</v>
      </c>
      <c r="P194" s="95">
        <v>2023</v>
      </c>
      <c r="Q194" s="95" t="s">
        <v>300</v>
      </c>
      <c r="R194" s="95" t="s">
        <v>301</v>
      </c>
      <c r="S194" s="95" t="s">
        <v>99</v>
      </c>
      <c r="T194" s="95" t="s">
        <v>302</v>
      </c>
    </row>
    <row r="195" spans="1:20" x14ac:dyDescent="0.2">
      <c r="A195" s="95" t="s">
        <v>73</v>
      </c>
      <c r="B195" s="95" t="s">
        <v>66</v>
      </c>
      <c r="C195" s="95" t="s">
        <v>291</v>
      </c>
      <c r="D195" s="95" t="s">
        <v>68</v>
      </c>
      <c r="F195" s="95">
        <v>7.125</v>
      </c>
      <c r="G195" s="95">
        <v>30</v>
      </c>
      <c r="I195" s="95">
        <v>3.3362777777777777</v>
      </c>
      <c r="P195" s="95">
        <v>2023</v>
      </c>
      <c r="Q195" s="95" t="s">
        <v>298</v>
      </c>
      <c r="R195" s="95" t="s">
        <v>303</v>
      </c>
      <c r="S195" s="95" t="s">
        <v>99</v>
      </c>
      <c r="T195" s="95" t="s">
        <v>123</v>
      </c>
    </row>
    <row r="196" spans="1:20" x14ac:dyDescent="0.2">
      <c r="A196" s="95" t="s">
        <v>73</v>
      </c>
      <c r="B196" s="95" t="s">
        <v>66</v>
      </c>
      <c r="C196" s="95" t="s">
        <v>291</v>
      </c>
      <c r="D196" s="95" t="s">
        <v>68</v>
      </c>
      <c r="F196" s="95">
        <v>5.5</v>
      </c>
      <c r="G196" s="95">
        <v>21</v>
      </c>
      <c r="I196" s="95">
        <v>2.6538701622971286</v>
      </c>
      <c r="P196" s="95">
        <v>2023</v>
      </c>
      <c r="Q196" s="95" t="s">
        <v>304</v>
      </c>
      <c r="R196" s="95" t="s">
        <v>305</v>
      </c>
      <c r="S196" s="95" t="s">
        <v>99</v>
      </c>
      <c r="T196" s="95" t="s">
        <v>119</v>
      </c>
    </row>
    <row r="197" spans="1:20" x14ac:dyDescent="0.2">
      <c r="A197" s="95" t="s">
        <v>73</v>
      </c>
      <c r="B197" s="95" t="s">
        <v>66</v>
      </c>
      <c r="C197" s="95" t="s">
        <v>291</v>
      </c>
      <c r="D197" s="95" t="s">
        <v>68</v>
      </c>
      <c r="F197" s="95">
        <v>5.5</v>
      </c>
      <c r="G197" s="95">
        <v>21</v>
      </c>
      <c r="I197" s="95">
        <v>2.6630356349911191</v>
      </c>
      <c r="P197" s="95">
        <v>2023</v>
      </c>
      <c r="Q197" s="95" t="s">
        <v>300</v>
      </c>
      <c r="R197" s="95" t="s">
        <v>306</v>
      </c>
      <c r="S197" s="95" t="s">
        <v>99</v>
      </c>
      <c r="T197" s="95" t="s">
        <v>139</v>
      </c>
    </row>
    <row r="198" spans="1:20" x14ac:dyDescent="0.2">
      <c r="A198" s="95" t="s">
        <v>73</v>
      </c>
      <c r="B198" s="95" t="s">
        <v>66</v>
      </c>
      <c r="C198" s="95" t="s">
        <v>291</v>
      </c>
      <c r="D198" s="95" t="s">
        <v>68</v>
      </c>
      <c r="F198" s="95">
        <v>3.5</v>
      </c>
      <c r="G198" s="95">
        <v>13</v>
      </c>
      <c r="I198" s="95">
        <v>1.4539939227439227</v>
      </c>
      <c r="P198" s="95">
        <v>2023</v>
      </c>
      <c r="Q198" s="95" t="s">
        <v>300</v>
      </c>
      <c r="R198" s="95" t="s">
        <v>307</v>
      </c>
      <c r="S198" s="95" t="s">
        <v>99</v>
      </c>
      <c r="T198" s="95" t="s">
        <v>146</v>
      </c>
    </row>
    <row r="199" spans="1:20" x14ac:dyDescent="0.2">
      <c r="A199" s="95" t="s">
        <v>76</v>
      </c>
      <c r="B199" s="95" t="s">
        <v>66</v>
      </c>
      <c r="C199" s="95" t="s">
        <v>93</v>
      </c>
      <c r="F199" s="95">
        <v>3.3</v>
      </c>
      <c r="G199" s="95">
        <v>19</v>
      </c>
      <c r="H199" s="95">
        <v>3.7</v>
      </c>
      <c r="I199" s="95">
        <v>0.22500000000000003</v>
      </c>
      <c r="P199" s="95">
        <v>2023</v>
      </c>
      <c r="Q199" s="95" t="s">
        <v>308</v>
      </c>
      <c r="R199" s="95" t="s">
        <v>309</v>
      </c>
      <c r="S199" s="95" t="s">
        <v>99</v>
      </c>
      <c r="T199" s="95" t="s">
        <v>310</v>
      </c>
    </row>
    <row r="200" spans="1:20" x14ac:dyDescent="0.2">
      <c r="A200" s="95" t="s">
        <v>76</v>
      </c>
      <c r="B200" s="95" t="s">
        <v>66</v>
      </c>
      <c r="C200" s="95" t="s">
        <v>67</v>
      </c>
      <c r="F200" s="95">
        <v>20.5</v>
      </c>
      <c r="G200" s="95">
        <v>19</v>
      </c>
      <c r="H200" s="95">
        <v>2.7</v>
      </c>
      <c r="I200" s="95">
        <v>0.37022831050228311</v>
      </c>
      <c r="P200" s="95">
        <v>2023</v>
      </c>
      <c r="Q200" s="95" t="s">
        <v>311</v>
      </c>
      <c r="R200" s="95" t="s">
        <v>312</v>
      </c>
      <c r="S200" s="95" t="s">
        <v>99</v>
      </c>
      <c r="T200" s="95" t="s">
        <v>313</v>
      </c>
    </row>
    <row r="201" spans="1:20" x14ac:dyDescent="0.2">
      <c r="A201" s="95" t="s">
        <v>76</v>
      </c>
      <c r="B201" s="95" t="s">
        <v>66</v>
      </c>
      <c r="C201" s="95" t="s">
        <v>93</v>
      </c>
      <c r="F201" s="95">
        <v>50</v>
      </c>
      <c r="G201" s="95">
        <v>19</v>
      </c>
      <c r="H201" s="95">
        <v>3.7</v>
      </c>
      <c r="I201" s="95">
        <v>0.4126492194674013</v>
      </c>
      <c r="P201" s="95">
        <v>2023</v>
      </c>
      <c r="Q201" s="95" t="s">
        <v>314</v>
      </c>
      <c r="R201" s="95" t="s">
        <v>315</v>
      </c>
      <c r="S201" s="95" t="s">
        <v>99</v>
      </c>
      <c r="T201" s="95" t="s">
        <v>316</v>
      </c>
    </row>
    <row r="202" spans="1:20" x14ac:dyDescent="0.2">
      <c r="A202" s="95" t="s">
        <v>76</v>
      </c>
      <c r="B202" s="95" t="s">
        <v>66</v>
      </c>
      <c r="C202" s="95" t="s">
        <v>93</v>
      </c>
      <c r="F202" s="95">
        <v>3.3</v>
      </c>
      <c r="G202" s="95">
        <v>19</v>
      </c>
      <c r="H202" s="95">
        <v>3.7</v>
      </c>
      <c r="I202" s="95">
        <v>0.54340359094457458</v>
      </c>
      <c r="P202" s="95">
        <v>2023</v>
      </c>
      <c r="Q202" s="95" t="s">
        <v>308</v>
      </c>
      <c r="R202" s="95" t="s">
        <v>317</v>
      </c>
      <c r="S202" s="95" t="s">
        <v>99</v>
      </c>
      <c r="T202" s="95" t="s">
        <v>318</v>
      </c>
    </row>
    <row r="203" spans="1:20" x14ac:dyDescent="0.2">
      <c r="A203" s="95" t="s">
        <v>76</v>
      </c>
      <c r="B203" s="95" t="s">
        <v>66</v>
      </c>
      <c r="C203" s="95" t="s">
        <v>93</v>
      </c>
      <c r="G203" s="95">
        <v>19</v>
      </c>
      <c r="H203" s="95">
        <v>3.7</v>
      </c>
      <c r="I203" s="95">
        <v>0.34180327868852461</v>
      </c>
      <c r="P203" s="95">
        <v>2023</v>
      </c>
      <c r="Q203" s="95" t="s">
        <v>319</v>
      </c>
      <c r="R203" s="95" t="s">
        <v>320</v>
      </c>
      <c r="S203" s="95" t="s">
        <v>321</v>
      </c>
      <c r="T203" s="95" t="s">
        <v>322</v>
      </c>
    </row>
    <row r="204" spans="1:20" x14ac:dyDescent="0.2">
      <c r="A204" s="95" t="s">
        <v>76</v>
      </c>
      <c r="B204" s="95" t="s">
        <v>66</v>
      </c>
      <c r="C204" s="95" t="s">
        <v>67</v>
      </c>
      <c r="G204" s="95">
        <v>19</v>
      </c>
      <c r="H204" s="95">
        <v>3</v>
      </c>
      <c r="I204" s="95">
        <v>0.52357723577235771</v>
      </c>
      <c r="P204" s="95">
        <v>2023</v>
      </c>
      <c r="Q204" s="95" t="s">
        <v>311</v>
      </c>
      <c r="R204" s="95" t="s">
        <v>323</v>
      </c>
      <c r="S204" s="95" t="s">
        <v>321</v>
      </c>
      <c r="T204" s="95" t="s">
        <v>324</v>
      </c>
    </row>
    <row r="205" spans="1:20" x14ac:dyDescent="0.2">
      <c r="A205" s="95" t="s">
        <v>76</v>
      </c>
      <c r="B205" s="95" t="s">
        <v>66</v>
      </c>
      <c r="C205" s="95" t="s">
        <v>67</v>
      </c>
      <c r="G205" s="95">
        <v>19</v>
      </c>
      <c r="H205" s="95">
        <v>3</v>
      </c>
      <c r="I205" s="95">
        <v>1.0835591689250226</v>
      </c>
      <c r="P205" s="95">
        <v>2023</v>
      </c>
      <c r="Q205" s="95" t="s">
        <v>311</v>
      </c>
      <c r="R205" s="95" t="s">
        <v>325</v>
      </c>
      <c r="S205" s="95" t="s">
        <v>321</v>
      </c>
      <c r="T205" s="95" t="s">
        <v>326</v>
      </c>
    </row>
  </sheetData>
  <hyperlinks>
    <hyperlink ref="A1" location="'Table of Contents'!A1" display="Table of Contents" xr:uid="{7DDAB748-83B1-4BCB-80A8-D3981F0FEFA6}"/>
  </hyperlink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5C8A1-D451-4924-BC21-2F2950F0DFAF}">
  <dimension ref="A1:T205"/>
  <sheetViews>
    <sheetView workbookViewId="0"/>
  </sheetViews>
  <sheetFormatPr baseColWidth="10" defaultColWidth="8.5" defaultRowHeight="15" x14ac:dyDescent="0.2"/>
  <cols>
    <col min="1" max="1" width="14.5" style="95" customWidth="1"/>
    <col min="2" max="2" width="13" style="95" customWidth="1"/>
    <col min="3" max="3" width="10.5" style="95" customWidth="1"/>
    <col min="4" max="4" width="8.5" style="95"/>
    <col min="5" max="5" width="12.5" style="95" customWidth="1"/>
    <col min="6" max="6" width="15.5" style="95" customWidth="1"/>
    <col min="7" max="7" width="9.5" style="95" customWidth="1"/>
    <col min="8" max="9" width="17.5" style="95" customWidth="1"/>
    <col min="10" max="10" width="19.5" style="95" customWidth="1"/>
    <col min="11" max="11" width="13.5" style="95" customWidth="1"/>
    <col min="12" max="12" width="25.5" style="95" customWidth="1"/>
    <col min="13" max="14" width="21.5" style="95" customWidth="1"/>
    <col min="15" max="15" width="10.5" style="95" customWidth="1"/>
    <col min="16" max="17" width="8.5" style="95"/>
    <col min="18" max="18" width="14.5" style="95" customWidth="1"/>
    <col min="19" max="19" width="8.5" style="95"/>
    <col min="20" max="20" width="13.5" style="95" customWidth="1"/>
    <col min="21" max="16384" width="8.5" style="95"/>
  </cols>
  <sheetData>
    <row r="1" spans="1:20" customFormat="1" x14ac:dyDescent="0.2">
      <c r="A1" s="4" t="s">
        <v>21</v>
      </c>
      <c r="K1" s="39"/>
      <c r="L1" s="39"/>
    </row>
    <row r="2" spans="1:20" customFormat="1" ht="19" x14ac:dyDescent="0.25">
      <c r="A2" s="24" t="s">
        <v>22</v>
      </c>
      <c r="K2" s="39"/>
      <c r="L2" s="39"/>
    </row>
    <row r="3" spans="1:20" s="96" customFormat="1" x14ac:dyDescent="0.2">
      <c r="A3" s="96" t="s">
        <v>25</v>
      </c>
      <c r="B3" s="96" t="s">
        <v>26</v>
      </c>
      <c r="C3" s="96" t="s">
        <v>27</v>
      </c>
      <c r="D3" s="96" t="s">
        <v>28</v>
      </c>
      <c r="E3" s="96" t="s">
        <v>29</v>
      </c>
      <c r="F3" s="96" t="s">
        <v>30</v>
      </c>
      <c r="G3" s="96" t="s">
        <v>31</v>
      </c>
      <c r="H3" s="96" t="s">
        <v>32</v>
      </c>
      <c r="I3" s="96" t="s">
        <v>33</v>
      </c>
      <c r="J3" s="96" t="s">
        <v>34</v>
      </c>
      <c r="K3" s="96" t="s">
        <v>35</v>
      </c>
      <c r="L3" s="96" t="s">
        <v>36</v>
      </c>
      <c r="M3" s="96" t="s">
        <v>37</v>
      </c>
      <c r="N3" s="96" t="s">
        <v>38</v>
      </c>
      <c r="O3" s="96" t="s">
        <v>39</v>
      </c>
      <c r="P3" s="96" t="s">
        <v>40</v>
      </c>
      <c r="Q3" s="96" t="s">
        <v>41</v>
      </c>
      <c r="R3" s="96" t="s">
        <v>42</v>
      </c>
      <c r="S3" s="96" t="s">
        <v>43</v>
      </c>
      <c r="T3" s="96" t="s">
        <v>44</v>
      </c>
    </row>
    <row r="4" spans="1:20" x14ac:dyDescent="0.2">
      <c r="A4" s="95" t="s">
        <v>65</v>
      </c>
      <c r="B4" s="95" t="s">
        <v>66</v>
      </c>
      <c r="C4" s="95" t="s">
        <v>67</v>
      </c>
      <c r="D4" s="95" t="s">
        <v>68</v>
      </c>
      <c r="E4" s="95" t="s">
        <v>68</v>
      </c>
      <c r="F4" s="95">
        <v>1</v>
      </c>
      <c r="G4" s="95">
        <v>4.0999999999999996</v>
      </c>
      <c r="I4" s="95">
        <v>0.42</v>
      </c>
      <c r="J4" s="95">
        <v>8.0000000000000002E-3</v>
      </c>
      <c r="K4" s="95">
        <v>0.31</v>
      </c>
      <c r="L4" s="95">
        <v>0.96</v>
      </c>
      <c r="O4" s="95">
        <v>999</v>
      </c>
      <c r="P4" s="95">
        <v>2023</v>
      </c>
      <c r="R4" s="95" t="s">
        <v>69</v>
      </c>
      <c r="S4" s="95" t="s">
        <v>70</v>
      </c>
    </row>
    <row r="5" spans="1:20" x14ac:dyDescent="0.2">
      <c r="A5" s="95" t="s">
        <v>65</v>
      </c>
      <c r="B5" s="95" t="s">
        <v>66</v>
      </c>
      <c r="C5" s="95" t="s">
        <v>67</v>
      </c>
      <c r="D5" s="95" t="s">
        <v>68</v>
      </c>
      <c r="E5" s="95" t="s">
        <v>68</v>
      </c>
      <c r="F5" s="95">
        <v>1.5</v>
      </c>
      <c r="G5" s="95">
        <v>6.2</v>
      </c>
      <c r="I5" s="95">
        <v>1.32</v>
      </c>
      <c r="J5" s="95">
        <v>8.0000000000000002E-3</v>
      </c>
      <c r="K5" s="95">
        <v>0.31</v>
      </c>
      <c r="L5" s="95">
        <v>1.95</v>
      </c>
      <c r="O5" s="95">
        <v>999</v>
      </c>
      <c r="P5" s="95">
        <v>2023</v>
      </c>
      <c r="R5" s="95" t="s">
        <v>69</v>
      </c>
      <c r="S5" s="95" t="s">
        <v>70</v>
      </c>
    </row>
    <row r="6" spans="1:20" x14ac:dyDescent="0.2">
      <c r="A6" s="95" t="s">
        <v>65</v>
      </c>
      <c r="B6" s="95" t="s">
        <v>66</v>
      </c>
      <c r="C6" s="95" t="s">
        <v>67</v>
      </c>
      <c r="D6" s="95" t="s">
        <v>68</v>
      </c>
      <c r="E6" s="95" t="s">
        <v>68</v>
      </c>
      <c r="F6" s="95">
        <v>2</v>
      </c>
      <c r="G6" s="95">
        <v>8.3000000000000007</v>
      </c>
      <c r="I6" s="95">
        <v>0.67</v>
      </c>
      <c r="J6" s="95">
        <v>8.0000000000000002E-3</v>
      </c>
      <c r="K6" s="95">
        <v>0.31</v>
      </c>
      <c r="L6" s="95">
        <v>1.24</v>
      </c>
      <c r="O6" s="95">
        <v>999</v>
      </c>
      <c r="P6" s="95">
        <v>2023</v>
      </c>
      <c r="R6" s="95" t="s">
        <v>69</v>
      </c>
      <c r="S6" s="95" t="s">
        <v>70</v>
      </c>
    </row>
    <row r="7" spans="1:20" x14ac:dyDescent="0.2">
      <c r="A7" s="95" t="s">
        <v>65</v>
      </c>
      <c r="B7" s="95" t="s">
        <v>66</v>
      </c>
      <c r="C7" s="95" t="s">
        <v>67</v>
      </c>
      <c r="D7" s="95" t="s">
        <v>68</v>
      </c>
      <c r="E7" s="95" t="s">
        <v>68</v>
      </c>
      <c r="F7" s="95">
        <v>3</v>
      </c>
      <c r="G7" s="95">
        <v>12.4</v>
      </c>
      <c r="I7" s="95">
        <v>0.89</v>
      </c>
      <c r="J7" s="95">
        <v>0.01</v>
      </c>
      <c r="K7" s="95">
        <v>0.39</v>
      </c>
      <c r="L7" s="95">
        <v>1.61</v>
      </c>
      <c r="O7" s="95">
        <v>999</v>
      </c>
      <c r="P7" s="95">
        <v>2023</v>
      </c>
      <c r="R7" s="95" t="s">
        <v>69</v>
      </c>
      <c r="S7" s="95" t="s">
        <v>70</v>
      </c>
    </row>
    <row r="8" spans="1:20" x14ac:dyDescent="0.2">
      <c r="A8" s="95" t="s">
        <v>65</v>
      </c>
      <c r="B8" s="95" t="s">
        <v>66</v>
      </c>
      <c r="C8" s="95" t="s">
        <v>67</v>
      </c>
      <c r="D8" s="95" t="s">
        <v>68</v>
      </c>
      <c r="E8" s="95" t="s">
        <v>68</v>
      </c>
      <c r="F8" s="95">
        <v>1</v>
      </c>
      <c r="G8" s="95">
        <v>4.3</v>
      </c>
      <c r="I8" s="95">
        <v>0.87</v>
      </c>
      <c r="J8" s="95">
        <v>8.0000000000000002E-3</v>
      </c>
      <c r="K8" s="95">
        <v>0.31</v>
      </c>
      <c r="L8" s="95">
        <v>1.46</v>
      </c>
      <c r="O8" s="95">
        <v>999</v>
      </c>
      <c r="P8" s="95">
        <v>2023</v>
      </c>
      <c r="R8" s="95" t="s">
        <v>69</v>
      </c>
      <c r="S8" s="95" t="s">
        <v>70</v>
      </c>
    </row>
    <row r="9" spans="1:20" x14ac:dyDescent="0.2">
      <c r="A9" s="95" t="s">
        <v>65</v>
      </c>
      <c r="B9" s="95" t="s">
        <v>66</v>
      </c>
      <c r="C9" s="95" t="s">
        <v>67</v>
      </c>
      <c r="D9" s="95" t="s">
        <v>68</v>
      </c>
      <c r="E9" s="95" t="s">
        <v>68</v>
      </c>
      <c r="F9" s="95">
        <v>2</v>
      </c>
      <c r="G9" s="95">
        <v>8.6999999999999993</v>
      </c>
      <c r="I9" s="95">
        <v>1.78</v>
      </c>
      <c r="J9" s="95">
        <v>8.9999999999999993E-3</v>
      </c>
      <c r="K9" s="95">
        <v>0.35</v>
      </c>
      <c r="L9" s="95">
        <v>2.5299999999999998</v>
      </c>
      <c r="O9" s="95">
        <v>999</v>
      </c>
      <c r="P9" s="95">
        <v>2023</v>
      </c>
      <c r="R9" s="95" t="s">
        <v>69</v>
      </c>
      <c r="S9" s="95" t="s">
        <v>70</v>
      </c>
    </row>
    <row r="10" spans="1:20" x14ac:dyDescent="0.2">
      <c r="A10" s="95" t="s">
        <v>65</v>
      </c>
      <c r="B10" s="95" t="s">
        <v>66</v>
      </c>
      <c r="C10" s="95" t="s">
        <v>67</v>
      </c>
      <c r="D10" s="95" t="s">
        <v>68</v>
      </c>
      <c r="E10" s="95" t="s">
        <v>68</v>
      </c>
      <c r="F10" s="95">
        <v>2.5</v>
      </c>
      <c r="G10" s="95">
        <v>10.9</v>
      </c>
      <c r="I10" s="95">
        <v>1.57</v>
      </c>
      <c r="J10" s="95">
        <v>0.01</v>
      </c>
      <c r="K10" s="95">
        <v>0.39</v>
      </c>
      <c r="L10" s="95">
        <v>2.36</v>
      </c>
      <c r="O10" s="95">
        <v>999</v>
      </c>
      <c r="P10" s="95">
        <v>2023</v>
      </c>
      <c r="R10" s="95" t="s">
        <v>69</v>
      </c>
      <c r="S10" s="95" t="s">
        <v>70</v>
      </c>
    </row>
    <row r="11" spans="1:20" x14ac:dyDescent="0.2">
      <c r="A11" s="95" t="s">
        <v>65</v>
      </c>
      <c r="B11" s="95" t="s">
        <v>66</v>
      </c>
      <c r="C11" s="95" t="s">
        <v>67</v>
      </c>
      <c r="D11" s="95" t="s">
        <v>68</v>
      </c>
      <c r="E11" s="95" t="s">
        <v>68</v>
      </c>
      <c r="F11" s="95">
        <v>3</v>
      </c>
      <c r="G11" s="95">
        <v>13</v>
      </c>
      <c r="I11" s="95">
        <v>0.59</v>
      </c>
      <c r="J11" s="95">
        <v>0.01</v>
      </c>
      <c r="K11" s="95">
        <v>0.39</v>
      </c>
      <c r="L11" s="95">
        <v>1.28</v>
      </c>
      <c r="O11" s="95">
        <v>999</v>
      </c>
      <c r="P11" s="95">
        <v>2023</v>
      </c>
      <c r="R11" s="95" t="s">
        <v>69</v>
      </c>
      <c r="S11" s="95" t="s">
        <v>70</v>
      </c>
    </row>
    <row r="12" spans="1:20" x14ac:dyDescent="0.2">
      <c r="A12" s="95" t="s">
        <v>65</v>
      </c>
      <c r="B12" s="95" t="s">
        <v>66</v>
      </c>
      <c r="C12" s="95" t="s">
        <v>67</v>
      </c>
      <c r="D12" s="95" t="s">
        <v>81</v>
      </c>
      <c r="E12" s="95" t="s">
        <v>82</v>
      </c>
      <c r="F12" s="95">
        <v>0.5</v>
      </c>
      <c r="G12" s="95">
        <v>4.3</v>
      </c>
      <c r="I12" s="95">
        <v>1.21</v>
      </c>
      <c r="J12" s="95">
        <v>8.0000000000000002E-3</v>
      </c>
      <c r="K12" s="95">
        <v>0.31</v>
      </c>
      <c r="L12" s="95">
        <v>1.83</v>
      </c>
      <c r="O12" s="95">
        <v>999</v>
      </c>
      <c r="P12" s="95">
        <v>2023</v>
      </c>
      <c r="R12" s="95" t="s">
        <v>69</v>
      </c>
      <c r="S12" s="95" t="s">
        <v>70</v>
      </c>
    </row>
    <row r="13" spans="1:20" x14ac:dyDescent="0.2">
      <c r="A13" s="95" t="s">
        <v>65</v>
      </c>
      <c r="B13" s="95" t="s">
        <v>66</v>
      </c>
      <c r="C13" s="95" t="s">
        <v>67</v>
      </c>
      <c r="D13" s="95" t="s">
        <v>81</v>
      </c>
      <c r="E13" s="95" t="s">
        <v>82</v>
      </c>
      <c r="F13" s="95">
        <v>0.625</v>
      </c>
      <c r="G13" s="95">
        <v>6.5</v>
      </c>
      <c r="I13" s="95">
        <v>1.68</v>
      </c>
      <c r="J13" s="95">
        <v>8.0000000000000002E-3</v>
      </c>
      <c r="K13" s="95">
        <v>0.31</v>
      </c>
      <c r="L13" s="95">
        <v>2.35</v>
      </c>
      <c r="O13" s="95">
        <v>999</v>
      </c>
      <c r="P13" s="95">
        <v>2023</v>
      </c>
      <c r="R13" s="95" t="s">
        <v>69</v>
      </c>
      <c r="S13" s="95" t="s">
        <v>70</v>
      </c>
    </row>
    <row r="14" spans="1:20" x14ac:dyDescent="0.2">
      <c r="A14" s="95" t="s">
        <v>65</v>
      </c>
      <c r="B14" s="95" t="s">
        <v>66</v>
      </c>
      <c r="C14" s="95" t="s">
        <v>67</v>
      </c>
      <c r="D14" s="95" t="s">
        <v>81</v>
      </c>
      <c r="E14" s="95" t="s">
        <v>82</v>
      </c>
      <c r="F14" s="95">
        <v>0.75</v>
      </c>
      <c r="G14" s="95">
        <v>8.6999999999999993</v>
      </c>
      <c r="I14" s="95">
        <v>2.27</v>
      </c>
      <c r="J14" s="95">
        <v>8.9999999999999993E-3</v>
      </c>
      <c r="K14" s="95">
        <v>0.35</v>
      </c>
      <c r="L14" s="95">
        <v>3.07</v>
      </c>
      <c r="O14" s="95">
        <v>999</v>
      </c>
      <c r="P14" s="95">
        <v>2023</v>
      </c>
      <c r="R14" s="95" t="s">
        <v>69</v>
      </c>
      <c r="S14" s="95" t="s">
        <v>70</v>
      </c>
    </row>
    <row r="15" spans="1:20" x14ac:dyDescent="0.2">
      <c r="A15" s="95" t="s">
        <v>65</v>
      </c>
      <c r="B15" s="95" t="s">
        <v>66</v>
      </c>
      <c r="C15" s="95" t="s">
        <v>67</v>
      </c>
      <c r="D15" s="95" t="s">
        <v>81</v>
      </c>
      <c r="E15" s="95" t="s">
        <v>82</v>
      </c>
      <c r="F15" s="95">
        <v>1</v>
      </c>
      <c r="G15" s="95">
        <v>10.9</v>
      </c>
      <c r="I15" s="95">
        <v>2.64</v>
      </c>
      <c r="J15" s="95">
        <v>0.01</v>
      </c>
      <c r="K15" s="95">
        <v>0.39</v>
      </c>
      <c r="L15" s="95">
        <v>3.53</v>
      </c>
      <c r="O15" s="95">
        <v>999</v>
      </c>
      <c r="P15" s="95">
        <v>2023</v>
      </c>
      <c r="R15" s="95" t="s">
        <v>69</v>
      </c>
      <c r="S15" s="95" t="s">
        <v>70</v>
      </c>
    </row>
    <row r="16" spans="1:20" x14ac:dyDescent="0.2">
      <c r="A16" s="95" t="s">
        <v>65</v>
      </c>
      <c r="B16" s="95" t="s">
        <v>66</v>
      </c>
      <c r="C16" s="95" t="s">
        <v>67</v>
      </c>
      <c r="D16" s="95" t="s">
        <v>81</v>
      </c>
      <c r="E16" s="95" t="s">
        <v>82</v>
      </c>
      <c r="F16" s="95">
        <v>1.5</v>
      </c>
      <c r="G16" s="95">
        <v>13</v>
      </c>
      <c r="I16" s="95">
        <v>0.56999999999999995</v>
      </c>
      <c r="J16" s="95">
        <v>0.01</v>
      </c>
      <c r="K16" s="95">
        <v>0.39</v>
      </c>
      <c r="L16" s="95">
        <v>1.26</v>
      </c>
      <c r="O16" s="95">
        <v>999</v>
      </c>
      <c r="P16" s="95">
        <v>2023</v>
      </c>
      <c r="R16" s="95" t="s">
        <v>69</v>
      </c>
      <c r="S16" s="95" t="s">
        <v>70</v>
      </c>
    </row>
    <row r="17" spans="1:19" x14ac:dyDescent="0.2">
      <c r="A17" s="95" t="s">
        <v>65</v>
      </c>
      <c r="B17" s="95" t="s">
        <v>66</v>
      </c>
      <c r="C17" s="95" t="s">
        <v>84</v>
      </c>
      <c r="D17" s="95" t="s">
        <v>81</v>
      </c>
      <c r="E17" s="95" t="s">
        <v>82</v>
      </c>
      <c r="F17" s="95">
        <v>1</v>
      </c>
      <c r="G17" s="95">
        <v>2.77</v>
      </c>
      <c r="I17" s="95">
        <v>0.71</v>
      </c>
      <c r="J17" s="95">
        <v>0.01</v>
      </c>
      <c r="K17" s="95">
        <v>0.39</v>
      </c>
      <c r="L17" s="95">
        <v>1.41</v>
      </c>
      <c r="O17" s="95">
        <v>999</v>
      </c>
      <c r="P17" s="95">
        <v>2023</v>
      </c>
      <c r="R17" s="95" t="s">
        <v>69</v>
      </c>
      <c r="S17" s="95" t="s">
        <v>70</v>
      </c>
    </row>
    <row r="18" spans="1:19" x14ac:dyDescent="0.2">
      <c r="A18" s="95" t="s">
        <v>65</v>
      </c>
      <c r="B18" s="95" t="s">
        <v>66</v>
      </c>
      <c r="C18" s="95" t="s">
        <v>84</v>
      </c>
      <c r="D18" s="95" t="s">
        <v>81</v>
      </c>
      <c r="E18" s="95" t="s">
        <v>82</v>
      </c>
      <c r="F18" s="95">
        <v>2</v>
      </c>
      <c r="G18" s="95">
        <v>5.55</v>
      </c>
      <c r="I18" s="95">
        <v>1.26</v>
      </c>
      <c r="J18" s="95">
        <v>1.0999999999999999E-2</v>
      </c>
      <c r="K18" s="95">
        <v>0.42</v>
      </c>
      <c r="L18" s="95">
        <v>2.08</v>
      </c>
      <c r="O18" s="95">
        <v>999</v>
      </c>
      <c r="P18" s="95">
        <v>2023</v>
      </c>
      <c r="R18" s="95" t="s">
        <v>69</v>
      </c>
      <c r="S18" s="95" t="s">
        <v>70</v>
      </c>
    </row>
    <row r="19" spans="1:19" x14ac:dyDescent="0.2">
      <c r="A19" s="95" t="s">
        <v>65</v>
      </c>
      <c r="B19" s="95" t="s">
        <v>66</v>
      </c>
      <c r="C19" s="95" t="s">
        <v>84</v>
      </c>
      <c r="D19" s="95" t="s">
        <v>81</v>
      </c>
      <c r="E19" s="95" t="s">
        <v>82</v>
      </c>
      <c r="F19" s="95">
        <v>1</v>
      </c>
      <c r="G19" s="95">
        <v>5</v>
      </c>
      <c r="I19" s="95">
        <v>1.26</v>
      </c>
      <c r="J19" s="95">
        <v>0.01</v>
      </c>
      <c r="K19" s="95">
        <v>0.39</v>
      </c>
      <c r="L19" s="95">
        <v>2.02</v>
      </c>
      <c r="O19" s="95">
        <v>999</v>
      </c>
      <c r="P19" s="95">
        <v>2023</v>
      </c>
      <c r="R19" s="95" t="s">
        <v>69</v>
      </c>
      <c r="S19" s="95" t="s">
        <v>70</v>
      </c>
    </row>
    <row r="20" spans="1:19" x14ac:dyDescent="0.2">
      <c r="A20" s="95" t="s">
        <v>65</v>
      </c>
      <c r="B20" s="95" t="s">
        <v>66</v>
      </c>
      <c r="C20" s="95" t="s">
        <v>84</v>
      </c>
      <c r="D20" s="95" t="s">
        <v>81</v>
      </c>
      <c r="E20" s="95" t="s">
        <v>82</v>
      </c>
      <c r="F20" s="95">
        <v>2</v>
      </c>
      <c r="G20" s="95">
        <v>10</v>
      </c>
      <c r="I20" s="95">
        <v>1.91</v>
      </c>
      <c r="J20" s="95">
        <v>1.0999999999999999E-2</v>
      </c>
      <c r="K20" s="95">
        <v>0.42</v>
      </c>
      <c r="L20" s="95">
        <v>2.79</v>
      </c>
      <c r="O20" s="95">
        <v>999</v>
      </c>
      <c r="P20" s="95">
        <v>2023</v>
      </c>
      <c r="R20" s="95" t="s">
        <v>69</v>
      </c>
      <c r="S20" s="95" t="s">
        <v>70</v>
      </c>
    </row>
    <row r="21" spans="1:19" x14ac:dyDescent="0.2">
      <c r="A21" s="95" t="s">
        <v>65</v>
      </c>
      <c r="B21" s="95" t="s">
        <v>66</v>
      </c>
      <c r="C21" s="95" t="s">
        <v>84</v>
      </c>
      <c r="D21" s="95" t="s">
        <v>81</v>
      </c>
      <c r="E21" s="95" t="s">
        <v>82</v>
      </c>
      <c r="F21" s="95">
        <v>3</v>
      </c>
      <c r="G21" s="95">
        <v>15</v>
      </c>
      <c r="I21" s="95">
        <v>3.05</v>
      </c>
      <c r="J21" s="95">
        <v>1.0999999999999999E-2</v>
      </c>
      <c r="K21" s="95">
        <v>0.42</v>
      </c>
      <c r="L21" s="95">
        <v>4.05</v>
      </c>
      <c r="O21" s="95">
        <v>999</v>
      </c>
      <c r="P21" s="95">
        <v>2023</v>
      </c>
      <c r="R21" s="95" t="s">
        <v>69</v>
      </c>
      <c r="S21" s="95" t="s">
        <v>70</v>
      </c>
    </row>
    <row r="22" spans="1:19" x14ac:dyDescent="0.2">
      <c r="A22" s="95" t="s">
        <v>65</v>
      </c>
      <c r="B22" s="95" t="s">
        <v>66</v>
      </c>
      <c r="C22" s="95" t="s">
        <v>84</v>
      </c>
      <c r="D22" s="95" t="s">
        <v>81</v>
      </c>
      <c r="E22" s="95" t="s">
        <v>82</v>
      </c>
      <c r="F22" s="95">
        <v>1</v>
      </c>
      <c r="G22" s="95">
        <v>3.85</v>
      </c>
      <c r="I22" s="95">
        <v>0.34</v>
      </c>
      <c r="J22" s="95">
        <v>0.01</v>
      </c>
      <c r="K22" s="95">
        <v>0.39</v>
      </c>
      <c r="L22" s="95">
        <v>1</v>
      </c>
      <c r="O22" s="95">
        <v>999</v>
      </c>
      <c r="P22" s="95">
        <v>2023</v>
      </c>
      <c r="R22" s="95" t="s">
        <v>69</v>
      </c>
      <c r="S22" s="95" t="s">
        <v>70</v>
      </c>
    </row>
    <row r="23" spans="1:19" x14ac:dyDescent="0.2">
      <c r="A23" s="95" t="s">
        <v>65</v>
      </c>
      <c r="B23" s="95" t="s">
        <v>66</v>
      </c>
      <c r="C23" s="95" t="s">
        <v>84</v>
      </c>
      <c r="D23" s="95" t="s">
        <v>81</v>
      </c>
      <c r="E23" s="95" t="s">
        <v>82</v>
      </c>
      <c r="F23" s="95">
        <v>2</v>
      </c>
      <c r="G23" s="95">
        <v>7.69</v>
      </c>
      <c r="I23" s="95">
        <v>0.68</v>
      </c>
      <c r="J23" s="95">
        <v>1.0999999999999999E-2</v>
      </c>
      <c r="K23" s="95">
        <v>0.42</v>
      </c>
      <c r="L23" s="95">
        <v>1.44</v>
      </c>
      <c r="O23" s="95">
        <v>999</v>
      </c>
      <c r="P23" s="95">
        <v>2023</v>
      </c>
      <c r="R23" s="95" t="s">
        <v>69</v>
      </c>
      <c r="S23" s="95" t="s">
        <v>70</v>
      </c>
    </row>
    <row r="24" spans="1:19" x14ac:dyDescent="0.2">
      <c r="A24" s="95" t="s">
        <v>65</v>
      </c>
      <c r="B24" s="95" t="s">
        <v>66</v>
      </c>
      <c r="C24" s="95" t="s">
        <v>84</v>
      </c>
      <c r="D24" s="95" t="s">
        <v>81</v>
      </c>
      <c r="E24" s="95" t="s">
        <v>82</v>
      </c>
      <c r="F24" s="95">
        <v>3</v>
      </c>
      <c r="G24" s="95">
        <v>11.49</v>
      </c>
      <c r="I24" s="95">
        <v>1.02</v>
      </c>
      <c r="J24" s="95">
        <v>1.0999999999999999E-2</v>
      </c>
      <c r="K24" s="95">
        <v>0.42</v>
      </c>
      <c r="L24" s="95">
        <v>1.81</v>
      </c>
      <c r="O24" s="95">
        <v>999</v>
      </c>
      <c r="P24" s="95">
        <v>2023</v>
      </c>
      <c r="R24" s="95" t="s">
        <v>69</v>
      </c>
      <c r="S24" s="95" t="s">
        <v>70</v>
      </c>
    </row>
    <row r="25" spans="1:19" x14ac:dyDescent="0.2">
      <c r="A25" s="95" t="s">
        <v>65</v>
      </c>
      <c r="B25" s="95" t="s">
        <v>66</v>
      </c>
      <c r="C25" s="95" t="s">
        <v>85</v>
      </c>
      <c r="D25" s="95" t="s">
        <v>68</v>
      </c>
      <c r="E25" s="95" t="s">
        <v>68</v>
      </c>
      <c r="F25" s="95">
        <v>1</v>
      </c>
      <c r="G25" s="95">
        <v>4</v>
      </c>
      <c r="I25" s="95">
        <v>0.34</v>
      </c>
      <c r="J25" s="95">
        <v>1.2E-2</v>
      </c>
      <c r="K25" s="95">
        <v>0.45</v>
      </c>
      <c r="L25" s="95">
        <v>1.1100000000000001</v>
      </c>
      <c r="O25" s="95">
        <v>999</v>
      </c>
      <c r="P25" s="95">
        <v>2023</v>
      </c>
      <c r="R25" s="95" t="s">
        <v>69</v>
      </c>
      <c r="S25" s="95" t="s">
        <v>70</v>
      </c>
    </row>
    <row r="26" spans="1:19" x14ac:dyDescent="0.2">
      <c r="A26" s="95" t="s">
        <v>65</v>
      </c>
      <c r="B26" s="95" t="s">
        <v>66</v>
      </c>
      <c r="C26" s="95" t="s">
        <v>85</v>
      </c>
      <c r="D26" s="95" t="s">
        <v>68</v>
      </c>
      <c r="E26" s="95" t="s">
        <v>68</v>
      </c>
      <c r="F26" s="95">
        <v>2</v>
      </c>
      <c r="G26" s="95">
        <v>8</v>
      </c>
      <c r="I26" s="95">
        <v>0.68</v>
      </c>
      <c r="J26" s="95">
        <v>1.2E-2</v>
      </c>
      <c r="K26" s="95">
        <v>0.46</v>
      </c>
      <c r="L26" s="95">
        <v>1.5</v>
      </c>
      <c r="O26" s="95">
        <v>999</v>
      </c>
      <c r="P26" s="95">
        <v>2023</v>
      </c>
      <c r="R26" s="95" t="s">
        <v>69</v>
      </c>
      <c r="S26" s="95" t="s">
        <v>70</v>
      </c>
    </row>
    <row r="27" spans="1:19" x14ac:dyDescent="0.2">
      <c r="A27" s="95" t="s">
        <v>65</v>
      </c>
      <c r="B27" s="95" t="s">
        <v>66</v>
      </c>
      <c r="C27" s="95" t="s">
        <v>86</v>
      </c>
      <c r="D27" s="95" t="s">
        <v>68</v>
      </c>
      <c r="E27" s="95" t="s">
        <v>68</v>
      </c>
      <c r="F27" s="95">
        <v>1</v>
      </c>
      <c r="G27" s="95">
        <v>4</v>
      </c>
      <c r="I27" s="95">
        <v>0.34</v>
      </c>
      <c r="J27" s="95">
        <v>1.2E-2</v>
      </c>
      <c r="K27" s="95">
        <v>0.45</v>
      </c>
      <c r="L27" s="95">
        <v>1.1100000000000001</v>
      </c>
      <c r="O27" s="95">
        <v>999</v>
      </c>
      <c r="P27" s="95">
        <v>2023</v>
      </c>
      <c r="R27" s="95" t="s">
        <v>69</v>
      </c>
      <c r="S27" s="95" t="s">
        <v>70</v>
      </c>
    </row>
    <row r="28" spans="1:19" x14ac:dyDescent="0.2">
      <c r="A28" s="95" t="s">
        <v>65</v>
      </c>
      <c r="B28" s="95" t="s">
        <v>66</v>
      </c>
      <c r="C28" s="95" t="s">
        <v>86</v>
      </c>
      <c r="D28" s="95" t="s">
        <v>68</v>
      </c>
      <c r="E28" s="95" t="s">
        <v>68</v>
      </c>
      <c r="F28" s="95">
        <v>2</v>
      </c>
      <c r="G28" s="95">
        <v>8</v>
      </c>
      <c r="I28" s="95">
        <v>0.68</v>
      </c>
      <c r="J28" s="95">
        <v>1.2E-2</v>
      </c>
      <c r="K28" s="95">
        <v>0.46</v>
      </c>
      <c r="L28" s="95">
        <v>1.5</v>
      </c>
      <c r="O28" s="95">
        <v>999</v>
      </c>
      <c r="P28" s="95">
        <v>2023</v>
      </c>
      <c r="R28" s="95" t="s">
        <v>69</v>
      </c>
      <c r="S28" s="95" t="s">
        <v>70</v>
      </c>
    </row>
    <row r="29" spans="1:19" x14ac:dyDescent="0.2">
      <c r="A29" s="95" t="s">
        <v>73</v>
      </c>
      <c r="B29" s="95" t="s">
        <v>69</v>
      </c>
      <c r="C29" s="95" t="s">
        <v>67</v>
      </c>
      <c r="D29" s="95" t="s">
        <v>81</v>
      </c>
      <c r="E29" s="95" t="s">
        <v>89</v>
      </c>
      <c r="F29" s="95">
        <v>3.5</v>
      </c>
      <c r="G29" s="95">
        <v>11</v>
      </c>
      <c r="I29" s="95">
        <v>0.53</v>
      </c>
      <c r="J29" s="95">
        <v>6.0000000000000001E-3</v>
      </c>
      <c r="K29" s="95">
        <v>0.23</v>
      </c>
      <c r="L29" s="95">
        <v>0.95</v>
      </c>
      <c r="O29" s="95">
        <v>999</v>
      </c>
      <c r="P29" s="95">
        <v>2023</v>
      </c>
      <c r="R29" s="95" t="s">
        <v>69</v>
      </c>
      <c r="S29" s="95" t="s">
        <v>70</v>
      </c>
    </row>
    <row r="30" spans="1:19" x14ac:dyDescent="0.2">
      <c r="A30" s="95" t="s">
        <v>73</v>
      </c>
      <c r="B30" s="95" t="s">
        <v>69</v>
      </c>
      <c r="C30" s="95" t="s">
        <v>67</v>
      </c>
      <c r="D30" s="95" t="s">
        <v>81</v>
      </c>
      <c r="E30" s="95" t="s">
        <v>89</v>
      </c>
      <c r="F30" s="95">
        <v>3.5</v>
      </c>
      <c r="G30" s="95">
        <v>13</v>
      </c>
      <c r="I30" s="95">
        <v>0.85</v>
      </c>
      <c r="J30" s="95">
        <v>7.0000000000000001E-3</v>
      </c>
      <c r="K30" s="95">
        <v>0.27</v>
      </c>
      <c r="L30" s="95">
        <v>1.38</v>
      </c>
      <c r="O30" s="95">
        <v>999</v>
      </c>
      <c r="P30" s="95">
        <v>2023</v>
      </c>
      <c r="R30" s="95" t="s">
        <v>69</v>
      </c>
      <c r="S30" s="95" t="s">
        <v>70</v>
      </c>
    </row>
    <row r="31" spans="1:19" x14ac:dyDescent="0.2">
      <c r="A31" s="95" t="s">
        <v>73</v>
      </c>
      <c r="B31" s="95" t="s">
        <v>69</v>
      </c>
      <c r="C31" s="95" t="s">
        <v>67</v>
      </c>
      <c r="D31" s="95" t="s">
        <v>81</v>
      </c>
      <c r="E31" s="95" t="s">
        <v>89</v>
      </c>
      <c r="F31" s="95">
        <v>3.5</v>
      </c>
      <c r="G31" s="95">
        <v>15</v>
      </c>
      <c r="I31" s="95">
        <v>0.87</v>
      </c>
      <c r="J31" s="95">
        <v>7.0000000000000001E-3</v>
      </c>
      <c r="K31" s="95">
        <v>0.27</v>
      </c>
      <c r="L31" s="95">
        <v>1.4</v>
      </c>
      <c r="O31" s="95">
        <v>999</v>
      </c>
      <c r="P31" s="95">
        <v>2023</v>
      </c>
      <c r="R31" s="95" t="s">
        <v>69</v>
      </c>
      <c r="S31" s="95" t="s">
        <v>70</v>
      </c>
    </row>
    <row r="32" spans="1:19" x14ac:dyDescent="0.2">
      <c r="A32" s="95" t="s">
        <v>73</v>
      </c>
      <c r="B32" s="95" t="s">
        <v>69</v>
      </c>
      <c r="C32" s="95" t="s">
        <v>67</v>
      </c>
      <c r="D32" s="95" t="s">
        <v>81</v>
      </c>
      <c r="E32" s="95" t="s">
        <v>89</v>
      </c>
      <c r="F32" s="95">
        <v>6</v>
      </c>
      <c r="G32" s="95">
        <v>19</v>
      </c>
      <c r="I32" s="95">
        <v>0.95</v>
      </c>
      <c r="J32" s="95">
        <v>7.0000000000000001E-3</v>
      </c>
      <c r="K32" s="95">
        <v>0.27</v>
      </c>
      <c r="L32" s="95">
        <v>1.49</v>
      </c>
      <c r="O32" s="95">
        <v>999</v>
      </c>
      <c r="P32" s="95">
        <v>2023</v>
      </c>
      <c r="R32" s="95" t="s">
        <v>69</v>
      </c>
      <c r="S32" s="95" t="s">
        <v>70</v>
      </c>
    </row>
    <row r="33" spans="1:19" x14ac:dyDescent="0.2">
      <c r="A33" s="95" t="s">
        <v>73</v>
      </c>
      <c r="B33" s="95" t="s">
        <v>69</v>
      </c>
      <c r="C33" s="95" t="s">
        <v>67</v>
      </c>
      <c r="D33" s="95" t="s">
        <v>81</v>
      </c>
      <c r="E33" s="95" t="s">
        <v>89</v>
      </c>
      <c r="F33" s="95">
        <v>9</v>
      </c>
      <c r="G33" s="95">
        <v>30</v>
      </c>
      <c r="I33" s="95">
        <v>1</v>
      </c>
      <c r="J33" s="95">
        <v>6.0000000000000001E-3</v>
      </c>
      <c r="K33" s="95">
        <v>0.23</v>
      </c>
      <c r="L33" s="95">
        <v>1.47</v>
      </c>
      <c r="O33" s="95">
        <v>999</v>
      </c>
      <c r="P33" s="95">
        <v>2023</v>
      </c>
      <c r="R33" s="95" t="s">
        <v>69</v>
      </c>
      <c r="S33" s="95" t="s">
        <v>70</v>
      </c>
    </row>
    <row r="34" spans="1:19" x14ac:dyDescent="0.2">
      <c r="A34" s="95" t="s">
        <v>73</v>
      </c>
      <c r="B34" s="95" t="s">
        <v>69</v>
      </c>
      <c r="C34" s="95" t="s">
        <v>67</v>
      </c>
      <c r="D34" s="95" t="s">
        <v>81</v>
      </c>
      <c r="E34" s="95" t="s">
        <v>89</v>
      </c>
      <c r="F34" s="95">
        <v>12</v>
      </c>
      <c r="G34" s="95">
        <v>38</v>
      </c>
      <c r="I34" s="95">
        <v>1.58</v>
      </c>
      <c r="J34" s="95">
        <v>6.0000000000000001E-3</v>
      </c>
      <c r="K34" s="95">
        <v>0.23</v>
      </c>
      <c r="L34" s="95">
        <v>2.11</v>
      </c>
      <c r="O34" s="95">
        <v>999</v>
      </c>
      <c r="P34" s="95">
        <v>2023</v>
      </c>
      <c r="R34" s="95" t="s">
        <v>69</v>
      </c>
      <c r="S34" s="95" t="s">
        <v>70</v>
      </c>
    </row>
    <row r="35" spans="1:19" x14ac:dyDescent="0.2">
      <c r="A35" s="95" t="s">
        <v>73</v>
      </c>
      <c r="B35" s="95" t="s">
        <v>69</v>
      </c>
      <c r="C35" s="95" t="s">
        <v>67</v>
      </c>
      <c r="D35" s="95" t="s">
        <v>81</v>
      </c>
      <c r="E35" s="95" t="s">
        <v>90</v>
      </c>
      <c r="F35" s="95">
        <v>3.5</v>
      </c>
      <c r="G35" s="95">
        <v>13</v>
      </c>
      <c r="I35" s="95">
        <v>0.71</v>
      </c>
      <c r="J35" s="95">
        <v>7.0000000000000001E-3</v>
      </c>
      <c r="K35" s="95">
        <v>0.27</v>
      </c>
      <c r="L35" s="95">
        <v>1.22</v>
      </c>
      <c r="O35" s="95">
        <v>999</v>
      </c>
      <c r="P35" s="95">
        <v>2023</v>
      </c>
      <c r="R35" s="95" t="s">
        <v>69</v>
      </c>
      <c r="S35" s="95" t="s">
        <v>70</v>
      </c>
    </row>
    <row r="36" spans="1:19" x14ac:dyDescent="0.2">
      <c r="A36" s="95" t="s">
        <v>73</v>
      </c>
      <c r="B36" s="95" t="s">
        <v>69</v>
      </c>
      <c r="C36" s="95" t="s">
        <v>67</v>
      </c>
      <c r="D36" s="95" t="s">
        <v>81</v>
      </c>
      <c r="E36" s="95" t="s">
        <v>90</v>
      </c>
      <c r="F36" s="95">
        <v>3.5</v>
      </c>
      <c r="G36" s="95">
        <v>15</v>
      </c>
      <c r="I36" s="95">
        <v>0.53</v>
      </c>
      <c r="J36" s="95">
        <v>7.0000000000000001E-3</v>
      </c>
      <c r="K36" s="95">
        <v>0.27</v>
      </c>
      <c r="L36" s="95">
        <v>1.02</v>
      </c>
      <c r="O36" s="95">
        <v>999</v>
      </c>
      <c r="P36" s="95">
        <v>2023</v>
      </c>
      <c r="R36" s="95" t="s">
        <v>69</v>
      </c>
      <c r="S36" s="95" t="s">
        <v>70</v>
      </c>
    </row>
    <row r="37" spans="1:19" x14ac:dyDescent="0.2">
      <c r="A37" s="95" t="s">
        <v>73</v>
      </c>
      <c r="B37" s="95" t="s">
        <v>69</v>
      </c>
      <c r="C37" s="95" t="s">
        <v>67</v>
      </c>
      <c r="D37" s="95" t="s">
        <v>81</v>
      </c>
      <c r="E37" s="95" t="s">
        <v>90</v>
      </c>
      <c r="F37" s="95">
        <v>6</v>
      </c>
      <c r="G37" s="95">
        <v>19</v>
      </c>
      <c r="I37" s="95">
        <v>0.89</v>
      </c>
      <c r="J37" s="95">
        <v>5.0000000000000001E-3</v>
      </c>
      <c r="K37" s="95">
        <v>0.19</v>
      </c>
      <c r="L37" s="95">
        <v>1.29</v>
      </c>
      <c r="O37" s="95">
        <v>999</v>
      </c>
      <c r="P37" s="95">
        <v>2023</v>
      </c>
      <c r="R37" s="95" t="s">
        <v>69</v>
      </c>
      <c r="S37" s="95" t="s">
        <v>70</v>
      </c>
    </row>
    <row r="38" spans="1:19" x14ac:dyDescent="0.2">
      <c r="A38" s="95" t="s">
        <v>73</v>
      </c>
      <c r="B38" s="95" t="s">
        <v>69</v>
      </c>
      <c r="C38" s="95" t="s">
        <v>67</v>
      </c>
      <c r="D38" s="95" t="s">
        <v>81</v>
      </c>
      <c r="E38" s="95" t="s">
        <v>90</v>
      </c>
      <c r="F38" s="95">
        <v>6</v>
      </c>
      <c r="G38" s="95">
        <v>21</v>
      </c>
      <c r="I38" s="95">
        <v>1.26</v>
      </c>
      <c r="J38" s="95">
        <v>7.0000000000000001E-3</v>
      </c>
      <c r="K38" s="95">
        <v>0.27</v>
      </c>
      <c r="L38" s="95">
        <v>1.83</v>
      </c>
      <c r="O38" s="95">
        <v>999</v>
      </c>
      <c r="P38" s="95">
        <v>2023</v>
      </c>
      <c r="R38" s="95" t="s">
        <v>69</v>
      </c>
      <c r="S38" s="95" t="s">
        <v>70</v>
      </c>
    </row>
    <row r="39" spans="1:19" x14ac:dyDescent="0.2">
      <c r="A39" s="95" t="s">
        <v>73</v>
      </c>
      <c r="B39" s="95" t="s">
        <v>69</v>
      </c>
      <c r="C39" s="95" t="s">
        <v>67</v>
      </c>
      <c r="D39" s="95" t="s">
        <v>81</v>
      </c>
      <c r="E39" s="95" t="s">
        <v>90</v>
      </c>
      <c r="F39" s="95">
        <v>9</v>
      </c>
      <c r="G39" s="95">
        <v>30</v>
      </c>
      <c r="I39" s="95">
        <v>1.19</v>
      </c>
      <c r="J39" s="95">
        <v>6.0000000000000001E-3</v>
      </c>
      <c r="K39" s="95">
        <v>0.23</v>
      </c>
      <c r="L39" s="95">
        <v>1.68</v>
      </c>
      <c r="O39" s="95">
        <v>999</v>
      </c>
      <c r="P39" s="95">
        <v>2023</v>
      </c>
      <c r="R39" s="95" t="s">
        <v>69</v>
      </c>
      <c r="S39" s="95" t="s">
        <v>70</v>
      </c>
    </row>
    <row r="40" spans="1:19" x14ac:dyDescent="0.2">
      <c r="A40" s="95" t="s">
        <v>73</v>
      </c>
      <c r="B40" s="95" t="s">
        <v>69</v>
      </c>
      <c r="C40" s="95" t="s">
        <v>67</v>
      </c>
      <c r="D40" s="95" t="s">
        <v>68</v>
      </c>
      <c r="E40" s="95" t="s">
        <v>68</v>
      </c>
      <c r="F40" s="95">
        <v>3.5</v>
      </c>
      <c r="G40" s="95">
        <v>13</v>
      </c>
      <c r="I40" s="95">
        <v>0.59</v>
      </c>
      <c r="J40" s="95">
        <v>7.0000000000000001E-3</v>
      </c>
      <c r="K40" s="95">
        <v>0.27</v>
      </c>
      <c r="L40" s="95">
        <v>1.0900000000000001</v>
      </c>
      <c r="O40" s="95">
        <v>999</v>
      </c>
      <c r="P40" s="95">
        <v>2023</v>
      </c>
      <c r="R40" s="95" t="s">
        <v>69</v>
      </c>
      <c r="S40" s="95" t="s">
        <v>70</v>
      </c>
    </row>
    <row r="41" spans="1:19" x14ac:dyDescent="0.2">
      <c r="A41" s="95" t="s">
        <v>73</v>
      </c>
      <c r="B41" s="95" t="s">
        <v>69</v>
      </c>
      <c r="C41" s="95" t="s">
        <v>67</v>
      </c>
      <c r="D41" s="95" t="s">
        <v>68</v>
      </c>
      <c r="E41" s="95" t="s">
        <v>68</v>
      </c>
      <c r="F41" s="95">
        <v>3.5</v>
      </c>
      <c r="G41" s="95">
        <v>15</v>
      </c>
      <c r="I41" s="95">
        <v>0.92</v>
      </c>
      <c r="J41" s="95">
        <v>7.0000000000000001E-3</v>
      </c>
      <c r="K41" s="95">
        <v>0.27</v>
      </c>
      <c r="L41" s="95">
        <v>1.45</v>
      </c>
      <c r="O41" s="95">
        <v>999</v>
      </c>
      <c r="P41" s="95">
        <v>2023</v>
      </c>
      <c r="R41" s="95" t="s">
        <v>69</v>
      </c>
      <c r="S41" s="95" t="s">
        <v>70</v>
      </c>
    </row>
    <row r="42" spans="1:19" x14ac:dyDescent="0.2">
      <c r="A42" s="95" t="s">
        <v>73</v>
      </c>
      <c r="B42" s="95" t="s">
        <v>69</v>
      </c>
      <c r="C42" s="95" t="s">
        <v>67</v>
      </c>
      <c r="D42" s="95" t="s">
        <v>68</v>
      </c>
      <c r="E42" s="95" t="s">
        <v>68</v>
      </c>
      <c r="F42" s="95">
        <v>6</v>
      </c>
      <c r="G42" s="95">
        <v>19</v>
      </c>
      <c r="I42" s="95">
        <v>0.93</v>
      </c>
      <c r="J42" s="95">
        <v>6.0000000000000001E-3</v>
      </c>
      <c r="K42" s="95">
        <v>0.23</v>
      </c>
      <c r="L42" s="95">
        <v>1.39</v>
      </c>
      <c r="O42" s="95">
        <v>999</v>
      </c>
      <c r="P42" s="95">
        <v>2023</v>
      </c>
      <c r="R42" s="95" t="s">
        <v>69</v>
      </c>
      <c r="S42" s="95" t="s">
        <v>70</v>
      </c>
    </row>
    <row r="43" spans="1:19" x14ac:dyDescent="0.2">
      <c r="A43" s="95" t="s">
        <v>73</v>
      </c>
      <c r="B43" s="95" t="s">
        <v>69</v>
      </c>
      <c r="C43" s="95" t="s">
        <v>67</v>
      </c>
      <c r="D43" s="95" t="s">
        <v>68</v>
      </c>
      <c r="E43" s="95" t="s">
        <v>68</v>
      </c>
      <c r="F43" s="95">
        <v>9</v>
      </c>
      <c r="G43" s="95">
        <v>30</v>
      </c>
      <c r="I43" s="95">
        <v>1.5660000000000001</v>
      </c>
      <c r="J43" s="95">
        <v>7.0000000000000001E-3</v>
      </c>
      <c r="K43" s="95">
        <v>0.27</v>
      </c>
      <c r="L43" s="95">
        <v>2.16</v>
      </c>
      <c r="O43" s="95">
        <v>999</v>
      </c>
      <c r="P43" s="95">
        <v>2023</v>
      </c>
      <c r="R43" s="95" t="s">
        <v>69</v>
      </c>
      <c r="S43" s="95" t="s">
        <v>70</v>
      </c>
    </row>
    <row r="44" spans="1:19" x14ac:dyDescent="0.2">
      <c r="A44" s="95" t="s">
        <v>73</v>
      </c>
      <c r="B44" s="95" t="s">
        <v>69</v>
      </c>
      <c r="C44" s="95" t="s">
        <v>67</v>
      </c>
      <c r="D44" s="95" t="s">
        <v>68</v>
      </c>
      <c r="E44" s="95" t="s">
        <v>68</v>
      </c>
      <c r="F44" s="95">
        <v>12</v>
      </c>
      <c r="G44" s="95">
        <v>38</v>
      </c>
      <c r="I44" s="95">
        <v>1.82</v>
      </c>
      <c r="J44" s="95">
        <v>7.0000000000000001E-3</v>
      </c>
      <c r="K44" s="95">
        <v>0.27</v>
      </c>
      <c r="L44" s="95">
        <v>2.44</v>
      </c>
      <c r="O44" s="95">
        <v>999</v>
      </c>
      <c r="P44" s="95">
        <v>2023</v>
      </c>
      <c r="R44" s="95" t="s">
        <v>69</v>
      </c>
      <c r="S44" s="95" t="s">
        <v>70</v>
      </c>
    </row>
    <row r="45" spans="1:19" x14ac:dyDescent="0.2">
      <c r="A45" s="95" t="s">
        <v>73</v>
      </c>
      <c r="B45" s="95" t="s">
        <v>66</v>
      </c>
      <c r="C45" s="95" t="s">
        <v>91</v>
      </c>
      <c r="D45" s="95" t="s">
        <v>68</v>
      </c>
      <c r="E45" s="95" t="s">
        <v>68</v>
      </c>
      <c r="F45" s="95">
        <v>3.5</v>
      </c>
      <c r="G45" s="95">
        <v>15</v>
      </c>
      <c r="I45" s="95">
        <v>1.47</v>
      </c>
      <c r="J45" s="95">
        <v>5.0000000000000001E-3</v>
      </c>
      <c r="K45" s="95">
        <v>0.19</v>
      </c>
      <c r="L45" s="95">
        <v>1.93</v>
      </c>
      <c r="O45" s="95">
        <v>999</v>
      </c>
      <c r="P45" s="95">
        <v>2023</v>
      </c>
      <c r="R45" s="95" t="s">
        <v>92</v>
      </c>
      <c r="S45" s="95" t="s">
        <v>70</v>
      </c>
    </row>
    <row r="46" spans="1:19" x14ac:dyDescent="0.2">
      <c r="A46" s="95" t="s">
        <v>73</v>
      </c>
      <c r="B46" s="95" t="s">
        <v>66</v>
      </c>
      <c r="C46" s="95" t="s">
        <v>91</v>
      </c>
      <c r="D46" s="95" t="s">
        <v>68</v>
      </c>
      <c r="E46" s="95" t="s">
        <v>68</v>
      </c>
      <c r="F46" s="95">
        <v>5.5</v>
      </c>
      <c r="G46" s="95">
        <v>23</v>
      </c>
      <c r="I46" s="95">
        <v>2.31</v>
      </c>
      <c r="J46" s="95">
        <v>5.0000000000000001E-3</v>
      </c>
      <c r="K46" s="95">
        <v>0.19</v>
      </c>
      <c r="L46" s="95">
        <v>2.85</v>
      </c>
      <c r="O46" s="95">
        <v>999</v>
      </c>
      <c r="P46" s="95">
        <v>2023</v>
      </c>
      <c r="R46" s="95" t="s">
        <v>92</v>
      </c>
      <c r="S46" s="95" t="s">
        <v>70</v>
      </c>
    </row>
    <row r="47" spans="1:19" x14ac:dyDescent="0.2">
      <c r="A47" s="95" t="s">
        <v>73</v>
      </c>
      <c r="B47" s="95" t="s">
        <v>66</v>
      </c>
      <c r="C47" s="95" t="s">
        <v>91</v>
      </c>
      <c r="D47" s="95" t="s">
        <v>68</v>
      </c>
      <c r="E47" s="95" t="s">
        <v>68</v>
      </c>
      <c r="F47" s="95">
        <v>7.25</v>
      </c>
      <c r="G47" s="95">
        <v>30</v>
      </c>
      <c r="I47" s="95">
        <v>3.05</v>
      </c>
      <c r="J47" s="95">
        <v>6.0000000000000001E-3</v>
      </c>
      <c r="K47" s="95">
        <v>0.23</v>
      </c>
      <c r="L47" s="95">
        <v>3.72</v>
      </c>
      <c r="O47" s="95">
        <v>999</v>
      </c>
      <c r="P47" s="95">
        <v>2023</v>
      </c>
      <c r="R47" s="95" t="s">
        <v>92</v>
      </c>
      <c r="S47" s="95" t="s">
        <v>70</v>
      </c>
    </row>
    <row r="48" spans="1:19" x14ac:dyDescent="0.2">
      <c r="A48" s="95" t="s">
        <v>73</v>
      </c>
      <c r="B48" s="95" t="s">
        <v>66</v>
      </c>
      <c r="C48" s="95" t="s">
        <v>91</v>
      </c>
      <c r="D48" s="95" t="s">
        <v>68</v>
      </c>
      <c r="E48" s="95" t="s">
        <v>68</v>
      </c>
      <c r="G48" s="95">
        <v>13</v>
      </c>
      <c r="I48" s="95">
        <v>1.02</v>
      </c>
      <c r="J48" s="95">
        <v>5.0000000000000001E-3</v>
      </c>
      <c r="K48" s="95">
        <v>0.19</v>
      </c>
      <c r="L48" s="95">
        <v>1.43</v>
      </c>
      <c r="O48" s="95">
        <v>999</v>
      </c>
      <c r="P48" s="95">
        <v>2023</v>
      </c>
      <c r="R48" s="95" t="s">
        <v>92</v>
      </c>
      <c r="S48" s="95" t="s">
        <v>70</v>
      </c>
    </row>
    <row r="49" spans="1:19" x14ac:dyDescent="0.2">
      <c r="A49" s="95" t="s">
        <v>73</v>
      </c>
      <c r="B49" s="95" t="s">
        <v>66</v>
      </c>
      <c r="C49" s="95" t="s">
        <v>91</v>
      </c>
      <c r="D49" s="95" t="s">
        <v>68</v>
      </c>
      <c r="E49" s="95" t="s">
        <v>68</v>
      </c>
      <c r="G49" s="95">
        <v>19</v>
      </c>
      <c r="I49" s="95">
        <v>1.49</v>
      </c>
      <c r="J49" s="95">
        <v>5.0000000000000001E-3</v>
      </c>
      <c r="K49" s="95">
        <v>0.19</v>
      </c>
      <c r="L49" s="95">
        <v>1.95</v>
      </c>
      <c r="O49" s="95">
        <v>999</v>
      </c>
      <c r="P49" s="95">
        <v>2023</v>
      </c>
      <c r="R49" s="95" t="s">
        <v>92</v>
      </c>
      <c r="S49" s="95" t="s">
        <v>70</v>
      </c>
    </row>
    <row r="50" spans="1:19" x14ac:dyDescent="0.2">
      <c r="A50" s="95" t="s">
        <v>76</v>
      </c>
      <c r="B50" s="95" t="s">
        <v>66</v>
      </c>
      <c r="C50" s="95" t="s">
        <v>93</v>
      </c>
      <c r="D50" s="95" t="s">
        <v>68</v>
      </c>
      <c r="E50" s="95" t="s">
        <v>94</v>
      </c>
      <c r="F50" s="95">
        <v>4</v>
      </c>
      <c r="G50" s="95">
        <v>3.8</v>
      </c>
      <c r="I50" s="95">
        <v>0.17</v>
      </c>
      <c r="J50" s="95">
        <v>8.0000000000000002E-3</v>
      </c>
      <c r="K50" s="95">
        <v>0.31</v>
      </c>
      <c r="L50" s="95">
        <v>0.69</v>
      </c>
      <c r="O50" s="95">
        <v>999</v>
      </c>
      <c r="P50" s="95">
        <v>2023</v>
      </c>
      <c r="R50" s="95" t="s">
        <v>92</v>
      </c>
      <c r="S50" s="95" t="s">
        <v>70</v>
      </c>
    </row>
    <row r="51" spans="1:19" x14ac:dyDescent="0.2">
      <c r="A51" s="95" t="s">
        <v>76</v>
      </c>
      <c r="B51" s="95" t="s">
        <v>66</v>
      </c>
      <c r="C51" s="95" t="s">
        <v>93</v>
      </c>
      <c r="D51" s="95" t="s">
        <v>68</v>
      </c>
      <c r="E51" s="95" t="s">
        <v>94</v>
      </c>
      <c r="F51" s="95">
        <v>6</v>
      </c>
      <c r="G51" s="95">
        <v>3.8</v>
      </c>
      <c r="I51" s="95">
        <v>0.28999999999999998</v>
      </c>
      <c r="J51" s="95">
        <v>0.01</v>
      </c>
      <c r="K51" s="95">
        <v>0.39</v>
      </c>
      <c r="L51" s="95">
        <v>0.95</v>
      </c>
      <c r="O51" s="95">
        <v>999</v>
      </c>
      <c r="P51" s="95">
        <v>2023</v>
      </c>
      <c r="R51" s="95" t="s">
        <v>92</v>
      </c>
      <c r="S51" s="95" t="s">
        <v>70</v>
      </c>
    </row>
    <row r="52" spans="1:19" x14ac:dyDescent="0.2">
      <c r="A52" s="95" t="s">
        <v>76</v>
      </c>
      <c r="B52" s="95" t="s">
        <v>66</v>
      </c>
      <c r="C52" s="95" t="s">
        <v>67</v>
      </c>
      <c r="D52" s="95" t="s">
        <v>68</v>
      </c>
      <c r="E52" s="95" t="s">
        <v>94</v>
      </c>
      <c r="F52" s="95">
        <v>4</v>
      </c>
      <c r="G52" s="95">
        <v>4</v>
      </c>
      <c r="I52" s="95">
        <v>0.25</v>
      </c>
      <c r="J52" s="95">
        <v>1.2999999999999999E-2</v>
      </c>
      <c r="K52" s="95">
        <v>0.52</v>
      </c>
      <c r="L52" s="95">
        <v>1.1100000000000001</v>
      </c>
      <c r="O52" s="95">
        <v>999</v>
      </c>
      <c r="P52" s="95">
        <v>2023</v>
      </c>
      <c r="R52" s="95" t="s">
        <v>92</v>
      </c>
      <c r="S52" s="95" t="s">
        <v>70</v>
      </c>
    </row>
    <row r="53" spans="1:19" x14ac:dyDescent="0.2">
      <c r="A53" s="95" t="s">
        <v>76</v>
      </c>
      <c r="B53" s="95" t="s">
        <v>66</v>
      </c>
      <c r="C53" s="95" t="s">
        <v>67</v>
      </c>
      <c r="D53" s="95" t="s">
        <v>68</v>
      </c>
      <c r="E53" s="95" t="s">
        <v>94</v>
      </c>
      <c r="F53" s="95">
        <v>6</v>
      </c>
      <c r="G53" s="95">
        <v>4</v>
      </c>
      <c r="I53" s="95">
        <v>0.35</v>
      </c>
      <c r="J53" s="95">
        <v>0.02</v>
      </c>
      <c r="K53" s="95">
        <v>0.77</v>
      </c>
      <c r="L53" s="95">
        <v>1.64</v>
      </c>
      <c r="O53" s="95">
        <v>999</v>
      </c>
      <c r="P53" s="95">
        <v>2023</v>
      </c>
      <c r="R53" s="95" t="s">
        <v>92</v>
      </c>
      <c r="S53" s="95" t="s">
        <v>70</v>
      </c>
    </row>
    <row r="54" spans="1:19" x14ac:dyDescent="0.2">
      <c r="A54" s="95" t="s">
        <v>76</v>
      </c>
      <c r="B54" s="95" t="s">
        <v>66</v>
      </c>
      <c r="C54" s="95" t="s">
        <v>91</v>
      </c>
      <c r="D54" s="95" t="s">
        <v>68</v>
      </c>
      <c r="E54" s="95" t="s">
        <v>94</v>
      </c>
      <c r="F54" s="95">
        <v>4</v>
      </c>
      <c r="G54" s="95">
        <v>3</v>
      </c>
      <c r="I54" s="95">
        <v>0.3</v>
      </c>
      <c r="J54" s="95">
        <v>1.2999999999999999E-2</v>
      </c>
      <c r="K54" s="95">
        <v>0.52</v>
      </c>
      <c r="L54" s="95">
        <v>1.17</v>
      </c>
      <c r="O54" s="95">
        <v>999</v>
      </c>
      <c r="P54" s="95">
        <v>2023</v>
      </c>
      <c r="R54" s="95" t="s">
        <v>92</v>
      </c>
      <c r="S54" s="95" t="s">
        <v>70</v>
      </c>
    </row>
    <row r="55" spans="1:19" x14ac:dyDescent="0.2">
      <c r="A55" s="95" t="s">
        <v>76</v>
      </c>
      <c r="B55" s="95" t="s">
        <v>66</v>
      </c>
      <c r="C55" s="95" t="s">
        <v>91</v>
      </c>
      <c r="D55" s="95" t="s">
        <v>68</v>
      </c>
      <c r="E55" s="95" t="s">
        <v>94</v>
      </c>
      <c r="F55" s="95">
        <v>6</v>
      </c>
      <c r="G55" s="95">
        <v>3</v>
      </c>
      <c r="I55" s="95">
        <v>0.45</v>
      </c>
      <c r="J55" s="95">
        <v>0.02</v>
      </c>
      <c r="K55" s="95">
        <v>0.77</v>
      </c>
      <c r="L55" s="95">
        <v>1.76</v>
      </c>
      <c r="O55" s="95">
        <v>999</v>
      </c>
      <c r="P55" s="95">
        <v>2023</v>
      </c>
      <c r="R55" s="95" t="s">
        <v>92</v>
      </c>
      <c r="S55" s="95" t="s">
        <v>70</v>
      </c>
    </row>
    <row r="56" spans="1:19" x14ac:dyDescent="0.2">
      <c r="A56" s="95" t="s">
        <v>76</v>
      </c>
      <c r="B56" s="95" t="s">
        <v>66</v>
      </c>
      <c r="C56" s="95" t="s">
        <v>95</v>
      </c>
      <c r="D56" s="95" t="s">
        <v>68</v>
      </c>
      <c r="E56" s="95" t="s">
        <v>94</v>
      </c>
      <c r="F56" s="95">
        <v>4</v>
      </c>
      <c r="G56" s="95">
        <v>4</v>
      </c>
      <c r="I56" s="95">
        <v>0.63</v>
      </c>
      <c r="J56" s="95">
        <v>1.2999999999999999E-2</v>
      </c>
      <c r="K56" s="95">
        <v>0.52</v>
      </c>
      <c r="L56" s="95">
        <v>1.54</v>
      </c>
      <c r="O56" s="95">
        <v>999</v>
      </c>
      <c r="P56" s="95">
        <v>2023</v>
      </c>
      <c r="R56" s="95" t="s">
        <v>92</v>
      </c>
      <c r="S56" s="95" t="s">
        <v>70</v>
      </c>
    </row>
    <row r="57" spans="1:19" x14ac:dyDescent="0.2">
      <c r="A57" s="95" t="s">
        <v>76</v>
      </c>
      <c r="B57" s="95" t="s">
        <v>66</v>
      </c>
      <c r="C57" s="95" t="s">
        <v>95</v>
      </c>
      <c r="D57" s="95" t="s">
        <v>68</v>
      </c>
      <c r="E57" s="95" t="s">
        <v>94</v>
      </c>
      <c r="F57" s="95">
        <v>6</v>
      </c>
      <c r="G57" s="95">
        <v>4</v>
      </c>
      <c r="I57" s="95">
        <v>0.96</v>
      </c>
      <c r="J57" s="95">
        <v>0.02</v>
      </c>
      <c r="K57" s="95">
        <v>0.77</v>
      </c>
      <c r="L57" s="95">
        <v>1.54</v>
      </c>
      <c r="O57" s="95">
        <v>999</v>
      </c>
      <c r="P57" s="95">
        <v>2023</v>
      </c>
      <c r="R57" s="95" t="s">
        <v>92</v>
      </c>
      <c r="S57" s="95" t="s">
        <v>70</v>
      </c>
    </row>
    <row r="58" spans="1:19" x14ac:dyDescent="0.2">
      <c r="A58" s="95" t="s">
        <v>76</v>
      </c>
      <c r="B58" s="95" t="s">
        <v>66</v>
      </c>
      <c r="C58" s="95" t="s">
        <v>96</v>
      </c>
      <c r="D58" s="95" t="s">
        <v>68</v>
      </c>
      <c r="E58" s="95" t="s">
        <v>94</v>
      </c>
      <c r="F58" s="95">
        <v>4</v>
      </c>
      <c r="G58" s="95">
        <v>2.78</v>
      </c>
      <c r="I58" s="95">
        <v>1.05</v>
      </c>
      <c r="J58" s="95">
        <v>8.0000000000000002E-3</v>
      </c>
      <c r="K58" s="95">
        <v>0.31</v>
      </c>
      <c r="L58" s="95">
        <v>1.65</v>
      </c>
      <c r="O58" s="95">
        <v>999</v>
      </c>
      <c r="P58" s="95">
        <v>2023</v>
      </c>
      <c r="R58" s="95" t="s">
        <v>92</v>
      </c>
      <c r="S58" s="95" t="s">
        <v>70</v>
      </c>
    </row>
    <row r="59" spans="1:19" x14ac:dyDescent="0.2">
      <c r="A59" s="95" t="s">
        <v>76</v>
      </c>
      <c r="B59" s="95" t="s">
        <v>66</v>
      </c>
      <c r="C59" s="95" t="s">
        <v>96</v>
      </c>
      <c r="D59" s="95" t="s">
        <v>68</v>
      </c>
      <c r="E59" s="95" t="s">
        <v>94</v>
      </c>
      <c r="F59" s="95">
        <v>6</v>
      </c>
      <c r="G59" s="95">
        <v>2.78</v>
      </c>
      <c r="I59" s="95">
        <v>1.58</v>
      </c>
      <c r="J59" s="95">
        <v>0.01</v>
      </c>
      <c r="K59" s="95">
        <v>0.39</v>
      </c>
      <c r="L59" s="95">
        <v>2.36</v>
      </c>
      <c r="O59" s="95">
        <v>999</v>
      </c>
      <c r="P59" s="95">
        <v>2023</v>
      </c>
      <c r="R59" s="95" t="s">
        <v>92</v>
      </c>
      <c r="S59" s="95" t="s">
        <v>70</v>
      </c>
    </row>
    <row r="60" spans="1:19" x14ac:dyDescent="0.2">
      <c r="A60" s="95" t="s">
        <v>97</v>
      </c>
      <c r="B60" s="95" t="s">
        <v>66</v>
      </c>
      <c r="C60" s="95" t="s">
        <v>98</v>
      </c>
      <c r="D60" s="95" t="s">
        <v>68</v>
      </c>
      <c r="E60" s="95" t="s">
        <v>94</v>
      </c>
      <c r="F60" s="95">
        <v>1</v>
      </c>
      <c r="G60" s="95">
        <v>6.5</v>
      </c>
      <c r="I60" s="95">
        <v>0.86</v>
      </c>
      <c r="J60" s="95">
        <v>4.0000000000000001E-3</v>
      </c>
      <c r="K60" s="95">
        <v>0.12</v>
      </c>
      <c r="L60" s="95">
        <v>1.28</v>
      </c>
      <c r="O60" s="95">
        <v>999</v>
      </c>
      <c r="P60" s="95">
        <v>2023</v>
      </c>
      <c r="R60" s="95" t="s">
        <v>92</v>
      </c>
      <c r="S60" s="95" t="s">
        <v>70</v>
      </c>
    </row>
    <row r="61" spans="1:19" x14ac:dyDescent="0.2">
      <c r="A61" s="95" t="s">
        <v>97</v>
      </c>
      <c r="B61" s="95" t="s">
        <v>66</v>
      </c>
      <c r="C61" s="95" t="s">
        <v>98</v>
      </c>
      <c r="D61" s="95" t="s">
        <v>68</v>
      </c>
      <c r="E61" s="95" t="s">
        <v>94</v>
      </c>
      <c r="F61" s="95">
        <v>2</v>
      </c>
      <c r="G61" s="95">
        <v>13</v>
      </c>
      <c r="I61" s="95">
        <v>1.73</v>
      </c>
      <c r="J61" s="95">
        <v>8.0000000000000002E-3</v>
      </c>
      <c r="K61" s="95">
        <v>0.24</v>
      </c>
      <c r="L61" s="95">
        <v>2.57</v>
      </c>
      <c r="O61" s="95">
        <v>999</v>
      </c>
      <c r="P61" s="95">
        <v>2023</v>
      </c>
      <c r="R61" s="95" t="s">
        <v>92</v>
      </c>
      <c r="S61" s="95" t="s">
        <v>70</v>
      </c>
    </row>
    <row r="62" spans="1:19" x14ac:dyDescent="0.2">
      <c r="A62" s="95" t="s">
        <v>97</v>
      </c>
      <c r="B62" s="95" t="s">
        <v>66</v>
      </c>
      <c r="C62" s="95" t="s">
        <v>98</v>
      </c>
      <c r="D62" s="95" t="s">
        <v>68</v>
      </c>
      <c r="E62" s="95" t="s">
        <v>94</v>
      </c>
      <c r="F62" s="95">
        <v>3</v>
      </c>
      <c r="G62" s="95">
        <v>19.5</v>
      </c>
      <c r="I62" s="95">
        <v>2.59</v>
      </c>
      <c r="J62" s="95">
        <v>1.2E-2</v>
      </c>
      <c r="K62" s="95">
        <v>0.35</v>
      </c>
      <c r="L62" s="95">
        <v>3.85</v>
      </c>
      <c r="O62" s="95">
        <v>999</v>
      </c>
      <c r="P62" s="95">
        <v>2023</v>
      </c>
      <c r="R62" s="95" t="s">
        <v>92</v>
      </c>
      <c r="S62" s="95" t="s">
        <v>70</v>
      </c>
    </row>
    <row r="63" spans="1:19" x14ac:dyDescent="0.2">
      <c r="A63" s="95" t="s">
        <v>97</v>
      </c>
      <c r="B63" s="95" t="s">
        <v>66</v>
      </c>
      <c r="C63" s="95" t="s">
        <v>98</v>
      </c>
      <c r="D63" s="95" t="s">
        <v>68</v>
      </c>
      <c r="E63" s="95" t="s">
        <v>94</v>
      </c>
      <c r="F63" s="95">
        <v>3.5</v>
      </c>
      <c r="G63" s="95">
        <v>22.75</v>
      </c>
      <c r="I63" s="95">
        <v>3.02</v>
      </c>
      <c r="J63" s="95">
        <v>1.4E-2</v>
      </c>
      <c r="K63" s="95">
        <v>0.41</v>
      </c>
      <c r="L63" s="95">
        <v>4.4800000000000004</v>
      </c>
      <c r="O63" s="95">
        <v>999</v>
      </c>
      <c r="P63" s="95">
        <v>2023</v>
      </c>
      <c r="R63" s="95" t="s">
        <v>92</v>
      </c>
      <c r="S63" s="95" t="s">
        <v>70</v>
      </c>
    </row>
    <row r="64" spans="1:19" x14ac:dyDescent="0.2">
      <c r="A64" s="95" t="s">
        <v>97</v>
      </c>
      <c r="B64" s="95" t="s">
        <v>66</v>
      </c>
      <c r="C64" s="95" t="s">
        <v>98</v>
      </c>
      <c r="D64" s="95" t="s">
        <v>68</v>
      </c>
      <c r="E64" s="95" t="s">
        <v>94</v>
      </c>
      <c r="F64" s="95">
        <v>4</v>
      </c>
      <c r="G64" s="95">
        <v>26</v>
      </c>
      <c r="I64" s="95">
        <v>3.45</v>
      </c>
      <c r="J64" s="95">
        <v>1.6E-2</v>
      </c>
      <c r="K64" s="95">
        <v>0.47</v>
      </c>
      <c r="L64" s="95">
        <v>5.13</v>
      </c>
      <c r="O64" s="95">
        <v>999</v>
      </c>
      <c r="P64" s="95">
        <v>2023</v>
      </c>
      <c r="R64" s="95" t="s">
        <v>92</v>
      </c>
      <c r="S64" s="95" t="s">
        <v>70</v>
      </c>
    </row>
    <row r="65" spans="1:20" x14ac:dyDescent="0.2">
      <c r="A65" s="95" t="s">
        <v>97</v>
      </c>
      <c r="B65" s="95" t="s">
        <v>66</v>
      </c>
      <c r="C65" s="95" t="s">
        <v>98</v>
      </c>
      <c r="D65" s="95" t="s">
        <v>68</v>
      </c>
      <c r="E65" s="95" t="s">
        <v>94</v>
      </c>
      <c r="F65" s="95">
        <v>5</v>
      </c>
      <c r="G65" s="95">
        <v>32.5</v>
      </c>
      <c r="I65" s="95">
        <v>4.3099999999999996</v>
      </c>
      <c r="J65" s="95">
        <v>0.02</v>
      </c>
      <c r="K65" s="95">
        <v>0.59</v>
      </c>
      <c r="L65" s="95">
        <v>6.4</v>
      </c>
      <c r="O65" s="95">
        <v>999</v>
      </c>
      <c r="P65" s="95">
        <v>2023</v>
      </c>
      <c r="R65" s="95" t="s">
        <v>92</v>
      </c>
      <c r="S65" s="95" t="s">
        <v>70</v>
      </c>
    </row>
    <row r="66" spans="1:20" x14ac:dyDescent="0.2">
      <c r="A66" s="95" t="s">
        <v>97</v>
      </c>
      <c r="B66" s="95" t="s">
        <v>66</v>
      </c>
      <c r="C66" s="95" t="s">
        <v>98</v>
      </c>
      <c r="D66" s="95" t="s">
        <v>68</v>
      </c>
      <c r="E66" s="95" t="s">
        <v>94</v>
      </c>
      <c r="F66" s="95">
        <v>5.5</v>
      </c>
      <c r="G66" s="95">
        <v>35.75</v>
      </c>
      <c r="I66" s="95">
        <v>4.74</v>
      </c>
      <c r="J66" s="95">
        <v>2.1999999999999999E-2</v>
      </c>
      <c r="K66" s="95">
        <v>0.65</v>
      </c>
      <c r="L66" s="95">
        <v>7.03</v>
      </c>
      <c r="O66" s="95">
        <v>999</v>
      </c>
      <c r="P66" s="95">
        <v>2023</v>
      </c>
      <c r="R66" s="95" t="s">
        <v>92</v>
      </c>
      <c r="S66" s="95" t="s">
        <v>70</v>
      </c>
    </row>
    <row r="67" spans="1:20" x14ac:dyDescent="0.2">
      <c r="A67" s="95" t="s">
        <v>97</v>
      </c>
      <c r="B67" s="95" t="s">
        <v>66</v>
      </c>
      <c r="C67" s="95" t="s">
        <v>98</v>
      </c>
      <c r="D67" s="95" t="s">
        <v>68</v>
      </c>
      <c r="E67" s="95" t="s">
        <v>94</v>
      </c>
      <c r="F67" s="95">
        <v>6</v>
      </c>
      <c r="G67" s="95">
        <v>39</v>
      </c>
      <c r="I67" s="95">
        <v>5.2</v>
      </c>
      <c r="J67" s="95">
        <v>2.4E-2</v>
      </c>
      <c r="K67" s="95">
        <v>0.71</v>
      </c>
      <c r="L67" s="95">
        <v>7.69</v>
      </c>
      <c r="O67" s="95">
        <v>999</v>
      </c>
      <c r="P67" s="95">
        <v>2023</v>
      </c>
      <c r="R67" s="95" t="s">
        <v>92</v>
      </c>
      <c r="S67" s="95" t="s">
        <v>70</v>
      </c>
    </row>
    <row r="68" spans="1:20" x14ac:dyDescent="0.2">
      <c r="A68" s="95" t="s">
        <v>73</v>
      </c>
      <c r="B68" s="95" t="s">
        <v>66</v>
      </c>
      <c r="C68" s="95" t="s">
        <v>67</v>
      </c>
      <c r="D68" s="95" t="s">
        <v>81</v>
      </c>
      <c r="G68" s="95">
        <v>15</v>
      </c>
      <c r="I68" s="95">
        <v>0.79</v>
      </c>
      <c r="P68" s="95">
        <v>2023</v>
      </c>
      <c r="S68" s="95" t="s">
        <v>99</v>
      </c>
      <c r="T68" s="95" t="s">
        <v>100</v>
      </c>
    </row>
    <row r="69" spans="1:20" x14ac:dyDescent="0.2">
      <c r="A69" s="95" t="s">
        <v>73</v>
      </c>
      <c r="B69" s="95" t="s">
        <v>66</v>
      </c>
      <c r="C69" s="95" t="s">
        <v>67</v>
      </c>
      <c r="D69" s="95" t="s">
        <v>81</v>
      </c>
      <c r="G69" s="95">
        <v>21</v>
      </c>
      <c r="I69" s="95">
        <v>0.87</v>
      </c>
      <c r="P69" s="95">
        <v>2023</v>
      </c>
      <c r="S69" s="95" t="s">
        <v>99</v>
      </c>
      <c r="T69" s="95" t="s">
        <v>101</v>
      </c>
    </row>
    <row r="70" spans="1:20" x14ac:dyDescent="0.2">
      <c r="A70" s="95" t="s">
        <v>73</v>
      </c>
      <c r="B70" s="95" t="s">
        <v>66</v>
      </c>
      <c r="C70" s="95" t="s">
        <v>91</v>
      </c>
      <c r="G70" s="95">
        <v>13</v>
      </c>
      <c r="I70" s="95">
        <v>1.38</v>
      </c>
      <c r="P70" s="95">
        <v>2023</v>
      </c>
      <c r="S70" s="95" t="s">
        <v>99</v>
      </c>
      <c r="T70" s="95" t="s">
        <v>102</v>
      </c>
    </row>
    <row r="71" spans="1:20" x14ac:dyDescent="0.2">
      <c r="A71" s="95" t="s">
        <v>73</v>
      </c>
      <c r="B71" s="95" t="s">
        <v>66</v>
      </c>
      <c r="C71" s="95" t="s">
        <v>67</v>
      </c>
      <c r="D71" s="95" t="s">
        <v>81</v>
      </c>
      <c r="G71" s="95">
        <v>30</v>
      </c>
      <c r="I71" s="95">
        <v>1.08</v>
      </c>
      <c r="P71" s="95">
        <v>2023</v>
      </c>
      <c r="S71" s="95" t="s">
        <v>99</v>
      </c>
      <c r="T71" s="95" t="s">
        <v>103</v>
      </c>
    </row>
    <row r="72" spans="1:20" x14ac:dyDescent="0.2">
      <c r="A72" s="95" t="s">
        <v>73</v>
      </c>
      <c r="B72" s="95" t="s">
        <v>66</v>
      </c>
      <c r="C72" s="95" t="s">
        <v>67</v>
      </c>
      <c r="D72" s="95" t="s">
        <v>81</v>
      </c>
      <c r="G72" s="95">
        <v>38</v>
      </c>
      <c r="I72" s="95">
        <v>1.31</v>
      </c>
      <c r="P72" s="95">
        <v>2023</v>
      </c>
      <c r="S72" s="95" t="s">
        <v>99</v>
      </c>
      <c r="T72" s="95" t="s">
        <v>104</v>
      </c>
    </row>
    <row r="73" spans="1:20" x14ac:dyDescent="0.2">
      <c r="A73" s="95" t="s">
        <v>73</v>
      </c>
      <c r="B73" s="95" t="s">
        <v>66</v>
      </c>
      <c r="C73" s="95" t="s">
        <v>67</v>
      </c>
      <c r="D73" s="95" t="s">
        <v>81</v>
      </c>
      <c r="G73" s="95">
        <v>19</v>
      </c>
      <c r="I73" s="95">
        <v>0.73</v>
      </c>
      <c r="P73" s="95">
        <v>2023</v>
      </c>
      <c r="S73" s="95" t="s">
        <v>99</v>
      </c>
      <c r="T73" s="95" t="s">
        <v>105</v>
      </c>
    </row>
    <row r="74" spans="1:20" x14ac:dyDescent="0.2">
      <c r="A74" s="95" t="s">
        <v>73</v>
      </c>
      <c r="B74" s="95" t="s">
        <v>66</v>
      </c>
      <c r="C74" s="95" t="s">
        <v>91</v>
      </c>
      <c r="G74" s="95">
        <v>15</v>
      </c>
      <c r="I74" s="95">
        <v>1.58</v>
      </c>
      <c r="P74" s="95">
        <v>2023</v>
      </c>
      <c r="S74" s="95" t="s">
        <v>99</v>
      </c>
      <c r="T74" s="95" t="s">
        <v>106</v>
      </c>
    </row>
    <row r="75" spans="1:20" x14ac:dyDescent="0.2">
      <c r="A75" s="95" t="s">
        <v>73</v>
      </c>
      <c r="B75" s="95" t="s">
        <v>66</v>
      </c>
      <c r="C75" s="95" t="s">
        <v>67</v>
      </c>
      <c r="D75" s="95" t="s">
        <v>81</v>
      </c>
      <c r="G75" s="95">
        <v>13</v>
      </c>
      <c r="I75" s="95">
        <v>0.56999999999999995</v>
      </c>
      <c r="P75" s="95">
        <v>2023</v>
      </c>
      <c r="S75" s="95" t="s">
        <v>99</v>
      </c>
      <c r="T75" s="95" t="s">
        <v>107</v>
      </c>
    </row>
    <row r="76" spans="1:20" x14ac:dyDescent="0.2">
      <c r="A76" s="95" t="s">
        <v>73</v>
      </c>
      <c r="B76" s="95" t="s">
        <v>66</v>
      </c>
      <c r="C76" s="95" t="s">
        <v>67</v>
      </c>
      <c r="D76" s="95" t="s">
        <v>81</v>
      </c>
      <c r="G76" s="95">
        <v>13</v>
      </c>
      <c r="I76" s="95">
        <v>0.56999999999999995</v>
      </c>
      <c r="P76" s="95">
        <v>2023</v>
      </c>
      <c r="S76" s="95" t="s">
        <v>99</v>
      </c>
      <c r="T76" s="95" t="s">
        <v>108</v>
      </c>
    </row>
    <row r="77" spans="1:20" x14ac:dyDescent="0.2">
      <c r="A77" s="95" t="s">
        <v>73</v>
      </c>
      <c r="B77" s="95" t="s">
        <v>66</v>
      </c>
      <c r="C77" s="95" t="s">
        <v>67</v>
      </c>
      <c r="D77" s="95" t="s">
        <v>81</v>
      </c>
      <c r="G77" s="95">
        <v>13</v>
      </c>
      <c r="I77" s="95">
        <v>0.56999999999999995</v>
      </c>
      <c r="P77" s="95">
        <v>2023</v>
      </c>
      <c r="S77" s="95" t="s">
        <v>99</v>
      </c>
      <c r="T77" s="95" t="s">
        <v>109</v>
      </c>
    </row>
    <row r="78" spans="1:20" x14ac:dyDescent="0.2">
      <c r="A78" s="95" t="s">
        <v>73</v>
      </c>
      <c r="B78" s="95" t="s">
        <v>66</v>
      </c>
      <c r="C78" s="95" t="s">
        <v>91</v>
      </c>
      <c r="G78" s="95">
        <v>15</v>
      </c>
      <c r="I78" s="95">
        <v>1.31</v>
      </c>
      <c r="P78" s="95">
        <v>2023</v>
      </c>
      <c r="S78" s="95" t="s">
        <v>99</v>
      </c>
      <c r="T78" s="95" t="s">
        <v>110</v>
      </c>
    </row>
    <row r="79" spans="1:20" x14ac:dyDescent="0.2">
      <c r="A79" s="95" t="s">
        <v>73</v>
      </c>
      <c r="B79" s="95" t="s">
        <v>66</v>
      </c>
      <c r="C79" s="95" t="s">
        <v>67</v>
      </c>
      <c r="D79" s="95" t="s">
        <v>68</v>
      </c>
      <c r="G79" s="95">
        <v>13</v>
      </c>
      <c r="I79" s="95">
        <v>0.49</v>
      </c>
      <c r="P79" s="95">
        <v>2023</v>
      </c>
      <c r="S79" s="95" t="s">
        <v>99</v>
      </c>
      <c r="T79" s="95" t="s">
        <v>111</v>
      </c>
    </row>
    <row r="80" spans="1:20" x14ac:dyDescent="0.2">
      <c r="A80" s="95" t="s">
        <v>73</v>
      </c>
      <c r="B80" s="95" t="s">
        <v>66</v>
      </c>
      <c r="C80" s="95" t="s">
        <v>67</v>
      </c>
      <c r="D80" s="95" t="s">
        <v>81</v>
      </c>
      <c r="G80" s="95">
        <v>19</v>
      </c>
      <c r="I80" s="95">
        <v>0.99</v>
      </c>
      <c r="P80" s="95">
        <v>2023</v>
      </c>
      <c r="S80" s="95" t="s">
        <v>99</v>
      </c>
      <c r="T80" s="95" t="s">
        <v>112</v>
      </c>
    </row>
    <row r="81" spans="1:20" x14ac:dyDescent="0.2">
      <c r="A81" s="95" t="s">
        <v>73</v>
      </c>
      <c r="B81" s="95" t="s">
        <v>66</v>
      </c>
      <c r="C81" s="95" t="s">
        <v>67</v>
      </c>
      <c r="D81" s="95" t="s">
        <v>68</v>
      </c>
      <c r="G81" s="95">
        <v>19</v>
      </c>
      <c r="I81" s="95">
        <v>0.66</v>
      </c>
      <c r="P81" s="95">
        <v>2023</v>
      </c>
      <c r="S81" s="95" t="s">
        <v>99</v>
      </c>
      <c r="T81" s="95" t="s">
        <v>113</v>
      </c>
    </row>
    <row r="82" spans="1:20" x14ac:dyDescent="0.2">
      <c r="A82" s="95" t="s">
        <v>73</v>
      </c>
      <c r="B82" s="95" t="s">
        <v>66</v>
      </c>
      <c r="C82" s="95" t="s">
        <v>67</v>
      </c>
      <c r="D82" s="95" t="s">
        <v>68</v>
      </c>
      <c r="G82" s="95">
        <v>19</v>
      </c>
      <c r="I82" s="95">
        <v>7.52</v>
      </c>
      <c r="P82" s="95">
        <v>2023</v>
      </c>
      <c r="S82" s="95" t="s">
        <v>99</v>
      </c>
      <c r="T82" s="95" t="s">
        <v>114</v>
      </c>
    </row>
    <row r="83" spans="1:20" x14ac:dyDescent="0.2">
      <c r="A83" s="95" t="s">
        <v>73</v>
      </c>
      <c r="B83" s="95" t="s">
        <v>66</v>
      </c>
      <c r="C83" s="95" t="s">
        <v>67</v>
      </c>
      <c r="D83" s="95" t="s">
        <v>81</v>
      </c>
      <c r="G83" s="95">
        <v>49</v>
      </c>
      <c r="I83" s="95">
        <v>2.56</v>
      </c>
      <c r="P83" s="95">
        <v>2023</v>
      </c>
      <c r="S83" s="95" t="s">
        <v>99</v>
      </c>
      <c r="T83" s="95" t="s">
        <v>115</v>
      </c>
    </row>
    <row r="84" spans="1:20" x14ac:dyDescent="0.2">
      <c r="A84" s="95" t="s">
        <v>73</v>
      </c>
      <c r="B84" s="95" t="s">
        <v>66</v>
      </c>
      <c r="C84" s="95" t="s">
        <v>67</v>
      </c>
      <c r="D84" s="95" t="s">
        <v>81</v>
      </c>
      <c r="G84" s="95">
        <v>30</v>
      </c>
      <c r="I84" s="95">
        <v>1.17</v>
      </c>
      <c r="P84" s="95">
        <v>2023</v>
      </c>
      <c r="S84" s="95" t="s">
        <v>99</v>
      </c>
      <c r="T84" s="95" t="s">
        <v>116</v>
      </c>
    </row>
    <row r="85" spans="1:20" x14ac:dyDescent="0.2">
      <c r="A85" s="95" t="s">
        <v>73</v>
      </c>
      <c r="B85" s="95" t="s">
        <v>66</v>
      </c>
      <c r="C85" s="95" t="s">
        <v>91</v>
      </c>
      <c r="G85" s="95">
        <v>30</v>
      </c>
      <c r="I85" s="95">
        <v>3.75</v>
      </c>
      <c r="P85" s="95">
        <v>2023</v>
      </c>
      <c r="S85" s="95" t="s">
        <v>99</v>
      </c>
      <c r="T85" s="95" t="s">
        <v>117</v>
      </c>
    </row>
    <row r="86" spans="1:20" x14ac:dyDescent="0.2">
      <c r="A86" s="95" t="s">
        <v>73</v>
      </c>
      <c r="B86" s="95" t="s">
        <v>66</v>
      </c>
      <c r="C86" s="95" t="s">
        <v>91</v>
      </c>
      <c r="G86" s="95">
        <v>23</v>
      </c>
      <c r="I86" s="95">
        <v>1.52</v>
      </c>
      <c r="P86" s="95">
        <v>2023</v>
      </c>
      <c r="S86" s="95" t="s">
        <v>99</v>
      </c>
      <c r="T86" s="95" t="s">
        <v>118</v>
      </c>
    </row>
    <row r="87" spans="1:20" x14ac:dyDescent="0.2">
      <c r="A87" s="95" t="s">
        <v>73</v>
      </c>
      <c r="B87" s="95" t="s">
        <v>66</v>
      </c>
      <c r="C87" s="95" t="s">
        <v>91</v>
      </c>
      <c r="G87" s="95">
        <v>21</v>
      </c>
      <c r="I87" s="95">
        <v>2.65</v>
      </c>
      <c r="P87" s="95">
        <v>2023</v>
      </c>
      <c r="S87" s="95" t="s">
        <v>99</v>
      </c>
      <c r="T87" s="95" t="s">
        <v>119</v>
      </c>
    </row>
    <row r="88" spans="1:20" x14ac:dyDescent="0.2">
      <c r="A88" s="95" t="s">
        <v>73</v>
      </c>
      <c r="B88" s="95" t="s">
        <v>66</v>
      </c>
      <c r="C88" s="95" t="s">
        <v>67</v>
      </c>
      <c r="D88" s="95" t="s">
        <v>81</v>
      </c>
      <c r="G88" s="95">
        <v>38</v>
      </c>
      <c r="I88" s="95">
        <v>2.09</v>
      </c>
      <c r="P88" s="95">
        <v>2023</v>
      </c>
      <c r="S88" s="95" t="s">
        <v>99</v>
      </c>
      <c r="T88" s="95" t="s">
        <v>120</v>
      </c>
    </row>
    <row r="89" spans="1:20" x14ac:dyDescent="0.2">
      <c r="A89" s="95" t="s">
        <v>73</v>
      </c>
      <c r="B89" s="95" t="s">
        <v>66</v>
      </c>
      <c r="C89" s="95" t="s">
        <v>67</v>
      </c>
      <c r="D89" s="95" t="s">
        <v>81</v>
      </c>
      <c r="G89" s="95">
        <v>38</v>
      </c>
      <c r="I89" s="95">
        <v>2.23</v>
      </c>
      <c r="P89" s="95">
        <v>2023</v>
      </c>
      <c r="S89" s="95" t="s">
        <v>99</v>
      </c>
      <c r="T89" s="95" t="s">
        <v>121</v>
      </c>
    </row>
    <row r="90" spans="1:20" x14ac:dyDescent="0.2">
      <c r="A90" s="95" t="s">
        <v>73</v>
      </c>
      <c r="B90" s="95" t="s">
        <v>66</v>
      </c>
      <c r="C90" s="95" t="s">
        <v>67</v>
      </c>
      <c r="D90" s="95" t="s">
        <v>81</v>
      </c>
      <c r="G90" s="95">
        <v>21</v>
      </c>
      <c r="I90" s="95">
        <v>1.03</v>
      </c>
      <c r="P90" s="95">
        <v>2023</v>
      </c>
      <c r="S90" s="95" t="s">
        <v>99</v>
      </c>
      <c r="T90" s="95" t="s">
        <v>122</v>
      </c>
    </row>
    <row r="91" spans="1:20" x14ac:dyDescent="0.2">
      <c r="A91" s="95" t="s">
        <v>73</v>
      </c>
      <c r="B91" s="95" t="s">
        <v>66</v>
      </c>
      <c r="C91" s="95" t="s">
        <v>91</v>
      </c>
      <c r="G91" s="95">
        <v>30</v>
      </c>
      <c r="I91" s="95">
        <v>3.47</v>
      </c>
      <c r="P91" s="95">
        <v>2023</v>
      </c>
      <c r="S91" s="95" t="s">
        <v>99</v>
      </c>
      <c r="T91" s="95" t="s">
        <v>123</v>
      </c>
    </row>
    <row r="92" spans="1:20" x14ac:dyDescent="0.2">
      <c r="A92" s="95" t="s">
        <v>73</v>
      </c>
      <c r="B92" s="95" t="s">
        <v>66</v>
      </c>
      <c r="C92" s="95" t="s">
        <v>67</v>
      </c>
      <c r="D92" s="95" t="s">
        <v>81</v>
      </c>
      <c r="G92" s="95">
        <v>19</v>
      </c>
      <c r="I92" s="95">
        <v>0.65</v>
      </c>
      <c r="P92" s="95">
        <v>2023</v>
      </c>
      <c r="S92" s="95" t="s">
        <v>99</v>
      </c>
      <c r="T92" s="95" t="s">
        <v>124</v>
      </c>
    </row>
    <row r="93" spans="1:20" x14ac:dyDescent="0.2">
      <c r="A93" s="95" t="s">
        <v>73</v>
      </c>
      <c r="B93" s="95" t="s">
        <v>66</v>
      </c>
      <c r="C93" s="95" t="s">
        <v>67</v>
      </c>
      <c r="D93" s="95" t="s">
        <v>81</v>
      </c>
      <c r="G93" s="95">
        <v>38</v>
      </c>
      <c r="I93" s="95">
        <v>1.65</v>
      </c>
      <c r="P93" s="95">
        <v>2023</v>
      </c>
      <c r="S93" s="95" t="s">
        <v>99</v>
      </c>
      <c r="T93" s="95" t="s">
        <v>125</v>
      </c>
    </row>
    <row r="94" spans="1:20" x14ac:dyDescent="0.2">
      <c r="A94" s="95" t="s">
        <v>73</v>
      </c>
      <c r="B94" s="95" t="s">
        <v>66</v>
      </c>
      <c r="C94" s="95" t="s">
        <v>67</v>
      </c>
      <c r="D94" s="95" t="s">
        <v>81</v>
      </c>
      <c r="G94" s="95">
        <v>30</v>
      </c>
      <c r="I94" s="95">
        <v>1.44</v>
      </c>
      <c r="P94" s="95">
        <v>2023</v>
      </c>
      <c r="S94" s="95" t="s">
        <v>99</v>
      </c>
      <c r="T94" s="95" t="s">
        <v>126</v>
      </c>
    </row>
    <row r="95" spans="1:20" x14ac:dyDescent="0.2">
      <c r="A95" s="95" t="s">
        <v>73</v>
      </c>
      <c r="B95" s="95" t="s">
        <v>66</v>
      </c>
      <c r="C95" s="95" t="s">
        <v>67</v>
      </c>
      <c r="D95" s="95" t="s">
        <v>81</v>
      </c>
      <c r="G95" s="95">
        <v>21</v>
      </c>
      <c r="I95" s="95">
        <v>1.31</v>
      </c>
      <c r="P95" s="95">
        <v>2023</v>
      </c>
      <c r="S95" s="95" t="s">
        <v>99</v>
      </c>
      <c r="T95" s="95" t="s">
        <v>127</v>
      </c>
    </row>
    <row r="96" spans="1:20" x14ac:dyDescent="0.2">
      <c r="A96" s="95" t="s">
        <v>73</v>
      </c>
      <c r="B96" s="95" t="s">
        <v>66</v>
      </c>
      <c r="C96" s="95" t="s">
        <v>67</v>
      </c>
      <c r="D96" s="95" t="s">
        <v>81</v>
      </c>
      <c r="G96" s="95">
        <v>21</v>
      </c>
      <c r="I96" s="95">
        <v>1.33</v>
      </c>
      <c r="P96" s="95">
        <v>2023</v>
      </c>
      <c r="S96" s="95" t="s">
        <v>99</v>
      </c>
      <c r="T96" s="95" t="s">
        <v>128</v>
      </c>
    </row>
    <row r="97" spans="1:20" x14ac:dyDescent="0.2">
      <c r="A97" s="95" t="s">
        <v>73</v>
      </c>
      <c r="B97" s="95" t="s">
        <v>66</v>
      </c>
      <c r="C97" s="95" t="s">
        <v>67</v>
      </c>
      <c r="D97" s="95" t="s">
        <v>68</v>
      </c>
      <c r="G97" s="95">
        <v>13</v>
      </c>
      <c r="I97" s="95">
        <v>0.68</v>
      </c>
      <c r="P97" s="95">
        <v>2023</v>
      </c>
      <c r="S97" s="95" t="s">
        <v>99</v>
      </c>
      <c r="T97" s="95" t="s">
        <v>129</v>
      </c>
    </row>
    <row r="98" spans="1:20" x14ac:dyDescent="0.2">
      <c r="A98" s="95" t="s">
        <v>73</v>
      </c>
      <c r="B98" s="95" t="s">
        <v>66</v>
      </c>
      <c r="D98" s="95" t="s">
        <v>81</v>
      </c>
      <c r="G98" s="95">
        <v>49</v>
      </c>
      <c r="I98" s="95">
        <v>2.5099999999999998</v>
      </c>
      <c r="P98" s="95">
        <v>2023</v>
      </c>
      <c r="S98" s="95" t="s">
        <v>99</v>
      </c>
      <c r="T98" s="95" t="s">
        <v>130</v>
      </c>
    </row>
    <row r="99" spans="1:20" x14ac:dyDescent="0.2">
      <c r="A99" s="95" t="s">
        <v>73</v>
      </c>
      <c r="B99" s="95" t="s">
        <v>66</v>
      </c>
      <c r="C99" s="95" t="s">
        <v>67</v>
      </c>
      <c r="D99" s="95" t="s">
        <v>81</v>
      </c>
      <c r="G99" s="95">
        <v>15</v>
      </c>
      <c r="I99" s="95">
        <v>1.1499999999999999</v>
      </c>
      <c r="P99" s="95">
        <v>2023</v>
      </c>
      <c r="S99" s="95" t="s">
        <v>99</v>
      </c>
      <c r="T99" s="95" t="s">
        <v>131</v>
      </c>
    </row>
    <row r="100" spans="1:20" x14ac:dyDescent="0.2">
      <c r="A100" s="95" t="s">
        <v>73</v>
      </c>
      <c r="B100" s="95" t="s">
        <v>66</v>
      </c>
      <c r="C100" s="95" t="s">
        <v>67</v>
      </c>
      <c r="D100" s="95" t="s">
        <v>68</v>
      </c>
      <c r="G100" s="95">
        <v>19</v>
      </c>
      <c r="I100" s="95">
        <v>0.98</v>
      </c>
      <c r="P100" s="95">
        <v>2023</v>
      </c>
      <c r="S100" s="95" t="s">
        <v>99</v>
      </c>
      <c r="T100" s="95" t="s">
        <v>132</v>
      </c>
    </row>
    <row r="101" spans="1:20" x14ac:dyDescent="0.2">
      <c r="A101" s="95" t="s">
        <v>73</v>
      </c>
      <c r="B101" s="95" t="s">
        <v>66</v>
      </c>
      <c r="C101" s="95" t="s">
        <v>67</v>
      </c>
      <c r="D101" s="95" t="s">
        <v>81</v>
      </c>
      <c r="G101" s="95">
        <v>15</v>
      </c>
      <c r="I101" s="95">
        <v>1.1299999999999999</v>
      </c>
      <c r="P101" s="95">
        <v>2023</v>
      </c>
      <c r="S101" s="95" t="s">
        <v>99</v>
      </c>
      <c r="T101" s="95" t="s">
        <v>133</v>
      </c>
    </row>
    <row r="102" spans="1:20" x14ac:dyDescent="0.2">
      <c r="A102" s="95" t="s">
        <v>73</v>
      </c>
      <c r="B102" s="95" t="s">
        <v>66</v>
      </c>
      <c r="C102" s="95" t="s">
        <v>67</v>
      </c>
      <c r="D102" s="95" t="s">
        <v>68</v>
      </c>
      <c r="G102" s="95">
        <v>49</v>
      </c>
      <c r="I102" s="95">
        <v>2.37</v>
      </c>
      <c r="P102" s="95">
        <v>2023</v>
      </c>
      <c r="S102" s="95" t="s">
        <v>99</v>
      </c>
      <c r="T102" s="95" t="s">
        <v>134</v>
      </c>
    </row>
    <row r="103" spans="1:20" x14ac:dyDescent="0.2">
      <c r="A103" s="95" t="s">
        <v>73</v>
      </c>
      <c r="B103" s="95" t="s">
        <v>66</v>
      </c>
      <c r="C103" s="95" t="s">
        <v>67</v>
      </c>
      <c r="D103" s="95" t="s">
        <v>81</v>
      </c>
      <c r="G103" s="95">
        <v>30</v>
      </c>
      <c r="I103" s="95">
        <v>1.72</v>
      </c>
      <c r="P103" s="95">
        <v>2023</v>
      </c>
      <c r="S103" s="95" t="s">
        <v>99</v>
      </c>
      <c r="T103" s="95" t="s">
        <v>135</v>
      </c>
    </row>
    <row r="104" spans="1:20" x14ac:dyDescent="0.2">
      <c r="A104" s="95" t="s">
        <v>73</v>
      </c>
      <c r="B104" s="95" t="s">
        <v>66</v>
      </c>
      <c r="C104" s="95" t="s">
        <v>67</v>
      </c>
      <c r="D104" s="95" t="s">
        <v>68</v>
      </c>
      <c r="G104" s="95">
        <v>13</v>
      </c>
      <c r="I104" s="95">
        <v>0.68</v>
      </c>
      <c r="P104" s="95">
        <v>2023</v>
      </c>
      <c r="S104" s="95" t="s">
        <v>99</v>
      </c>
      <c r="T104" s="95" t="s">
        <v>136</v>
      </c>
    </row>
    <row r="105" spans="1:20" x14ac:dyDescent="0.2">
      <c r="A105" s="95" t="s">
        <v>73</v>
      </c>
      <c r="B105" s="95" t="s">
        <v>66</v>
      </c>
      <c r="C105" s="95" t="s">
        <v>67</v>
      </c>
      <c r="D105" s="95" t="s">
        <v>68</v>
      </c>
      <c r="G105" s="95">
        <v>19</v>
      </c>
      <c r="I105" s="95">
        <v>0.86</v>
      </c>
      <c r="P105" s="95">
        <v>2023</v>
      </c>
      <c r="S105" s="95" t="s">
        <v>99</v>
      </c>
      <c r="T105" s="95" t="s">
        <v>137</v>
      </c>
    </row>
    <row r="106" spans="1:20" x14ac:dyDescent="0.2">
      <c r="A106" s="95" t="s">
        <v>73</v>
      </c>
      <c r="B106" s="95" t="s">
        <v>66</v>
      </c>
      <c r="C106" s="95" t="s">
        <v>67</v>
      </c>
      <c r="D106" s="95" t="s">
        <v>68</v>
      </c>
      <c r="G106" s="95">
        <v>19</v>
      </c>
      <c r="I106" s="95">
        <v>1.1200000000000001</v>
      </c>
      <c r="P106" s="95">
        <v>2023</v>
      </c>
      <c r="S106" s="95" t="s">
        <v>99</v>
      </c>
      <c r="T106" s="95" t="s">
        <v>138</v>
      </c>
    </row>
    <row r="107" spans="1:20" x14ac:dyDescent="0.2">
      <c r="A107" s="95" t="s">
        <v>73</v>
      </c>
      <c r="B107" s="95" t="s">
        <v>66</v>
      </c>
      <c r="C107" s="95" t="s">
        <v>91</v>
      </c>
      <c r="G107" s="95">
        <v>21</v>
      </c>
      <c r="I107" s="95">
        <v>42.61</v>
      </c>
      <c r="P107" s="95">
        <v>2023</v>
      </c>
      <c r="S107" s="95" t="s">
        <v>99</v>
      </c>
      <c r="T107" s="95" t="s">
        <v>139</v>
      </c>
    </row>
    <row r="108" spans="1:20" x14ac:dyDescent="0.2">
      <c r="A108" s="95" t="s">
        <v>73</v>
      </c>
      <c r="B108" s="95" t="s">
        <v>66</v>
      </c>
      <c r="C108" s="95" t="s">
        <v>67</v>
      </c>
      <c r="D108" s="95" t="s">
        <v>68</v>
      </c>
      <c r="G108" s="95">
        <v>30</v>
      </c>
      <c r="I108" s="95">
        <v>1.36</v>
      </c>
      <c r="P108" s="95">
        <v>2023</v>
      </c>
      <c r="S108" s="95" t="s">
        <v>99</v>
      </c>
      <c r="T108" s="95" t="s">
        <v>140</v>
      </c>
    </row>
    <row r="109" spans="1:20" x14ac:dyDescent="0.2">
      <c r="A109" s="95" t="s">
        <v>73</v>
      </c>
      <c r="B109" s="95" t="s">
        <v>66</v>
      </c>
      <c r="C109" s="95" t="s">
        <v>67</v>
      </c>
      <c r="D109" s="95" t="s">
        <v>81</v>
      </c>
      <c r="G109" s="95">
        <v>13</v>
      </c>
      <c r="I109" s="95">
        <v>0.57999999999999996</v>
      </c>
      <c r="P109" s="95">
        <v>2023</v>
      </c>
      <c r="S109" s="95" t="s">
        <v>99</v>
      </c>
      <c r="T109" s="95" t="s">
        <v>141</v>
      </c>
    </row>
    <row r="110" spans="1:20" x14ac:dyDescent="0.2">
      <c r="A110" s="95" t="s">
        <v>73</v>
      </c>
      <c r="B110" s="95" t="s">
        <v>66</v>
      </c>
      <c r="C110" s="95" t="s">
        <v>67</v>
      </c>
      <c r="D110" s="95" t="s">
        <v>68</v>
      </c>
      <c r="G110" s="95">
        <v>13</v>
      </c>
      <c r="I110" s="95">
        <v>0.75</v>
      </c>
      <c r="P110" s="95">
        <v>2023</v>
      </c>
      <c r="S110" s="95" t="s">
        <v>99</v>
      </c>
      <c r="T110" s="95" t="s">
        <v>142</v>
      </c>
    </row>
    <row r="111" spans="1:20" x14ac:dyDescent="0.2">
      <c r="A111" s="95" t="s">
        <v>73</v>
      </c>
      <c r="B111" s="95" t="s">
        <v>66</v>
      </c>
      <c r="C111" s="95" t="s">
        <v>67</v>
      </c>
      <c r="D111" s="95" t="s">
        <v>81</v>
      </c>
      <c r="G111" s="95">
        <v>19</v>
      </c>
      <c r="I111" s="95">
        <v>1.02</v>
      </c>
      <c r="P111" s="95">
        <v>2023</v>
      </c>
      <c r="S111" s="95" t="s">
        <v>99</v>
      </c>
      <c r="T111" s="95" t="s">
        <v>143</v>
      </c>
    </row>
    <row r="112" spans="1:20" x14ac:dyDescent="0.2">
      <c r="A112" s="95" t="s">
        <v>73</v>
      </c>
      <c r="B112" s="95" t="s">
        <v>66</v>
      </c>
      <c r="C112" s="95" t="s">
        <v>67</v>
      </c>
      <c r="D112" s="95" t="s">
        <v>81</v>
      </c>
      <c r="G112" s="95">
        <v>19</v>
      </c>
      <c r="I112" s="95">
        <v>0.87</v>
      </c>
      <c r="P112" s="95">
        <v>2023</v>
      </c>
      <c r="S112" s="95" t="s">
        <v>99</v>
      </c>
      <c r="T112" s="95" t="s">
        <v>144</v>
      </c>
    </row>
    <row r="113" spans="1:20" x14ac:dyDescent="0.2">
      <c r="A113" s="95" t="s">
        <v>73</v>
      </c>
      <c r="B113" s="95" t="s">
        <v>66</v>
      </c>
      <c r="C113" s="95" t="s">
        <v>67</v>
      </c>
      <c r="D113" s="95" t="s">
        <v>81</v>
      </c>
      <c r="G113" s="95">
        <v>30</v>
      </c>
      <c r="I113" s="95">
        <v>1.33</v>
      </c>
      <c r="P113" s="95">
        <v>2023</v>
      </c>
      <c r="S113" s="95" t="s">
        <v>99</v>
      </c>
      <c r="T113" s="95" t="s">
        <v>145</v>
      </c>
    </row>
    <row r="114" spans="1:20" x14ac:dyDescent="0.2">
      <c r="A114" s="95" t="s">
        <v>73</v>
      </c>
      <c r="B114" s="95" t="s">
        <v>66</v>
      </c>
      <c r="C114" s="95" t="s">
        <v>91</v>
      </c>
      <c r="G114" s="95">
        <v>13</v>
      </c>
      <c r="I114" s="95">
        <v>23.26</v>
      </c>
      <c r="P114" s="95">
        <v>2023</v>
      </c>
      <c r="S114" s="95" t="s">
        <v>99</v>
      </c>
      <c r="T114" s="95" t="s">
        <v>146</v>
      </c>
    </row>
    <row r="115" spans="1:20" x14ac:dyDescent="0.2">
      <c r="A115" s="95" t="s">
        <v>73</v>
      </c>
      <c r="B115" s="95" t="s">
        <v>66</v>
      </c>
      <c r="C115" s="95" t="s">
        <v>67</v>
      </c>
      <c r="D115" s="95" t="s">
        <v>81</v>
      </c>
      <c r="G115" s="95">
        <v>19</v>
      </c>
      <c r="I115" s="95">
        <v>0.99</v>
      </c>
      <c r="P115" s="95">
        <v>2023</v>
      </c>
      <c r="S115" s="95" t="s">
        <v>99</v>
      </c>
      <c r="T115" s="95" t="s">
        <v>147</v>
      </c>
    </row>
    <row r="116" spans="1:20" x14ac:dyDescent="0.2">
      <c r="A116" s="95" t="s">
        <v>73</v>
      </c>
      <c r="B116" s="95" t="s">
        <v>66</v>
      </c>
      <c r="C116" s="95" t="s">
        <v>67</v>
      </c>
      <c r="D116" s="95" t="s">
        <v>68</v>
      </c>
      <c r="G116" s="95">
        <v>15</v>
      </c>
      <c r="I116" s="95">
        <v>1.27</v>
      </c>
      <c r="P116" s="95">
        <v>2023</v>
      </c>
      <c r="S116" s="95" t="s">
        <v>99</v>
      </c>
      <c r="T116" s="95" t="s">
        <v>148</v>
      </c>
    </row>
    <row r="117" spans="1:20" x14ac:dyDescent="0.2">
      <c r="A117" s="95" t="s">
        <v>73</v>
      </c>
      <c r="B117" s="95" t="s">
        <v>66</v>
      </c>
      <c r="C117" s="95" t="s">
        <v>67</v>
      </c>
      <c r="D117" s="95" t="s">
        <v>81</v>
      </c>
      <c r="G117" s="95">
        <v>13</v>
      </c>
      <c r="I117" s="95">
        <v>0.78</v>
      </c>
      <c r="P117" s="95">
        <v>2023</v>
      </c>
      <c r="S117" s="95" t="s">
        <v>99</v>
      </c>
      <c r="T117" s="95" t="s">
        <v>149</v>
      </c>
    </row>
    <row r="118" spans="1:20" x14ac:dyDescent="0.2">
      <c r="A118" s="95" t="s">
        <v>73</v>
      </c>
      <c r="B118" s="95" t="s">
        <v>66</v>
      </c>
      <c r="C118" s="95" t="s">
        <v>67</v>
      </c>
      <c r="D118" s="95" t="s">
        <v>68</v>
      </c>
      <c r="G118" s="95">
        <v>30</v>
      </c>
      <c r="I118" s="95">
        <v>1.74</v>
      </c>
      <c r="P118" s="95">
        <v>2023</v>
      </c>
      <c r="S118" s="95" t="s">
        <v>99</v>
      </c>
      <c r="T118" s="95" t="s">
        <v>150</v>
      </c>
    </row>
    <row r="119" spans="1:20" x14ac:dyDescent="0.2">
      <c r="A119" s="95" t="s">
        <v>73</v>
      </c>
      <c r="B119" s="95" t="s">
        <v>66</v>
      </c>
      <c r="G119" s="95">
        <v>19</v>
      </c>
      <c r="I119" s="95">
        <v>15.29</v>
      </c>
      <c r="P119" s="95">
        <v>2023</v>
      </c>
      <c r="S119" s="95" t="s">
        <v>99</v>
      </c>
      <c r="T119" s="95" t="s">
        <v>151</v>
      </c>
    </row>
    <row r="120" spans="1:20" x14ac:dyDescent="0.2">
      <c r="A120" s="95" t="s">
        <v>73</v>
      </c>
      <c r="B120" s="95" t="s">
        <v>66</v>
      </c>
      <c r="C120" s="95" t="s">
        <v>67</v>
      </c>
      <c r="D120" s="95" t="s">
        <v>81</v>
      </c>
      <c r="G120" s="95">
        <v>13</v>
      </c>
      <c r="I120" s="95">
        <v>0.42</v>
      </c>
      <c r="P120" s="95">
        <v>2023</v>
      </c>
      <c r="S120" s="95" t="s">
        <v>99</v>
      </c>
      <c r="T120" s="95" t="s">
        <v>152</v>
      </c>
    </row>
    <row r="121" spans="1:20" x14ac:dyDescent="0.2">
      <c r="A121" s="95" t="s">
        <v>73</v>
      </c>
      <c r="B121" s="95" t="s">
        <v>66</v>
      </c>
      <c r="C121" s="95" t="s">
        <v>67</v>
      </c>
      <c r="D121" s="95" t="s">
        <v>81</v>
      </c>
      <c r="G121" s="95">
        <v>19</v>
      </c>
      <c r="I121" s="95">
        <v>0.76</v>
      </c>
      <c r="P121" s="95">
        <v>2023</v>
      </c>
      <c r="S121" s="95" t="s">
        <v>99</v>
      </c>
      <c r="T121" s="95" t="s">
        <v>153</v>
      </c>
    </row>
    <row r="122" spans="1:20" x14ac:dyDescent="0.2">
      <c r="A122" s="95" t="s">
        <v>73</v>
      </c>
      <c r="B122" s="95" t="s">
        <v>66</v>
      </c>
      <c r="C122" s="95" t="s">
        <v>67</v>
      </c>
      <c r="D122" s="95" t="s">
        <v>68</v>
      </c>
      <c r="G122" s="95">
        <v>30</v>
      </c>
      <c r="I122" s="95">
        <v>1.1599999999999999</v>
      </c>
      <c r="P122" s="95">
        <v>2023</v>
      </c>
      <c r="S122" s="95" t="s">
        <v>99</v>
      </c>
      <c r="T122" s="95" t="s">
        <v>154</v>
      </c>
    </row>
    <row r="123" spans="1:20" x14ac:dyDescent="0.2">
      <c r="A123" s="95" t="s">
        <v>73</v>
      </c>
      <c r="B123" s="95" t="s">
        <v>66</v>
      </c>
      <c r="C123" s="95" t="s">
        <v>67</v>
      </c>
      <c r="D123" s="95" t="s">
        <v>81</v>
      </c>
      <c r="G123" s="95">
        <v>15</v>
      </c>
      <c r="I123" s="95">
        <v>1.1200000000000001</v>
      </c>
      <c r="P123" s="95">
        <v>2023</v>
      </c>
      <c r="S123" s="95" t="s">
        <v>99</v>
      </c>
      <c r="T123" s="95" t="s">
        <v>155</v>
      </c>
    </row>
    <row r="124" spans="1:20" x14ac:dyDescent="0.2">
      <c r="A124" s="95" t="s">
        <v>73</v>
      </c>
      <c r="B124" s="95" t="s">
        <v>66</v>
      </c>
      <c r="C124" s="95" t="s">
        <v>67</v>
      </c>
      <c r="D124" s="95" t="s">
        <v>68</v>
      </c>
      <c r="G124" s="95">
        <v>30</v>
      </c>
      <c r="I124" s="95">
        <v>1.47</v>
      </c>
      <c r="P124" s="95">
        <v>2023</v>
      </c>
      <c r="S124" s="95" t="s">
        <v>99</v>
      </c>
      <c r="T124" s="95" t="s">
        <v>156</v>
      </c>
    </row>
    <row r="125" spans="1:20" x14ac:dyDescent="0.2">
      <c r="A125" s="95" t="s">
        <v>73</v>
      </c>
      <c r="B125" s="95" t="s">
        <v>66</v>
      </c>
      <c r="C125" s="95" t="s">
        <v>67</v>
      </c>
      <c r="D125" s="95" t="s">
        <v>81</v>
      </c>
      <c r="G125" s="95">
        <v>19</v>
      </c>
      <c r="I125" s="95">
        <v>0.87</v>
      </c>
      <c r="P125" s="95">
        <v>2023</v>
      </c>
      <c r="S125" s="95" t="s">
        <v>99</v>
      </c>
      <c r="T125" s="95" t="s">
        <v>157</v>
      </c>
    </row>
    <row r="126" spans="1:20" x14ac:dyDescent="0.2">
      <c r="A126" s="95" t="s">
        <v>73</v>
      </c>
      <c r="B126" s="95" t="s">
        <v>66</v>
      </c>
      <c r="C126" s="95" t="s">
        <v>67</v>
      </c>
      <c r="D126" s="95" t="s">
        <v>81</v>
      </c>
      <c r="G126" s="95">
        <v>19</v>
      </c>
      <c r="I126" s="95">
        <v>0.97</v>
      </c>
      <c r="P126" s="95">
        <v>2023</v>
      </c>
      <c r="S126" s="95" t="s">
        <v>99</v>
      </c>
      <c r="T126" s="95" t="s">
        <v>158</v>
      </c>
    </row>
    <row r="127" spans="1:20" x14ac:dyDescent="0.2">
      <c r="A127" s="95" t="s">
        <v>73</v>
      </c>
      <c r="B127" s="95" t="s">
        <v>66</v>
      </c>
      <c r="C127" s="95" t="s">
        <v>67</v>
      </c>
      <c r="D127" s="95" t="s">
        <v>81</v>
      </c>
      <c r="G127" s="95">
        <v>13</v>
      </c>
      <c r="I127" s="95">
        <v>0.63</v>
      </c>
      <c r="P127" s="95">
        <v>2023</v>
      </c>
      <c r="S127" s="95" t="s">
        <v>99</v>
      </c>
      <c r="T127" s="95" t="s">
        <v>159</v>
      </c>
    </row>
    <row r="128" spans="1:20" x14ac:dyDescent="0.2">
      <c r="A128" s="95" t="s">
        <v>73</v>
      </c>
      <c r="B128" s="95" t="s">
        <v>66</v>
      </c>
      <c r="C128" s="95" t="s">
        <v>67</v>
      </c>
      <c r="D128" s="95" t="s">
        <v>68</v>
      </c>
      <c r="G128" s="95">
        <v>6</v>
      </c>
      <c r="I128" s="95">
        <v>1.87</v>
      </c>
      <c r="P128" s="95">
        <v>2023</v>
      </c>
      <c r="S128" s="95" t="s">
        <v>99</v>
      </c>
      <c r="T128" s="95" t="s">
        <v>160</v>
      </c>
    </row>
    <row r="129" spans="1:20" x14ac:dyDescent="0.2">
      <c r="A129" s="95" t="s">
        <v>73</v>
      </c>
      <c r="B129" s="95" t="s">
        <v>66</v>
      </c>
      <c r="C129" s="95" t="s">
        <v>67</v>
      </c>
      <c r="D129" s="95" t="s">
        <v>68</v>
      </c>
      <c r="G129" s="95">
        <v>30</v>
      </c>
      <c r="I129" s="95">
        <v>1.24</v>
      </c>
      <c r="P129" s="95">
        <v>2023</v>
      </c>
      <c r="S129" s="95" t="s">
        <v>99</v>
      </c>
      <c r="T129" s="95" t="s">
        <v>161</v>
      </c>
    </row>
    <row r="130" spans="1:20" x14ac:dyDescent="0.2">
      <c r="A130" s="95" t="s">
        <v>73</v>
      </c>
      <c r="B130" s="95" t="s">
        <v>66</v>
      </c>
      <c r="C130" s="95" t="s">
        <v>67</v>
      </c>
      <c r="D130" s="95" t="s">
        <v>68</v>
      </c>
      <c r="G130" s="95">
        <v>30</v>
      </c>
      <c r="I130" s="95">
        <v>19.57</v>
      </c>
      <c r="P130" s="95">
        <v>2023</v>
      </c>
      <c r="S130" s="95" t="s">
        <v>99</v>
      </c>
      <c r="T130" s="95" t="s">
        <v>162</v>
      </c>
    </row>
    <row r="131" spans="1:20" x14ac:dyDescent="0.2">
      <c r="A131" s="95" t="s">
        <v>73</v>
      </c>
      <c r="B131" s="95" t="s">
        <v>66</v>
      </c>
      <c r="C131" s="95" t="s">
        <v>67</v>
      </c>
      <c r="D131" s="95" t="s">
        <v>81</v>
      </c>
      <c r="G131" s="95">
        <v>13</v>
      </c>
      <c r="I131" s="95">
        <v>0.82</v>
      </c>
      <c r="P131" s="95">
        <v>2023</v>
      </c>
      <c r="S131" s="95" t="s">
        <v>99</v>
      </c>
      <c r="T131" s="95" t="s">
        <v>163</v>
      </c>
    </row>
    <row r="132" spans="1:20" x14ac:dyDescent="0.2">
      <c r="A132" s="95" t="s">
        <v>73</v>
      </c>
      <c r="B132" s="95" t="s">
        <v>66</v>
      </c>
      <c r="C132" s="95" t="s">
        <v>67</v>
      </c>
      <c r="D132" s="95" t="s">
        <v>81</v>
      </c>
      <c r="G132" s="95">
        <v>30</v>
      </c>
      <c r="I132" s="95">
        <v>1.43</v>
      </c>
      <c r="P132" s="95">
        <v>2023</v>
      </c>
      <c r="S132" s="95" t="s">
        <v>99</v>
      </c>
      <c r="T132" s="95" t="s">
        <v>164</v>
      </c>
    </row>
    <row r="133" spans="1:20" x14ac:dyDescent="0.2">
      <c r="A133" s="95" t="s">
        <v>73</v>
      </c>
      <c r="B133" s="95" t="s">
        <v>66</v>
      </c>
      <c r="C133" s="95" t="s">
        <v>67</v>
      </c>
      <c r="D133" s="95" t="s">
        <v>81</v>
      </c>
      <c r="G133" s="95">
        <v>13</v>
      </c>
      <c r="I133" s="95">
        <v>0.84</v>
      </c>
      <c r="P133" s="95">
        <v>2023</v>
      </c>
      <c r="S133" s="95" t="s">
        <v>99</v>
      </c>
      <c r="T133" s="95" t="s">
        <v>165</v>
      </c>
    </row>
    <row r="134" spans="1:20" x14ac:dyDescent="0.2">
      <c r="A134" s="95" t="s">
        <v>73</v>
      </c>
      <c r="B134" s="95" t="s">
        <v>66</v>
      </c>
      <c r="C134" s="95" t="s">
        <v>67</v>
      </c>
      <c r="D134" s="95" t="s">
        <v>81</v>
      </c>
      <c r="G134" s="95">
        <v>19</v>
      </c>
      <c r="I134" s="95">
        <v>0.85</v>
      </c>
      <c r="P134" s="95">
        <v>2023</v>
      </c>
      <c r="S134" s="95" t="s">
        <v>99</v>
      </c>
      <c r="T134" s="95" t="s">
        <v>166</v>
      </c>
    </row>
    <row r="135" spans="1:20" x14ac:dyDescent="0.2">
      <c r="A135" s="95" t="s">
        <v>73</v>
      </c>
      <c r="B135" s="95" t="s">
        <v>66</v>
      </c>
      <c r="C135" s="95" t="s">
        <v>67</v>
      </c>
      <c r="D135" s="95" t="s">
        <v>81</v>
      </c>
      <c r="G135" s="95">
        <v>19</v>
      </c>
      <c r="I135" s="95">
        <v>1.26</v>
      </c>
      <c r="P135" s="95">
        <v>2023</v>
      </c>
      <c r="S135" s="95" t="s">
        <v>99</v>
      </c>
      <c r="T135" s="95" t="s">
        <v>167</v>
      </c>
    </row>
    <row r="136" spans="1:20" x14ac:dyDescent="0.2">
      <c r="A136" s="95" t="s">
        <v>73</v>
      </c>
      <c r="B136" s="95" t="s">
        <v>66</v>
      </c>
      <c r="C136" s="95" t="s">
        <v>67</v>
      </c>
      <c r="D136" s="95" t="s">
        <v>68</v>
      </c>
      <c r="G136" s="95">
        <v>30</v>
      </c>
      <c r="I136" s="95">
        <v>1.48</v>
      </c>
      <c r="P136" s="95">
        <v>2023</v>
      </c>
      <c r="S136" s="95" t="s">
        <v>99</v>
      </c>
      <c r="T136" s="95" t="s">
        <v>168</v>
      </c>
    </row>
    <row r="137" spans="1:20" x14ac:dyDescent="0.2">
      <c r="A137" s="95" t="s">
        <v>73</v>
      </c>
      <c r="B137" s="95" t="s">
        <v>66</v>
      </c>
      <c r="C137" s="95" t="s">
        <v>67</v>
      </c>
      <c r="D137" s="95" t="s">
        <v>81</v>
      </c>
      <c r="G137" s="95">
        <v>19</v>
      </c>
      <c r="I137" s="95">
        <v>1.1499999999999999</v>
      </c>
      <c r="P137" s="95">
        <v>2023</v>
      </c>
      <c r="S137" s="95" t="s">
        <v>99</v>
      </c>
      <c r="T137" s="95" t="s">
        <v>169</v>
      </c>
    </row>
    <row r="138" spans="1:20" x14ac:dyDescent="0.2">
      <c r="A138" s="95" t="s">
        <v>73</v>
      </c>
      <c r="B138" s="95" t="s">
        <v>66</v>
      </c>
      <c r="C138" s="95" t="s">
        <v>67</v>
      </c>
      <c r="D138" s="95" t="s">
        <v>81</v>
      </c>
      <c r="G138" s="95">
        <v>13</v>
      </c>
      <c r="I138" s="95">
        <v>0.96</v>
      </c>
      <c r="P138" s="95">
        <v>2023</v>
      </c>
      <c r="S138" s="95" t="s">
        <v>99</v>
      </c>
      <c r="T138" s="95" t="s">
        <v>170</v>
      </c>
    </row>
    <row r="139" spans="1:20" x14ac:dyDescent="0.2">
      <c r="A139" s="95" t="s">
        <v>73</v>
      </c>
      <c r="B139" s="95" t="s">
        <v>66</v>
      </c>
      <c r="C139" s="95" t="s">
        <v>67</v>
      </c>
      <c r="D139" s="95" t="s">
        <v>81</v>
      </c>
      <c r="G139" s="95">
        <v>19</v>
      </c>
      <c r="I139" s="95">
        <v>1.08</v>
      </c>
      <c r="P139" s="95">
        <v>2023</v>
      </c>
      <c r="S139" s="95" t="s">
        <v>99</v>
      </c>
      <c r="T139" s="95" t="s">
        <v>171</v>
      </c>
    </row>
    <row r="140" spans="1:20" x14ac:dyDescent="0.2">
      <c r="A140" s="95" t="s">
        <v>73</v>
      </c>
      <c r="B140" s="95" t="s">
        <v>66</v>
      </c>
      <c r="C140" s="95" t="s">
        <v>67</v>
      </c>
      <c r="D140" s="95" t="s">
        <v>68</v>
      </c>
      <c r="G140" s="95">
        <v>13</v>
      </c>
      <c r="I140" s="95">
        <v>0.93</v>
      </c>
      <c r="P140" s="95">
        <v>2023</v>
      </c>
      <c r="S140" s="95" t="s">
        <v>99</v>
      </c>
      <c r="T140" s="95" t="s">
        <v>172</v>
      </c>
    </row>
    <row r="141" spans="1:20" x14ac:dyDescent="0.2">
      <c r="A141" s="95" t="s">
        <v>73</v>
      </c>
      <c r="B141" s="95" t="s">
        <v>66</v>
      </c>
      <c r="C141" s="95" t="s">
        <v>67</v>
      </c>
      <c r="D141" s="95" t="s">
        <v>68</v>
      </c>
      <c r="G141" s="95">
        <v>7</v>
      </c>
      <c r="I141" s="95">
        <v>1.99</v>
      </c>
      <c r="P141" s="95">
        <v>2023</v>
      </c>
      <c r="S141" s="95" t="s">
        <v>99</v>
      </c>
      <c r="T141" s="95" t="s">
        <v>173</v>
      </c>
    </row>
    <row r="142" spans="1:20" x14ac:dyDescent="0.2">
      <c r="A142" s="95" t="s">
        <v>73</v>
      </c>
      <c r="B142" s="95" t="s">
        <v>66</v>
      </c>
      <c r="C142" s="95" t="s">
        <v>67</v>
      </c>
      <c r="D142" s="95" t="s">
        <v>68</v>
      </c>
      <c r="G142" s="95">
        <v>6</v>
      </c>
      <c r="I142" s="95">
        <v>95.58</v>
      </c>
      <c r="P142" s="95">
        <v>2023</v>
      </c>
      <c r="S142" s="95" t="s">
        <v>99</v>
      </c>
      <c r="T142" s="95" t="s">
        <v>174</v>
      </c>
    </row>
    <row r="143" spans="1:20" x14ac:dyDescent="0.2">
      <c r="A143" s="95" t="s">
        <v>73</v>
      </c>
      <c r="B143" s="95" t="s">
        <v>66</v>
      </c>
      <c r="C143" s="95" t="s">
        <v>67</v>
      </c>
      <c r="D143" s="95" t="s">
        <v>81</v>
      </c>
      <c r="G143" s="95">
        <v>13</v>
      </c>
      <c r="I143" s="95">
        <v>0.75</v>
      </c>
      <c r="P143" s="95">
        <v>2023</v>
      </c>
      <c r="S143" s="95" t="s">
        <v>99</v>
      </c>
      <c r="T143" s="95" t="s">
        <v>175</v>
      </c>
    </row>
    <row r="144" spans="1:20" x14ac:dyDescent="0.2">
      <c r="A144" s="95" t="s">
        <v>65</v>
      </c>
      <c r="B144" s="95" t="s">
        <v>66</v>
      </c>
      <c r="C144" s="95" t="s">
        <v>86</v>
      </c>
      <c r="D144" s="95" t="s">
        <v>68</v>
      </c>
      <c r="F144" s="95">
        <v>0.5</v>
      </c>
      <c r="G144" s="95">
        <v>3</v>
      </c>
      <c r="I144" s="95">
        <v>0.43687500000000001</v>
      </c>
      <c r="P144" s="95">
        <v>2023</v>
      </c>
      <c r="Q144" s="95" t="s">
        <v>176</v>
      </c>
      <c r="R144" s="95" t="s">
        <v>177</v>
      </c>
      <c r="S144" s="95" t="s">
        <v>99</v>
      </c>
      <c r="T144" s="95" t="s">
        <v>178</v>
      </c>
    </row>
    <row r="145" spans="1:20" x14ac:dyDescent="0.2">
      <c r="A145" s="95" t="s">
        <v>65</v>
      </c>
      <c r="B145" s="95" t="s">
        <v>66</v>
      </c>
      <c r="C145" s="95" t="s">
        <v>84</v>
      </c>
      <c r="D145" s="95" t="s">
        <v>81</v>
      </c>
      <c r="F145" s="95">
        <v>0.5</v>
      </c>
      <c r="G145" s="95">
        <v>3.2</v>
      </c>
      <c r="I145" s="95">
        <v>0.62250000000000005</v>
      </c>
      <c r="P145" s="95">
        <v>2023</v>
      </c>
      <c r="Q145" s="95" t="s">
        <v>179</v>
      </c>
      <c r="R145" s="95" t="s">
        <v>180</v>
      </c>
      <c r="S145" s="95" t="s">
        <v>99</v>
      </c>
      <c r="T145" s="95" t="s">
        <v>181</v>
      </c>
    </row>
    <row r="146" spans="1:20" x14ac:dyDescent="0.2">
      <c r="A146" s="95" t="s">
        <v>65</v>
      </c>
      <c r="B146" s="95" t="s">
        <v>66</v>
      </c>
      <c r="C146" s="95" t="s">
        <v>85</v>
      </c>
      <c r="D146" s="95" t="s">
        <v>81</v>
      </c>
      <c r="F146" s="95">
        <v>0.63</v>
      </c>
      <c r="G146" s="95">
        <v>3</v>
      </c>
      <c r="I146" s="95">
        <v>0.83250000000000002</v>
      </c>
      <c r="P146" s="95">
        <v>2023</v>
      </c>
      <c r="Q146" s="95" t="s">
        <v>182</v>
      </c>
      <c r="R146" s="95" t="s">
        <v>183</v>
      </c>
      <c r="S146" s="95" t="s">
        <v>99</v>
      </c>
      <c r="T146" s="95" t="s">
        <v>184</v>
      </c>
    </row>
    <row r="147" spans="1:20" x14ac:dyDescent="0.2">
      <c r="A147" s="95" t="s">
        <v>65</v>
      </c>
      <c r="B147" s="95" t="s">
        <v>66</v>
      </c>
      <c r="C147" s="95" t="s">
        <v>85</v>
      </c>
      <c r="D147" s="95" t="s">
        <v>68</v>
      </c>
      <c r="F147" s="95">
        <v>0.75</v>
      </c>
      <c r="G147" s="95">
        <v>2.65</v>
      </c>
      <c r="I147" s="95">
        <v>2.5950000000000002</v>
      </c>
      <c r="P147" s="95">
        <v>2023</v>
      </c>
      <c r="Q147" s="95" t="s">
        <v>185</v>
      </c>
      <c r="R147" s="95" t="s">
        <v>186</v>
      </c>
      <c r="S147" s="95" t="s">
        <v>99</v>
      </c>
      <c r="T147" s="95" t="s">
        <v>187</v>
      </c>
    </row>
    <row r="148" spans="1:20" x14ac:dyDescent="0.2">
      <c r="A148" s="95" t="s">
        <v>65</v>
      </c>
      <c r="B148" s="95" t="s">
        <v>66</v>
      </c>
      <c r="C148" s="95" t="s">
        <v>86</v>
      </c>
      <c r="D148" s="95" t="s">
        <v>68</v>
      </c>
      <c r="F148" s="95">
        <v>1</v>
      </c>
      <c r="G148" s="95">
        <v>5</v>
      </c>
      <c r="I148" s="95">
        <v>0.97875000000000001</v>
      </c>
      <c r="P148" s="95">
        <v>2023</v>
      </c>
      <c r="Q148" s="95" t="s">
        <v>188</v>
      </c>
      <c r="R148" s="95" t="s">
        <v>189</v>
      </c>
      <c r="S148" s="95" t="s">
        <v>99</v>
      </c>
      <c r="T148" s="95" t="s">
        <v>190</v>
      </c>
    </row>
    <row r="149" spans="1:20" x14ac:dyDescent="0.2">
      <c r="A149" s="95" t="s">
        <v>65</v>
      </c>
      <c r="B149" s="95" t="s">
        <v>66</v>
      </c>
      <c r="C149" s="95" t="s">
        <v>85</v>
      </c>
      <c r="D149" s="95" t="s">
        <v>81</v>
      </c>
      <c r="F149" s="95">
        <v>1</v>
      </c>
      <c r="G149" s="95">
        <v>3.85</v>
      </c>
      <c r="I149" s="95">
        <v>0.48781249999999998</v>
      </c>
      <c r="P149" s="95">
        <v>2023</v>
      </c>
      <c r="Q149" s="95" t="s">
        <v>191</v>
      </c>
      <c r="R149" s="95" t="s">
        <v>192</v>
      </c>
      <c r="S149" s="95" t="s">
        <v>99</v>
      </c>
      <c r="T149" s="95" t="s">
        <v>193</v>
      </c>
    </row>
    <row r="150" spans="1:20" x14ac:dyDescent="0.2">
      <c r="A150" s="95" t="s">
        <v>65</v>
      </c>
      <c r="B150" s="95" t="s">
        <v>66</v>
      </c>
      <c r="C150" s="95" t="s">
        <v>85</v>
      </c>
      <c r="D150" s="95" t="s">
        <v>81</v>
      </c>
      <c r="F150" s="95">
        <v>1</v>
      </c>
      <c r="G150" s="95">
        <v>5</v>
      </c>
      <c r="I150" s="95">
        <v>1.3891666666666669</v>
      </c>
      <c r="P150" s="95">
        <v>2023</v>
      </c>
      <c r="Q150" s="95" t="s">
        <v>194</v>
      </c>
      <c r="R150" s="95" t="s">
        <v>195</v>
      </c>
      <c r="S150" s="95" t="s">
        <v>99</v>
      </c>
      <c r="T150" s="95" t="s">
        <v>196</v>
      </c>
    </row>
    <row r="151" spans="1:20" x14ac:dyDescent="0.2">
      <c r="A151" s="95" t="s">
        <v>65</v>
      </c>
      <c r="B151" s="95" t="s">
        <v>66</v>
      </c>
      <c r="C151" s="95" t="s">
        <v>86</v>
      </c>
      <c r="D151" s="95" t="s">
        <v>68</v>
      </c>
      <c r="F151" s="95">
        <v>1</v>
      </c>
      <c r="G151" s="95">
        <v>5</v>
      </c>
      <c r="I151" s="95">
        <v>1.7450000000000001</v>
      </c>
      <c r="P151" s="95">
        <v>2023</v>
      </c>
      <c r="Q151" s="95" t="s">
        <v>16</v>
      </c>
      <c r="R151" s="95" t="s">
        <v>197</v>
      </c>
      <c r="S151" s="95" t="s">
        <v>99</v>
      </c>
      <c r="T151" s="95" t="s">
        <v>198</v>
      </c>
    </row>
    <row r="152" spans="1:20" x14ac:dyDescent="0.2">
      <c r="A152" s="95" t="s">
        <v>65</v>
      </c>
      <c r="B152" s="95" t="s">
        <v>66</v>
      </c>
      <c r="C152" s="95" t="s">
        <v>86</v>
      </c>
      <c r="D152" s="95" t="s">
        <v>81</v>
      </c>
      <c r="F152" s="95">
        <v>1</v>
      </c>
      <c r="G152" s="95">
        <v>5</v>
      </c>
      <c r="I152" s="95">
        <v>3.85</v>
      </c>
      <c r="P152" s="95">
        <v>2023</v>
      </c>
      <c r="Q152" s="95" t="s">
        <v>199</v>
      </c>
      <c r="R152" s="95" t="s">
        <v>200</v>
      </c>
      <c r="S152" s="95" t="s">
        <v>99</v>
      </c>
      <c r="T152" s="95" t="s">
        <v>201</v>
      </c>
    </row>
    <row r="153" spans="1:20" x14ac:dyDescent="0.2">
      <c r="A153" s="95" t="s">
        <v>65</v>
      </c>
      <c r="B153" s="95" t="s">
        <v>66</v>
      </c>
      <c r="C153" s="95" t="s">
        <v>86</v>
      </c>
      <c r="D153" s="95" t="s">
        <v>81</v>
      </c>
      <c r="F153" s="95">
        <v>1</v>
      </c>
      <c r="G153" s="95">
        <v>5</v>
      </c>
      <c r="I153" s="95">
        <v>3.66</v>
      </c>
      <c r="P153" s="95">
        <v>2023</v>
      </c>
      <c r="Q153" s="95" t="s">
        <v>199</v>
      </c>
      <c r="R153" s="95" t="s">
        <v>202</v>
      </c>
      <c r="S153" s="95" t="s">
        <v>99</v>
      </c>
      <c r="T153" s="95" t="s">
        <v>203</v>
      </c>
    </row>
    <row r="154" spans="1:20" x14ac:dyDescent="0.2">
      <c r="A154" s="95" t="s">
        <v>65</v>
      </c>
      <c r="B154" s="95" t="s">
        <v>66</v>
      </c>
      <c r="C154" s="95" t="s">
        <v>86</v>
      </c>
      <c r="D154" s="95" t="s">
        <v>81</v>
      </c>
      <c r="F154" s="95">
        <v>1</v>
      </c>
      <c r="G154" s="95">
        <v>5</v>
      </c>
      <c r="I154" s="95">
        <v>3.9950000000000001</v>
      </c>
      <c r="P154" s="95">
        <v>2023</v>
      </c>
      <c r="Q154" s="95" t="s">
        <v>199</v>
      </c>
      <c r="R154" s="95" t="s">
        <v>204</v>
      </c>
      <c r="S154" s="95" t="s">
        <v>99</v>
      </c>
      <c r="T154" s="95" t="s">
        <v>205</v>
      </c>
    </row>
    <row r="155" spans="1:20" x14ac:dyDescent="0.2">
      <c r="A155" s="95" t="s">
        <v>65</v>
      </c>
      <c r="B155" s="95" t="s">
        <v>66</v>
      </c>
      <c r="C155" s="95" t="s">
        <v>86</v>
      </c>
      <c r="D155" s="95" t="s">
        <v>68</v>
      </c>
      <c r="F155" s="95">
        <v>1.5</v>
      </c>
      <c r="G155" s="95">
        <v>7.5</v>
      </c>
      <c r="I155" s="95">
        <v>1.1131249999999999</v>
      </c>
      <c r="P155" s="95">
        <v>2023</v>
      </c>
      <c r="Q155" s="95" t="s">
        <v>199</v>
      </c>
      <c r="R155" s="95" t="s">
        <v>206</v>
      </c>
      <c r="S155" s="95" t="s">
        <v>99</v>
      </c>
      <c r="T155" s="95" t="s">
        <v>207</v>
      </c>
    </row>
    <row r="156" spans="1:20" x14ac:dyDescent="0.2">
      <c r="A156" s="95" t="s">
        <v>65</v>
      </c>
      <c r="B156" s="95" t="s">
        <v>66</v>
      </c>
      <c r="C156" s="95" t="s">
        <v>85</v>
      </c>
      <c r="D156" s="95" t="s">
        <v>81</v>
      </c>
      <c r="F156" s="95">
        <v>1.5</v>
      </c>
      <c r="G156" s="95">
        <v>5.78</v>
      </c>
      <c r="I156" s="95">
        <v>0.65187499999999998</v>
      </c>
      <c r="P156" s="95">
        <v>2023</v>
      </c>
      <c r="Q156" s="95" t="s">
        <v>191</v>
      </c>
      <c r="R156" s="95" t="s">
        <v>208</v>
      </c>
      <c r="S156" s="95" t="s">
        <v>99</v>
      </c>
      <c r="T156" s="95" t="s">
        <v>209</v>
      </c>
    </row>
    <row r="157" spans="1:20" x14ac:dyDescent="0.2">
      <c r="A157" s="95" t="s">
        <v>65</v>
      </c>
      <c r="B157" s="95" t="s">
        <v>66</v>
      </c>
      <c r="C157" s="95" t="s">
        <v>86</v>
      </c>
      <c r="D157" s="95" t="s">
        <v>68</v>
      </c>
      <c r="F157" s="95">
        <v>2</v>
      </c>
      <c r="G157" s="95">
        <v>10</v>
      </c>
      <c r="I157" s="95">
        <v>1.89</v>
      </c>
      <c r="P157" s="95">
        <v>2023</v>
      </c>
      <c r="Q157" s="95" t="s">
        <v>210</v>
      </c>
      <c r="R157" s="95" t="s">
        <v>211</v>
      </c>
      <c r="S157" s="95" t="s">
        <v>99</v>
      </c>
      <c r="T157" s="95" t="s">
        <v>212</v>
      </c>
    </row>
    <row r="158" spans="1:20" x14ac:dyDescent="0.2">
      <c r="A158" s="95" t="s">
        <v>65</v>
      </c>
      <c r="B158" s="95" t="s">
        <v>66</v>
      </c>
      <c r="C158" s="95" t="s">
        <v>85</v>
      </c>
      <c r="D158" s="95" t="s">
        <v>81</v>
      </c>
      <c r="F158" s="95">
        <v>2</v>
      </c>
      <c r="G158" s="95">
        <v>7.7</v>
      </c>
      <c r="I158" s="95">
        <v>0.83218749999999997</v>
      </c>
      <c r="P158" s="95">
        <v>2023</v>
      </c>
      <c r="Q158" s="95" t="s">
        <v>191</v>
      </c>
      <c r="R158" s="95" t="s">
        <v>213</v>
      </c>
      <c r="S158" s="95" t="s">
        <v>99</v>
      </c>
      <c r="T158" s="95" t="s">
        <v>214</v>
      </c>
    </row>
    <row r="159" spans="1:20" x14ac:dyDescent="0.2">
      <c r="A159" s="95" t="s">
        <v>65</v>
      </c>
      <c r="B159" s="95" t="s">
        <v>66</v>
      </c>
      <c r="C159" s="95" t="s">
        <v>86</v>
      </c>
      <c r="D159" s="95" t="s">
        <v>68</v>
      </c>
      <c r="F159" s="95">
        <v>2</v>
      </c>
      <c r="G159" s="95">
        <v>10</v>
      </c>
      <c r="I159" s="95">
        <v>1.85625</v>
      </c>
      <c r="P159" s="95">
        <v>2023</v>
      </c>
      <c r="Q159" s="95" t="s">
        <v>176</v>
      </c>
      <c r="R159" s="95" t="s">
        <v>215</v>
      </c>
      <c r="S159" s="95" t="s">
        <v>99</v>
      </c>
      <c r="T159" s="95" t="s">
        <v>216</v>
      </c>
    </row>
    <row r="160" spans="1:20" x14ac:dyDescent="0.2">
      <c r="A160" s="95" t="s">
        <v>65</v>
      </c>
      <c r="B160" s="95" t="s">
        <v>66</v>
      </c>
      <c r="C160" s="95" t="s">
        <v>86</v>
      </c>
      <c r="D160" s="95" t="s">
        <v>68</v>
      </c>
      <c r="F160" s="95">
        <v>2</v>
      </c>
      <c r="G160" s="95">
        <v>10</v>
      </c>
      <c r="I160" s="95">
        <v>1.85625</v>
      </c>
      <c r="P160" s="95">
        <v>2023</v>
      </c>
      <c r="Q160" s="95" t="s">
        <v>217</v>
      </c>
      <c r="R160" s="95" t="s">
        <v>218</v>
      </c>
      <c r="S160" s="95" t="s">
        <v>99</v>
      </c>
      <c r="T160" s="95" t="s">
        <v>219</v>
      </c>
    </row>
    <row r="161" spans="1:20" x14ac:dyDescent="0.2">
      <c r="A161" s="95" t="s">
        <v>65</v>
      </c>
      <c r="B161" s="95" t="s">
        <v>66</v>
      </c>
      <c r="C161" s="95" t="s">
        <v>85</v>
      </c>
      <c r="D161" s="95" t="s">
        <v>81</v>
      </c>
      <c r="F161" s="95">
        <v>2</v>
      </c>
      <c r="G161" s="95">
        <v>10</v>
      </c>
      <c r="I161" s="95">
        <v>2.875</v>
      </c>
      <c r="P161" s="95">
        <v>2023</v>
      </c>
      <c r="Q161" s="95" t="s">
        <v>182</v>
      </c>
      <c r="R161" s="95" t="s">
        <v>220</v>
      </c>
      <c r="S161" s="95" t="s">
        <v>99</v>
      </c>
      <c r="T161" s="95" t="s">
        <v>221</v>
      </c>
    </row>
    <row r="162" spans="1:20" x14ac:dyDescent="0.2">
      <c r="A162" s="95" t="s">
        <v>65</v>
      </c>
      <c r="B162" s="95" t="s">
        <v>66</v>
      </c>
      <c r="C162" s="95" t="s">
        <v>86</v>
      </c>
      <c r="D162" s="95" t="s">
        <v>81</v>
      </c>
      <c r="F162" s="95">
        <v>2</v>
      </c>
      <c r="G162" s="95">
        <v>10</v>
      </c>
      <c r="I162" s="95">
        <v>5.2262500000000003</v>
      </c>
      <c r="P162" s="95">
        <v>2023</v>
      </c>
      <c r="Q162" s="95" t="s">
        <v>199</v>
      </c>
      <c r="R162" s="95" t="s">
        <v>222</v>
      </c>
      <c r="S162" s="95" t="s">
        <v>99</v>
      </c>
      <c r="T162" s="95" t="s">
        <v>223</v>
      </c>
    </row>
    <row r="163" spans="1:20" x14ac:dyDescent="0.2">
      <c r="A163" s="95" t="s">
        <v>65</v>
      </c>
      <c r="B163" s="95" t="s">
        <v>66</v>
      </c>
      <c r="C163" s="95" t="s">
        <v>86</v>
      </c>
      <c r="D163" s="95" t="s">
        <v>81</v>
      </c>
      <c r="F163" s="95">
        <v>2</v>
      </c>
      <c r="G163" s="95">
        <v>10</v>
      </c>
      <c r="I163" s="95">
        <v>4.9924999999999997</v>
      </c>
      <c r="P163" s="95">
        <v>2023</v>
      </c>
      <c r="Q163" s="95" t="s">
        <v>199</v>
      </c>
      <c r="R163" s="95" t="s">
        <v>224</v>
      </c>
      <c r="S163" s="95" t="s">
        <v>99</v>
      </c>
      <c r="T163" s="95" t="s">
        <v>225</v>
      </c>
    </row>
    <row r="164" spans="1:20" x14ac:dyDescent="0.2">
      <c r="A164" s="95" t="s">
        <v>65</v>
      </c>
      <c r="B164" s="95" t="s">
        <v>66</v>
      </c>
      <c r="C164" s="95" t="s">
        <v>86</v>
      </c>
      <c r="D164" s="95" t="s">
        <v>81</v>
      </c>
      <c r="F164" s="95">
        <v>2</v>
      </c>
      <c r="G164" s="95">
        <v>10</v>
      </c>
      <c r="I164" s="95">
        <v>5.15625</v>
      </c>
      <c r="P164" s="95">
        <v>2023</v>
      </c>
      <c r="Q164" s="95" t="s">
        <v>199</v>
      </c>
      <c r="R164" s="95" t="s">
        <v>226</v>
      </c>
      <c r="S164" s="95" t="s">
        <v>99</v>
      </c>
      <c r="T164" s="95" t="s">
        <v>227</v>
      </c>
    </row>
    <row r="165" spans="1:20" x14ac:dyDescent="0.2">
      <c r="A165" s="95" t="s">
        <v>65</v>
      </c>
      <c r="B165" s="95" t="s">
        <v>66</v>
      </c>
      <c r="C165" s="95" t="s">
        <v>85</v>
      </c>
      <c r="D165" s="95" t="s">
        <v>68</v>
      </c>
      <c r="F165" s="95">
        <v>2.38</v>
      </c>
      <c r="G165" s="95">
        <v>10</v>
      </c>
      <c r="I165" s="95">
        <v>2.5821874999999999</v>
      </c>
      <c r="P165" s="95">
        <v>2023</v>
      </c>
      <c r="Q165" s="95" t="s">
        <v>228</v>
      </c>
      <c r="R165" s="95" t="s">
        <v>229</v>
      </c>
      <c r="S165" s="95" t="s">
        <v>99</v>
      </c>
      <c r="T165" s="95" t="s">
        <v>230</v>
      </c>
    </row>
    <row r="166" spans="1:20" x14ac:dyDescent="0.2">
      <c r="A166" s="95" t="s">
        <v>97</v>
      </c>
      <c r="B166" s="95" t="s">
        <v>66</v>
      </c>
      <c r="C166" s="95" t="s">
        <v>239</v>
      </c>
      <c r="G166" s="95">
        <v>2</v>
      </c>
      <c r="H166" s="95">
        <v>3.7</v>
      </c>
      <c r="I166" s="95">
        <v>0.876</v>
      </c>
      <c r="P166" s="95">
        <v>2023</v>
      </c>
      <c r="R166" s="95" t="s">
        <v>240</v>
      </c>
      <c r="S166" s="95" t="s">
        <v>99</v>
      </c>
      <c r="T166" s="95" t="s">
        <v>241</v>
      </c>
    </row>
    <row r="167" spans="1:20" x14ac:dyDescent="0.2">
      <c r="A167" s="95" t="s">
        <v>97</v>
      </c>
      <c r="B167" s="95" t="s">
        <v>66</v>
      </c>
      <c r="C167" s="95" t="s">
        <v>252</v>
      </c>
      <c r="G167" s="95">
        <v>6.44</v>
      </c>
      <c r="I167" s="95">
        <v>1.9450000000000001</v>
      </c>
      <c r="P167" s="95">
        <v>2023</v>
      </c>
      <c r="R167" s="95" t="s">
        <v>242</v>
      </c>
      <c r="S167" s="95" t="s">
        <v>99</v>
      </c>
      <c r="T167" s="95" t="s">
        <v>243</v>
      </c>
    </row>
    <row r="168" spans="1:20" x14ac:dyDescent="0.2">
      <c r="A168" s="95" t="s">
        <v>97</v>
      </c>
      <c r="B168" s="95" t="s">
        <v>66</v>
      </c>
      <c r="C168" s="95" t="s">
        <v>239</v>
      </c>
      <c r="G168" s="95">
        <v>3.7</v>
      </c>
      <c r="I168" s="95">
        <v>1.0760000000000001</v>
      </c>
      <c r="P168" s="95">
        <v>2023</v>
      </c>
      <c r="R168" s="95" t="s">
        <v>244</v>
      </c>
      <c r="S168" s="95" t="s">
        <v>99</v>
      </c>
      <c r="T168" s="95" t="s">
        <v>245</v>
      </c>
    </row>
    <row r="169" spans="1:20" x14ac:dyDescent="0.2">
      <c r="A169" s="95" t="s">
        <v>97</v>
      </c>
      <c r="B169" s="95" t="s">
        <v>66</v>
      </c>
      <c r="C169" s="95" t="s">
        <v>239</v>
      </c>
      <c r="G169" s="95">
        <v>4.49</v>
      </c>
      <c r="H169" s="95">
        <v>4</v>
      </c>
      <c r="I169" s="95">
        <v>1.3759999999999999</v>
      </c>
      <c r="P169" s="95">
        <v>2023</v>
      </c>
      <c r="R169" s="95" t="s">
        <v>246</v>
      </c>
      <c r="S169" s="95" t="s">
        <v>99</v>
      </c>
      <c r="T169" s="95" t="s">
        <v>247</v>
      </c>
    </row>
    <row r="170" spans="1:20" x14ac:dyDescent="0.2">
      <c r="A170" s="95" t="s">
        <v>97</v>
      </c>
      <c r="B170" s="95" t="s">
        <v>66</v>
      </c>
      <c r="C170" s="95" t="s">
        <v>252</v>
      </c>
      <c r="G170" s="95">
        <v>6</v>
      </c>
      <c r="I170" s="95">
        <v>1.9450000000000001</v>
      </c>
      <c r="P170" s="95">
        <v>2023</v>
      </c>
      <c r="R170" s="95" t="s">
        <v>248</v>
      </c>
      <c r="S170" s="95" t="s">
        <v>99</v>
      </c>
      <c r="T170" s="95" t="s">
        <v>249</v>
      </c>
    </row>
    <row r="171" spans="1:20" x14ac:dyDescent="0.2">
      <c r="A171" s="95" t="s">
        <v>97</v>
      </c>
      <c r="B171" s="95" t="s">
        <v>66</v>
      </c>
      <c r="C171" s="95" t="s">
        <v>239</v>
      </c>
      <c r="G171" s="95">
        <v>4.5</v>
      </c>
      <c r="H171" s="95">
        <v>4</v>
      </c>
      <c r="I171" s="95">
        <v>1.536</v>
      </c>
      <c r="P171" s="95">
        <v>2023</v>
      </c>
      <c r="R171" s="95" t="s">
        <v>250</v>
      </c>
      <c r="S171" s="95" t="s">
        <v>99</v>
      </c>
      <c r="T171" s="95" t="s">
        <v>251</v>
      </c>
    </row>
    <row r="172" spans="1:20" x14ac:dyDescent="0.2">
      <c r="A172" s="95" t="s">
        <v>97</v>
      </c>
      <c r="B172" s="95" t="s">
        <v>66</v>
      </c>
      <c r="C172" s="95" t="s">
        <v>252</v>
      </c>
      <c r="G172" s="95">
        <v>6.5</v>
      </c>
      <c r="I172" s="95">
        <v>1.665</v>
      </c>
      <c r="P172" s="95">
        <v>2023</v>
      </c>
      <c r="R172" s="95" t="s">
        <v>253</v>
      </c>
      <c r="S172" s="95" t="s">
        <v>99</v>
      </c>
      <c r="T172" s="95" t="s">
        <v>254</v>
      </c>
    </row>
    <row r="173" spans="1:20" x14ac:dyDescent="0.2">
      <c r="A173" s="95" t="s">
        <v>97</v>
      </c>
      <c r="B173" s="95" t="s">
        <v>66</v>
      </c>
      <c r="C173" s="95" t="s">
        <v>239</v>
      </c>
      <c r="G173" s="95">
        <v>4.5</v>
      </c>
      <c r="H173" s="95">
        <v>4</v>
      </c>
      <c r="I173" s="95">
        <v>0.74750000000000005</v>
      </c>
      <c r="P173" s="95">
        <v>2023</v>
      </c>
      <c r="R173" s="95" t="s">
        <v>255</v>
      </c>
      <c r="S173" s="95" t="s">
        <v>99</v>
      </c>
      <c r="T173" s="95" t="s">
        <v>256</v>
      </c>
    </row>
    <row r="174" spans="1:20" x14ac:dyDescent="0.2">
      <c r="A174" s="95" t="s">
        <v>97</v>
      </c>
      <c r="B174" s="95" t="s">
        <v>66</v>
      </c>
      <c r="C174" s="95" t="s">
        <v>239</v>
      </c>
      <c r="G174" s="95">
        <v>2</v>
      </c>
      <c r="H174" s="95">
        <v>3.7</v>
      </c>
      <c r="I174" s="95">
        <v>0.92642857142857149</v>
      </c>
      <c r="P174" s="95">
        <v>2023</v>
      </c>
      <c r="R174" s="95" t="s">
        <v>257</v>
      </c>
      <c r="S174" s="95" t="s">
        <v>99</v>
      </c>
      <c r="T174" s="95" t="s">
        <v>258</v>
      </c>
    </row>
    <row r="175" spans="1:20" x14ac:dyDescent="0.2">
      <c r="A175" s="95" t="s">
        <v>97</v>
      </c>
      <c r="B175" s="95" t="s">
        <v>66</v>
      </c>
      <c r="C175" s="95" t="s">
        <v>239</v>
      </c>
      <c r="G175" s="95">
        <v>3.8</v>
      </c>
      <c r="I175" s="95">
        <v>1.4950000000000001</v>
      </c>
      <c r="P175" s="95">
        <v>2023</v>
      </c>
      <c r="R175" s="95" t="s">
        <v>259</v>
      </c>
      <c r="S175" s="95" t="s">
        <v>99</v>
      </c>
      <c r="T175" s="95" t="s">
        <v>260</v>
      </c>
    </row>
    <row r="176" spans="1:20" x14ac:dyDescent="0.2">
      <c r="A176" s="95" t="s">
        <v>97</v>
      </c>
      <c r="B176" s="95" t="s">
        <v>66</v>
      </c>
      <c r="C176" s="95" t="s">
        <v>239</v>
      </c>
      <c r="G176" s="95">
        <v>2</v>
      </c>
      <c r="H176" s="95">
        <v>3.7</v>
      </c>
      <c r="I176" s="95">
        <v>1.4970000000000001</v>
      </c>
      <c r="P176" s="95">
        <v>2023</v>
      </c>
      <c r="R176" s="95" t="s">
        <v>261</v>
      </c>
      <c r="S176" s="95" t="s">
        <v>99</v>
      </c>
      <c r="T176" s="95" t="s">
        <v>262</v>
      </c>
    </row>
    <row r="177" spans="1:20" x14ac:dyDescent="0.2">
      <c r="A177" s="95" t="s">
        <v>97</v>
      </c>
      <c r="B177" s="95" t="s">
        <v>66</v>
      </c>
      <c r="C177" s="95" t="s">
        <v>239</v>
      </c>
      <c r="G177" s="95">
        <v>4</v>
      </c>
      <c r="I177" s="95">
        <v>1.3283333333333334</v>
      </c>
      <c r="P177" s="95">
        <v>2023</v>
      </c>
      <c r="R177" s="95" t="s">
        <v>263</v>
      </c>
      <c r="S177" s="95" t="s">
        <v>99</v>
      </c>
      <c r="T177" s="95" t="s">
        <v>264</v>
      </c>
    </row>
    <row r="178" spans="1:20" x14ac:dyDescent="0.2">
      <c r="A178" s="95" t="s">
        <v>97</v>
      </c>
      <c r="B178" s="95" t="s">
        <v>66</v>
      </c>
      <c r="C178" s="95" t="s">
        <v>239</v>
      </c>
      <c r="G178" s="95">
        <v>3.7</v>
      </c>
      <c r="I178" s="95">
        <v>1.1960000000000002</v>
      </c>
      <c r="P178" s="95">
        <v>2023</v>
      </c>
      <c r="R178" s="95" t="s">
        <v>265</v>
      </c>
      <c r="S178" s="95" t="s">
        <v>99</v>
      </c>
      <c r="T178" s="95" t="s">
        <v>266</v>
      </c>
    </row>
    <row r="179" spans="1:20" x14ac:dyDescent="0.2">
      <c r="A179" s="95" t="s">
        <v>97</v>
      </c>
      <c r="B179" s="95" t="s">
        <v>66</v>
      </c>
      <c r="C179" s="95" t="s">
        <v>252</v>
      </c>
      <c r="G179" s="95">
        <v>14</v>
      </c>
      <c r="H179" s="95">
        <v>6.8</v>
      </c>
      <c r="I179" s="95">
        <v>1.6658153846153845</v>
      </c>
      <c r="P179" s="95">
        <v>2023</v>
      </c>
      <c r="R179" s="95" t="s">
        <v>267</v>
      </c>
      <c r="S179" s="95" t="s">
        <v>99</v>
      </c>
      <c r="T179" s="95" t="s">
        <v>268</v>
      </c>
    </row>
    <row r="180" spans="1:20" x14ac:dyDescent="0.2">
      <c r="A180" s="95" t="s">
        <v>97</v>
      </c>
      <c r="B180" s="95" t="s">
        <v>66</v>
      </c>
      <c r="C180" s="95" t="s">
        <v>239</v>
      </c>
      <c r="G180" s="95">
        <v>4</v>
      </c>
      <c r="I180" s="95">
        <v>1.9957142857142858</v>
      </c>
      <c r="P180" s="95">
        <v>2023</v>
      </c>
      <c r="R180" s="95" t="s">
        <v>269</v>
      </c>
      <c r="S180" s="95" t="s">
        <v>99</v>
      </c>
      <c r="T180" s="95" t="s">
        <v>270</v>
      </c>
    </row>
    <row r="181" spans="1:20" x14ac:dyDescent="0.2">
      <c r="A181" s="95" t="s">
        <v>97</v>
      </c>
      <c r="B181" s="95" t="s">
        <v>66</v>
      </c>
      <c r="C181" s="95" t="s">
        <v>239</v>
      </c>
      <c r="G181" s="95">
        <v>4</v>
      </c>
      <c r="I181" s="95">
        <v>1.7100000000000002</v>
      </c>
      <c r="P181" s="95">
        <v>2023</v>
      </c>
      <c r="R181" s="95" t="s">
        <v>271</v>
      </c>
      <c r="S181" s="95" t="s">
        <v>99</v>
      </c>
      <c r="T181" s="95" t="s">
        <v>272</v>
      </c>
    </row>
    <row r="182" spans="1:20" x14ac:dyDescent="0.2">
      <c r="A182" s="95" t="s">
        <v>97</v>
      </c>
      <c r="B182" s="95" t="s">
        <v>66</v>
      </c>
      <c r="C182" s="95" t="s">
        <v>252</v>
      </c>
      <c r="G182" s="95">
        <v>14</v>
      </c>
      <c r="H182" s="95">
        <v>6.8</v>
      </c>
      <c r="I182" s="95">
        <v>1.621032258064516</v>
      </c>
      <c r="P182" s="95">
        <v>2023</v>
      </c>
      <c r="R182" s="95" t="s">
        <v>273</v>
      </c>
      <c r="S182" s="95" t="s">
        <v>99</v>
      </c>
      <c r="T182" s="95" t="s">
        <v>274</v>
      </c>
    </row>
    <row r="183" spans="1:20" x14ac:dyDescent="0.2">
      <c r="A183" s="95" t="s">
        <v>97</v>
      </c>
      <c r="B183" s="95" t="s">
        <v>66</v>
      </c>
      <c r="C183" s="95" t="s">
        <v>252</v>
      </c>
      <c r="G183" s="95">
        <v>5.5</v>
      </c>
      <c r="I183" s="95">
        <v>2.2069047619047617</v>
      </c>
      <c r="P183" s="95">
        <v>2023</v>
      </c>
      <c r="R183" s="95" t="s">
        <v>275</v>
      </c>
      <c r="S183" s="95" t="s">
        <v>99</v>
      </c>
      <c r="T183" s="95" t="s">
        <v>276</v>
      </c>
    </row>
    <row r="184" spans="1:20" x14ac:dyDescent="0.2">
      <c r="A184" s="95" t="s">
        <v>97</v>
      </c>
      <c r="B184" s="95" t="s">
        <v>66</v>
      </c>
      <c r="C184" s="95" t="s">
        <v>252</v>
      </c>
      <c r="G184" s="95">
        <v>3.7</v>
      </c>
      <c r="I184" s="95">
        <v>6.427142857142857</v>
      </c>
      <c r="P184" s="95">
        <v>2023</v>
      </c>
      <c r="R184" s="95" t="s">
        <v>277</v>
      </c>
      <c r="S184" s="95" t="s">
        <v>99</v>
      </c>
      <c r="T184" s="95" t="s">
        <v>278</v>
      </c>
    </row>
    <row r="185" spans="1:20" x14ac:dyDescent="0.2">
      <c r="A185" s="95" t="s">
        <v>97</v>
      </c>
      <c r="B185" s="95" t="s">
        <v>66</v>
      </c>
      <c r="C185" s="95" t="s">
        <v>239</v>
      </c>
      <c r="G185" s="95">
        <v>3.8</v>
      </c>
      <c r="I185" s="95">
        <v>1.1475</v>
      </c>
      <c r="P185" s="95">
        <v>2023</v>
      </c>
      <c r="R185" s="95" t="s">
        <v>279</v>
      </c>
      <c r="S185" s="95" t="s">
        <v>99</v>
      </c>
      <c r="T185" s="95" t="s">
        <v>280</v>
      </c>
    </row>
    <row r="186" spans="1:20" x14ac:dyDescent="0.2">
      <c r="A186" s="95" t="s">
        <v>97</v>
      </c>
      <c r="B186" s="95" t="s">
        <v>66</v>
      </c>
      <c r="C186" s="95" t="s">
        <v>252</v>
      </c>
      <c r="G186" s="95">
        <v>3.7</v>
      </c>
      <c r="I186" s="95">
        <v>9.2707142857142859</v>
      </c>
      <c r="P186" s="95">
        <v>2023</v>
      </c>
      <c r="R186" s="95" t="s">
        <v>281</v>
      </c>
      <c r="S186" s="95" t="s">
        <v>99</v>
      </c>
      <c r="T186" s="95" t="s">
        <v>282</v>
      </c>
    </row>
    <row r="187" spans="1:20" x14ac:dyDescent="0.2">
      <c r="A187" s="95" t="s">
        <v>97</v>
      </c>
      <c r="B187" s="95" t="s">
        <v>66</v>
      </c>
      <c r="C187" s="95" t="s">
        <v>252</v>
      </c>
      <c r="G187" s="95">
        <v>3.7</v>
      </c>
      <c r="I187" s="95">
        <v>7.2735714285714286</v>
      </c>
      <c r="P187" s="95">
        <v>2023</v>
      </c>
      <c r="R187" s="95" t="s">
        <v>283</v>
      </c>
      <c r="S187" s="95" t="s">
        <v>99</v>
      </c>
      <c r="T187" s="95" t="s">
        <v>284</v>
      </c>
    </row>
    <row r="188" spans="1:20" x14ac:dyDescent="0.2">
      <c r="A188" s="95" t="s">
        <v>73</v>
      </c>
      <c r="B188" s="95" t="s">
        <v>66</v>
      </c>
      <c r="C188" s="95" t="s">
        <v>91</v>
      </c>
      <c r="D188" s="95" t="s">
        <v>68</v>
      </c>
      <c r="F188" s="95">
        <v>2</v>
      </c>
      <c r="G188" s="95">
        <v>8.4</v>
      </c>
      <c r="I188" s="95">
        <v>3.6652473958333331</v>
      </c>
      <c r="P188" s="95">
        <v>2023</v>
      </c>
      <c r="Q188" s="95" t="s">
        <v>176</v>
      </c>
      <c r="R188" s="95" t="s">
        <v>285</v>
      </c>
      <c r="S188" s="95" t="s">
        <v>99</v>
      </c>
      <c r="T188" s="95" t="s">
        <v>286</v>
      </c>
    </row>
    <row r="189" spans="1:20" x14ac:dyDescent="0.2">
      <c r="A189" s="95" t="s">
        <v>73</v>
      </c>
      <c r="B189" s="95" t="s">
        <v>66</v>
      </c>
      <c r="C189" s="95" t="s">
        <v>287</v>
      </c>
      <c r="D189" s="95" t="s">
        <v>68</v>
      </c>
      <c r="I189" s="95">
        <v>1.1765886287625418</v>
      </c>
      <c r="P189" s="95">
        <v>2023</v>
      </c>
      <c r="Q189" s="95" t="s">
        <v>288</v>
      </c>
      <c r="R189" s="95" t="s">
        <v>289</v>
      </c>
      <c r="S189" s="95" t="s">
        <v>99</v>
      </c>
      <c r="T189" s="95" t="s">
        <v>290</v>
      </c>
    </row>
    <row r="190" spans="1:20" x14ac:dyDescent="0.2">
      <c r="A190" s="95" t="s">
        <v>73</v>
      </c>
      <c r="B190" s="95" t="s">
        <v>66</v>
      </c>
      <c r="C190" s="95" t="s">
        <v>291</v>
      </c>
      <c r="D190" s="95" t="s">
        <v>68</v>
      </c>
      <c r="F190" s="95">
        <v>3.5</v>
      </c>
      <c r="G190" s="95">
        <v>13</v>
      </c>
      <c r="I190" s="95">
        <v>1.3846938775510202</v>
      </c>
      <c r="P190" s="95">
        <v>2023</v>
      </c>
      <c r="Q190" s="95" t="s">
        <v>292</v>
      </c>
      <c r="R190" s="95" t="s">
        <v>293</v>
      </c>
      <c r="S190" s="95" t="s">
        <v>99</v>
      </c>
      <c r="T190" s="95" t="s">
        <v>102</v>
      </c>
    </row>
    <row r="191" spans="1:20" x14ac:dyDescent="0.2">
      <c r="A191" s="95" t="s">
        <v>73</v>
      </c>
      <c r="B191" s="95" t="s">
        <v>66</v>
      </c>
      <c r="C191" s="95" t="s">
        <v>291</v>
      </c>
      <c r="D191" s="95" t="s">
        <v>68</v>
      </c>
      <c r="F191" s="95">
        <v>3.5</v>
      </c>
      <c r="G191" s="95">
        <v>15</v>
      </c>
      <c r="I191" s="95">
        <v>1.5803571428571428</v>
      </c>
      <c r="P191" s="95">
        <v>2023</v>
      </c>
      <c r="Q191" s="95" t="s">
        <v>292</v>
      </c>
      <c r="R191" s="95" t="s">
        <v>294</v>
      </c>
      <c r="S191" s="95" t="s">
        <v>99</v>
      </c>
      <c r="T191" s="95" t="s">
        <v>106</v>
      </c>
    </row>
    <row r="192" spans="1:20" x14ac:dyDescent="0.2">
      <c r="A192" s="95" t="s">
        <v>73</v>
      </c>
      <c r="B192" s="95" t="s">
        <v>66</v>
      </c>
      <c r="C192" s="95" t="s">
        <v>295</v>
      </c>
      <c r="D192" s="95" t="s">
        <v>68</v>
      </c>
      <c r="F192" s="95">
        <v>3.5</v>
      </c>
      <c r="G192" s="95">
        <v>15</v>
      </c>
      <c r="I192" s="95">
        <v>1.3144053601340033</v>
      </c>
      <c r="P192" s="95">
        <v>2023</v>
      </c>
      <c r="Q192" s="95" t="s">
        <v>296</v>
      </c>
      <c r="R192" s="95" t="s">
        <v>297</v>
      </c>
      <c r="S192" s="95" t="s">
        <v>99</v>
      </c>
      <c r="T192" s="95" t="s">
        <v>110</v>
      </c>
    </row>
    <row r="193" spans="1:20" x14ac:dyDescent="0.2">
      <c r="A193" s="95" t="s">
        <v>73</v>
      </c>
      <c r="B193" s="95" t="s">
        <v>66</v>
      </c>
      <c r="C193" s="95" t="s">
        <v>291</v>
      </c>
      <c r="D193" s="95" t="s">
        <v>68</v>
      </c>
      <c r="F193" s="95">
        <v>7.125</v>
      </c>
      <c r="G193" s="95">
        <v>30</v>
      </c>
      <c r="I193" s="95">
        <v>3.7503401360544215</v>
      </c>
      <c r="P193" s="95">
        <v>2023</v>
      </c>
      <c r="Q193" s="95" t="s">
        <v>298</v>
      </c>
      <c r="R193" s="95" t="s">
        <v>299</v>
      </c>
      <c r="S193" s="95" t="s">
        <v>99</v>
      </c>
      <c r="T193" s="95" t="s">
        <v>117</v>
      </c>
    </row>
    <row r="194" spans="1:20" x14ac:dyDescent="0.2">
      <c r="A194" s="95" t="s">
        <v>73</v>
      </c>
      <c r="B194" s="95" t="s">
        <v>66</v>
      </c>
      <c r="C194" s="95" t="s">
        <v>291</v>
      </c>
      <c r="D194" s="95" t="s">
        <v>68</v>
      </c>
      <c r="F194" s="95">
        <v>5.5</v>
      </c>
      <c r="G194" s="95">
        <v>23</v>
      </c>
      <c r="I194" s="95">
        <v>2.0020483613109512</v>
      </c>
      <c r="P194" s="95">
        <v>2023</v>
      </c>
      <c r="Q194" s="95" t="s">
        <v>300</v>
      </c>
      <c r="R194" s="95" t="s">
        <v>301</v>
      </c>
      <c r="S194" s="95" t="s">
        <v>99</v>
      </c>
      <c r="T194" s="95" t="s">
        <v>302</v>
      </c>
    </row>
    <row r="195" spans="1:20" x14ac:dyDescent="0.2">
      <c r="A195" s="95" t="s">
        <v>73</v>
      </c>
      <c r="B195" s="95" t="s">
        <v>66</v>
      </c>
      <c r="C195" s="95" t="s">
        <v>291</v>
      </c>
      <c r="D195" s="95" t="s">
        <v>68</v>
      </c>
      <c r="F195" s="95">
        <v>7.125</v>
      </c>
      <c r="G195" s="95">
        <v>30</v>
      </c>
      <c r="I195" s="95">
        <v>3.3362777777777777</v>
      </c>
      <c r="P195" s="95">
        <v>2023</v>
      </c>
      <c r="Q195" s="95" t="s">
        <v>298</v>
      </c>
      <c r="R195" s="95" t="s">
        <v>303</v>
      </c>
      <c r="S195" s="95" t="s">
        <v>99</v>
      </c>
      <c r="T195" s="95" t="s">
        <v>123</v>
      </c>
    </row>
    <row r="196" spans="1:20" x14ac:dyDescent="0.2">
      <c r="A196" s="95" t="s">
        <v>73</v>
      </c>
      <c r="B196" s="95" t="s">
        <v>66</v>
      </c>
      <c r="C196" s="95" t="s">
        <v>291</v>
      </c>
      <c r="D196" s="95" t="s">
        <v>68</v>
      </c>
      <c r="F196" s="95">
        <v>5.5</v>
      </c>
      <c r="G196" s="95">
        <v>21</v>
      </c>
      <c r="I196" s="95">
        <v>2.6538701622971286</v>
      </c>
      <c r="P196" s="95">
        <v>2023</v>
      </c>
      <c r="Q196" s="95" t="s">
        <v>304</v>
      </c>
      <c r="R196" s="95" t="s">
        <v>305</v>
      </c>
      <c r="S196" s="95" t="s">
        <v>99</v>
      </c>
      <c r="T196" s="95" t="s">
        <v>119</v>
      </c>
    </row>
    <row r="197" spans="1:20" x14ac:dyDescent="0.2">
      <c r="A197" s="95" t="s">
        <v>73</v>
      </c>
      <c r="B197" s="95" t="s">
        <v>66</v>
      </c>
      <c r="C197" s="95" t="s">
        <v>291</v>
      </c>
      <c r="D197" s="95" t="s">
        <v>68</v>
      </c>
      <c r="F197" s="95">
        <v>5.5</v>
      </c>
      <c r="G197" s="95">
        <v>21</v>
      </c>
      <c r="I197" s="95">
        <v>2.6630356349911191</v>
      </c>
      <c r="P197" s="95">
        <v>2023</v>
      </c>
      <c r="Q197" s="95" t="s">
        <v>300</v>
      </c>
      <c r="R197" s="95" t="s">
        <v>306</v>
      </c>
      <c r="S197" s="95" t="s">
        <v>99</v>
      </c>
      <c r="T197" s="95" t="s">
        <v>139</v>
      </c>
    </row>
    <row r="198" spans="1:20" x14ac:dyDescent="0.2">
      <c r="A198" s="95" t="s">
        <v>73</v>
      </c>
      <c r="B198" s="95" t="s">
        <v>66</v>
      </c>
      <c r="C198" s="95" t="s">
        <v>291</v>
      </c>
      <c r="D198" s="95" t="s">
        <v>68</v>
      </c>
      <c r="F198" s="95">
        <v>3.5</v>
      </c>
      <c r="G198" s="95">
        <v>13</v>
      </c>
      <c r="I198" s="95">
        <v>1.4539939227439227</v>
      </c>
      <c r="P198" s="95">
        <v>2023</v>
      </c>
      <c r="Q198" s="95" t="s">
        <v>300</v>
      </c>
      <c r="R198" s="95" t="s">
        <v>307</v>
      </c>
      <c r="S198" s="95" t="s">
        <v>99</v>
      </c>
      <c r="T198" s="95" t="s">
        <v>146</v>
      </c>
    </row>
    <row r="199" spans="1:20" x14ac:dyDescent="0.2">
      <c r="A199" s="95" t="s">
        <v>76</v>
      </c>
      <c r="B199" s="95" t="s">
        <v>66</v>
      </c>
      <c r="C199" s="95" t="s">
        <v>93</v>
      </c>
      <c r="F199" s="95">
        <v>3.3</v>
      </c>
      <c r="G199" s="95">
        <v>19</v>
      </c>
      <c r="H199" s="95">
        <v>3.7</v>
      </c>
      <c r="I199" s="95">
        <v>0.22500000000000003</v>
      </c>
      <c r="P199" s="95">
        <v>2023</v>
      </c>
      <c r="Q199" s="95" t="s">
        <v>308</v>
      </c>
      <c r="R199" s="95" t="s">
        <v>309</v>
      </c>
      <c r="S199" s="95" t="s">
        <v>99</v>
      </c>
      <c r="T199" s="95" t="s">
        <v>310</v>
      </c>
    </row>
    <row r="200" spans="1:20" x14ac:dyDescent="0.2">
      <c r="A200" s="95" t="s">
        <v>76</v>
      </c>
      <c r="B200" s="95" t="s">
        <v>66</v>
      </c>
      <c r="C200" s="95" t="s">
        <v>67</v>
      </c>
      <c r="F200" s="95">
        <v>20.5</v>
      </c>
      <c r="G200" s="95">
        <v>19</v>
      </c>
      <c r="H200" s="95">
        <v>2.7</v>
      </c>
      <c r="I200" s="95">
        <v>0.37022831050228311</v>
      </c>
      <c r="P200" s="95">
        <v>2023</v>
      </c>
      <c r="Q200" s="95" t="s">
        <v>311</v>
      </c>
      <c r="R200" s="95" t="s">
        <v>312</v>
      </c>
      <c r="S200" s="95" t="s">
        <v>99</v>
      </c>
      <c r="T200" s="95" t="s">
        <v>313</v>
      </c>
    </row>
    <row r="201" spans="1:20" x14ac:dyDescent="0.2">
      <c r="A201" s="95" t="s">
        <v>76</v>
      </c>
      <c r="B201" s="95" t="s">
        <v>66</v>
      </c>
      <c r="C201" s="95" t="s">
        <v>93</v>
      </c>
      <c r="F201" s="95">
        <v>50</v>
      </c>
      <c r="G201" s="95">
        <v>19</v>
      </c>
      <c r="H201" s="95">
        <v>3.7</v>
      </c>
      <c r="I201" s="95">
        <v>0.4126492194674013</v>
      </c>
      <c r="P201" s="95">
        <v>2023</v>
      </c>
      <c r="Q201" s="95" t="s">
        <v>314</v>
      </c>
      <c r="R201" s="95" t="s">
        <v>315</v>
      </c>
      <c r="S201" s="95" t="s">
        <v>99</v>
      </c>
      <c r="T201" s="95" t="s">
        <v>316</v>
      </c>
    </row>
    <row r="202" spans="1:20" x14ac:dyDescent="0.2">
      <c r="A202" s="95" t="s">
        <v>76</v>
      </c>
      <c r="B202" s="95" t="s">
        <v>66</v>
      </c>
      <c r="C202" s="95" t="s">
        <v>93</v>
      </c>
      <c r="F202" s="95">
        <v>3.3</v>
      </c>
      <c r="G202" s="95">
        <v>19</v>
      </c>
      <c r="H202" s="95">
        <v>3.7</v>
      </c>
      <c r="I202" s="95">
        <v>0.54340359094457458</v>
      </c>
      <c r="P202" s="95">
        <v>2023</v>
      </c>
      <c r="Q202" s="95" t="s">
        <v>308</v>
      </c>
      <c r="R202" s="95" t="s">
        <v>317</v>
      </c>
      <c r="S202" s="95" t="s">
        <v>99</v>
      </c>
      <c r="T202" s="95" t="s">
        <v>318</v>
      </c>
    </row>
    <row r="203" spans="1:20" x14ac:dyDescent="0.2">
      <c r="A203" s="95" t="s">
        <v>76</v>
      </c>
      <c r="B203" s="95" t="s">
        <v>66</v>
      </c>
      <c r="C203" s="95" t="s">
        <v>93</v>
      </c>
      <c r="G203" s="95">
        <v>19</v>
      </c>
      <c r="H203" s="95">
        <v>3.7</v>
      </c>
      <c r="I203" s="95">
        <v>0.34180327868852461</v>
      </c>
      <c r="P203" s="95">
        <v>2023</v>
      </c>
      <c r="Q203" s="95" t="s">
        <v>319</v>
      </c>
      <c r="R203" s="95" t="s">
        <v>320</v>
      </c>
      <c r="S203" s="95" t="s">
        <v>321</v>
      </c>
      <c r="T203" s="95" t="s">
        <v>322</v>
      </c>
    </row>
    <row r="204" spans="1:20" x14ac:dyDescent="0.2">
      <c r="A204" s="95" t="s">
        <v>76</v>
      </c>
      <c r="B204" s="95" t="s">
        <v>66</v>
      </c>
      <c r="C204" s="95" t="s">
        <v>67</v>
      </c>
      <c r="G204" s="95">
        <v>19</v>
      </c>
      <c r="H204" s="95">
        <v>3</v>
      </c>
      <c r="I204" s="95">
        <v>0.52357723577235771</v>
      </c>
      <c r="P204" s="95">
        <v>2023</v>
      </c>
      <c r="Q204" s="95" t="s">
        <v>311</v>
      </c>
      <c r="R204" s="95" t="s">
        <v>323</v>
      </c>
      <c r="S204" s="95" t="s">
        <v>321</v>
      </c>
      <c r="T204" s="95" t="s">
        <v>324</v>
      </c>
    </row>
    <row r="205" spans="1:20" x14ac:dyDescent="0.2">
      <c r="A205" s="95" t="s">
        <v>76</v>
      </c>
      <c r="B205" s="95" t="s">
        <v>66</v>
      </c>
      <c r="C205" s="95" t="s">
        <v>67</v>
      </c>
      <c r="G205" s="95">
        <v>19</v>
      </c>
      <c r="H205" s="95">
        <v>3</v>
      </c>
      <c r="I205" s="95">
        <v>1.0835591689250226</v>
      </c>
      <c r="P205" s="95">
        <v>2023</v>
      </c>
      <c r="Q205" s="95" t="s">
        <v>311</v>
      </c>
      <c r="R205" s="95" t="s">
        <v>325</v>
      </c>
      <c r="S205" s="95" t="s">
        <v>321</v>
      </c>
      <c r="T205" s="95" t="s">
        <v>326</v>
      </c>
    </row>
  </sheetData>
  <hyperlinks>
    <hyperlink ref="A1" location="'Table of Contents'!A1" display="Table of Contents" xr:uid="{0F19D8A4-7EA6-4831-97C7-E76709BFA675}"/>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B64E-244B-45B7-A585-9A320A7C04A0}">
  <dimension ref="A1:T50"/>
  <sheetViews>
    <sheetView workbookViewId="0"/>
  </sheetViews>
  <sheetFormatPr baseColWidth="10" defaultColWidth="8.5" defaultRowHeight="15" x14ac:dyDescent="0.2"/>
  <cols>
    <col min="1" max="1" width="14.5" style="95" customWidth="1"/>
    <col min="2" max="2" width="13" style="95" customWidth="1"/>
    <col min="3" max="3" width="10.5" style="95" customWidth="1"/>
    <col min="4" max="4" width="8.5" style="95"/>
    <col min="5" max="5" width="12.5" style="95" customWidth="1"/>
    <col min="6" max="6" width="15.5" style="95" customWidth="1"/>
    <col min="7" max="7" width="9.5" style="95" customWidth="1"/>
    <col min="8" max="9" width="17.5" style="95" customWidth="1"/>
    <col min="10" max="10" width="19.5" style="95" customWidth="1"/>
    <col min="11" max="11" width="13.5" style="95" customWidth="1"/>
    <col min="12" max="12" width="25.5" style="95" customWidth="1"/>
    <col min="13" max="14" width="21.5" style="95" customWidth="1"/>
    <col min="15" max="15" width="10.5" style="95" customWidth="1"/>
    <col min="16" max="17" width="8.5" style="95"/>
    <col min="18" max="18" width="14.5" style="95" customWidth="1"/>
    <col min="19" max="19" width="8.5" style="95"/>
    <col min="20" max="20" width="13.5" style="95" customWidth="1"/>
    <col min="21" max="16384" width="8.5" style="95"/>
  </cols>
  <sheetData>
    <row r="1" spans="1:20" customFormat="1" x14ac:dyDescent="0.2">
      <c r="A1" s="4" t="s">
        <v>21</v>
      </c>
      <c r="K1" s="39"/>
      <c r="L1" s="39"/>
    </row>
    <row r="2" spans="1:20" customFormat="1" ht="19" x14ac:dyDescent="0.25">
      <c r="A2" s="24" t="s">
        <v>22</v>
      </c>
      <c r="K2" s="39"/>
      <c r="L2" s="39"/>
    </row>
    <row r="3" spans="1:20" s="96" customFormat="1" x14ac:dyDescent="0.2">
      <c r="A3" s="96" t="s">
        <v>25</v>
      </c>
      <c r="B3" s="96" t="s">
        <v>26</v>
      </c>
      <c r="C3" s="96" t="s">
        <v>27</v>
      </c>
      <c r="D3" s="96" t="s">
        <v>28</v>
      </c>
      <c r="E3" s="96" t="s">
        <v>29</v>
      </c>
      <c r="F3" s="96" t="s">
        <v>30</v>
      </c>
      <c r="G3" s="96" t="s">
        <v>31</v>
      </c>
      <c r="H3" s="96" t="s">
        <v>32</v>
      </c>
      <c r="I3" s="96" t="s">
        <v>33</v>
      </c>
      <c r="J3" s="96" t="s">
        <v>34</v>
      </c>
      <c r="K3" s="96" t="s">
        <v>35</v>
      </c>
      <c r="L3" s="96" t="s">
        <v>36</v>
      </c>
      <c r="M3" s="96" t="s">
        <v>37</v>
      </c>
      <c r="N3" s="96" t="s">
        <v>38</v>
      </c>
      <c r="O3" s="96" t="s">
        <v>39</v>
      </c>
      <c r="P3" s="96" t="s">
        <v>40</v>
      </c>
      <c r="Q3" s="96" t="s">
        <v>41</v>
      </c>
      <c r="R3" s="96" t="s">
        <v>42</v>
      </c>
      <c r="S3" s="96" t="s">
        <v>43</v>
      </c>
      <c r="T3" s="96" t="s">
        <v>44</v>
      </c>
    </row>
    <row r="4" spans="1:20" x14ac:dyDescent="0.2">
      <c r="A4" s="95" t="s">
        <v>76</v>
      </c>
      <c r="B4" s="95" t="s">
        <v>66</v>
      </c>
      <c r="C4" s="95" t="s">
        <v>93</v>
      </c>
      <c r="D4" s="95" t="s">
        <v>68</v>
      </c>
      <c r="E4" s="95" t="s">
        <v>94</v>
      </c>
      <c r="F4" s="95">
        <v>4</v>
      </c>
      <c r="G4" s="95">
        <v>3.8</v>
      </c>
      <c r="I4" s="95">
        <v>0.17</v>
      </c>
      <c r="J4" s="95">
        <v>8.0000000000000002E-3</v>
      </c>
      <c r="K4" s="95">
        <v>0.31</v>
      </c>
      <c r="L4" s="95">
        <v>0.69</v>
      </c>
      <c r="O4" s="95">
        <v>999</v>
      </c>
      <c r="P4" s="95">
        <v>2023</v>
      </c>
      <c r="R4" s="95" t="s">
        <v>92</v>
      </c>
      <c r="S4" s="95" t="s">
        <v>70</v>
      </c>
    </row>
    <row r="5" spans="1:20" x14ac:dyDescent="0.2">
      <c r="A5" s="95" t="s">
        <v>76</v>
      </c>
      <c r="B5" s="95" t="s">
        <v>66</v>
      </c>
      <c r="C5" s="95" t="s">
        <v>93</v>
      </c>
      <c r="D5" s="95" t="s">
        <v>68</v>
      </c>
      <c r="E5" s="95" t="s">
        <v>94</v>
      </c>
      <c r="F5" s="95">
        <v>6</v>
      </c>
      <c r="G5" s="95">
        <v>3.8</v>
      </c>
      <c r="I5" s="95">
        <v>0.28999999999999998</v>
      </c>
      <c r="J5" s="95">
        <v>0.01</v>
      </c>
      <c r="K5" s="95">
        <v>0.39</v>
      </c>
      <c r="L5" s="95">
        <v>0.95</v>
      </c>
      <c r="O5" s="95">
        <v>999</v>
      </c>
      <c r="P5" s="95">
        <v>2023</v>
      </c>
      <c r="R5" s="95" t="s">
        <v>92</v>
      </c>
      <c r="S5" s="95" t="s">
        <v>70</v>
      </c>
    </row>
    <row r="6" spans="1:20" x14ac:dyDescent="0.2">
      <c r="A6" s="95" t="s">
        <v>76</v>
      </c>
      <c r="B6" s="95" t="s">
        <v>66</v>
      </c>
      <c r="C6" s="95" t="s">
        <v>67</v>
      </c>
      <c r="D6" s="95" t="s">
        <v>68</v>
      </c>
      <c r="E6" s="95" t="s">
        <v>94</v>
      </c>
      <c r="F6" s="95">
        <v>4</v>
      </c>
      <c r="G6" s="95">
        <v>4</v>
      </c>
      <c r="I6" s="95">
        <v>0.25</v>
      </c>
      <c r="J6" s="95">
        <v>1.2999999999999999E-2</v>
      </c>
      <c r="K6" s="95">
        <v>0.52</v>
      </c>
      <c r="L6" s="95">
        <v>1.1100000000000001</v>
      </c>
      <c r="O6" s="95">
        <v>999</v>
      </c>
      <c r="P6" s="95">
        <v>2023</v>
      </c>
      <c r="R6" s="95" t="s">
        <v>92</v>
      </c>
      <c r="S6" s="95" t="s">
        <v>70</v>
      </c>
    </row>
    <row r="7" spans="1:20" x14ac:dyDescent="0.2">
      <c r="A7" s="95" t="s">
        <v>76</v>
      </c>
      <c r="B7" s="95" t="s">
        <v>66</v>
      </c>
      <c r="C7" s="95" t="s">
        <v>67</v>
      </c>
      <c r="D7" s="95" t="s">
        <v>68</v>
      </c>
      <c r="E7" s="95" t="s">
        <v>94</v>
      </c>
      <c r="F7" s="95">
        <v>6</v>
      </c>
      <c r="G7" s="95">
        <v>4</v>
      </c>
      <c r="I7" s="95">
        <v>0.35</v>
      </c>
      <c r="J7" s="95">
        <v>0.02</v>
      </c>
      <c r="K7" s="95">
        <v>0.77</v>
      </c>
      <c r="L7" s="95">
        <v>1.64</v>
      </c>
      <c r="O7" s="95">
        <v>999</v>
      </c>
      <c r="P7" s="95">
        <v>2023</v>
      </c>
      <c r="R7" s="95" t="s">
        <v>92</v>
      </c>
      <c r="S7" s="95" t="s">
        <v>70</v>
      </c>
    </row>
    <row r="8" spans="1:20" x14ac:dyDescent="0.2">
      <c r="A8" s="95" t="s">
        <v>76</v>
      </c>
      <c r="B8" s="95" t="s">
        <v>66</v>
      </c>
      <c r="C8" s="95" t="s">
        <v>91</v>
      </c>
      <c r="D8" s="95" t="s">
        <v>68</v>
      </c>
      <c r="E8" s="95" t="s">
        <v>94</v>
      </c>
      <c r="F8" s="95">
        <v>4</v>
      </c>
      <c r="G8" s="95">
        <v>3</v>
      </c>
      <c r="I8" s="95">
        <v>0.3</v>
      </c>
      <c r="J8" s="95">
        <v>1.2999999999999999E-2</v>
      </c>
      <c r="K8" s="95">
        <v>0.52</v>
      </c>
      <c r="L8" s="95">
        <v>1.17</v>
      </c>
      <c r="O8" s="95">
        <v>999</v>
      </c>
      <c r="P8" s="95">
        <v>2023</v>
      </c>
      <c r="R8" s="95" t="s">
        <v>92</v>
      </c>
      <c r="S8" s="95" t="s">
        <v>70</v>
      </c>
    </row>
    <row r="9" spans="1:20" x14ac:dyDescent="0.2">
      <c r="A9" s="95" t="s">
        <v>76</v>
      </c>
      <c r="B9" s="95" t="s">
        <v>66</v>
      </c>
      <c r="C9" s="95" t="s">
        <v>91</v>
      </c>
      <c r="D9" s="95" t="s">
        <v>68</v>
      </c>
      <c r="E9" s="95" t="s">
        <v>94</v>
      </c>
      <c r="F9" s="95">
        <v>6</v>
      </c>
      <c r="G9" s="95">
        <v>3</v>
      </c>
      <c r="I9" s="95">
        <v>0.45</v>
      </c>
      <c r="J9" s="95">
        <v>0.02</v>
      </c>
      <c r="K9" s="95">
        <v>0.77</v>
      </c>
      <c r="L9" s="95">
        <v>1.76</v>
      </c>
      <c r="O9" s="95">
        <v>999</v>
      </c>
      <c r="P9" s="95">
        <v>2023</v>
      </c>
      <c r="R9" s="95" t="s">
        <v>92</v>
      </c>
      <c r="S9" s="95" t="s">
        <v>70</v>
      </c>
    </row>
    <row r="10" spans="1:20" x14ac:dyDescent="0.2">
      <c r="A10" s="95" t="s">
        <v>76</v>
      </c>
      <c r="B10" s="95" t="s">
        <v>66</v>
      </c>
      <c r="C10" s="95" t="s">
        <v>95</v>
      </c>
      <c r="D10" s="95" t="s">
        <v>68</v>
      </c>
      <c r="E10" s="95" t="s">
        <v>94</v>
      </c>
      <c r="F10" s="95">
        <v>4</v>
      </c>
      <c r="G10" s="95">
        <v>4</v>
      </c>
      <c r="I10" s="95">
        <v>0.63</v>
      </c>
      <c r="J10" s="95">
        <v>1.2999999999999999E-2</v>
      </c>
      <c r="K10" s="95">
        <v>0.52</v>
      </c>
      <c r="L10" s="95">
        <v>1.54</v>
      </c>
      <c r="O10" s="95">
        <v>999</v>
      </c>
      <c r="P10" s="95">
        <v>2023</v>
      </c>
      <c r="R10" s="95" t="s">
        <v>92</v>
      </c>
      <c r="S10" s="95" t="s">
        <v>70</v>
      </c>
    </row>
    <row r="11" spans="1:20" x14ac:dyDescent="0.2">
      <c r="A11" s="95" t="s">
        <v>76</v>
      </c>
      <c r="B11" s="95" t="s">
        <v>66</v>
      </c>
      <c r="C11" s="95" t="s">
        <v>95</v>
      </c>
      <c r="D11" s="95" t="s">
        <v>68</v>
      </c>
      <c r="E11" s="95" t="s">
        <v>94</v>
      </c>
      <c r="F11" s="95">
        <v>6</v>
      </c>
      <c r="G11" s="95">
        <v>4</v>
      </c>
      <c r="I11" s="95">
        <v>0.96</v>
      </c>
      <c r="J11" s="95">
        <v>0.02</v>
      </c>
      <c r="K11" s="95">
        <v>0.77</v>
      </c>
      <c r="L11" s="95">
        <v>1.54</v>
      </c>
      <c r="O11" s="95">
        <v>999</v>
      </c>
      <c r="P11" s="95">
        <v>2023</v>
      </c>
      <c r="R11" s="95" t="s">
        <v>92</v>
      </c>
      <c r="S11" s="95" t="s">
        <v>70</v>
      </c>
    </row>
    <row r="12" spans="1:20" x14ac:dyDescent="0.2">
      <c r="A12" s="95" t="s">
        <v>76</v>
      </c>
      <c r="B12" s="95" t="s">
        <v>66</v>
      </c>
      <c r="C12" s="95" t="s">
        <v>96</v>
      </c>
      <c r="D12" s="95" t="s">
        <v>68</v>
      </c>
      <c r="E12" s="95" t="s">
        <v>94</v>
      </c>
      <c r="F12" s="95">
        <v>4</v>
      </c>
      <c r="G12" s="95">
        <v>2.78</v>
      </c>
      <c r="I12" s="95">
        <v>1.05</v>
      </c>
      <c r="J12" s="95">
        <v>8.0000000000000002E-3</v>
      </c>
      <c r="K12" s="95">
        <v>0.31</v>
      </c>
      <c r="L12" s="95">
        <v>1.65</v>
      </c>
      <c r="O12" s="95">
        <v>999</v>
      </c>
      <c r="P12" s="95">
        <v>2023</v>
      </c>
      <c r="R12" s="95" t="s">
        <v>92</v>
      </c>
      <c r="S12" s="95" t="s">
        <v>70</v>
      </c>
    </row>
    <row r="13" spans="1:20" x14ac:dyDescent="0.2">
      <c r="A13" s="95" t="s">
        <v>76</v>
      </c>
      <c r="B13" s="95" t="s">
        <v>66</v>
      </c>
      <c r="C13" s="95" t="s">
        <v>96</v>
      </c>
      <c r="D13" s="95" t="s">
        <v>68</v>
      </c>
      <c r="E13" s="95" t="s">
        <v>94</v>
      </c>
      <c r="F13" s="95">
        <v>6</v>
      </c>
      <c r="G13" s="95">
        <v>2.78</v>
      </c>
      <c r="I13" s="95">
        <v>1.58</v>
      </c>
      <c r="J13" s="95">
        <v>0.01</v>
      </c>
      <c r="K13" s="95">
        <v>0.39</v>
      </c>
      <c r="L13" s="95">
        <v>2.36</v>
      </c>
      <c r="O13" s="95">
        <v>999</v>
      </c>
      <c r="P13" s="95">
        <v>2023</v>
      </c>
      <c r="R13" s="95" t="s">
        <v>92</v>
      </c>
      <c r="S13" s="95" t="s">
        <v>70</v>
      </c>
    </row>
    <row r="14" spans="1:20" x14ac:dyDescent="0.2">
      <c r="A14" s="95" t="s">
        <v>97</v>
      </c>
      <c r="B14" s="95" t="s">
        <v>66</v>
      </c>
      <c r="C14" s="95" t="s">
        <v>98</v>
      </c>
      <c r="D14" s="95" t="s">
        <v>68</v>
      </c>
      <c r="E14" s="95" t="s">
        <v>94</v>
      </c>
      <c r="F14" s="95">
        <v>1</v>
      </c>
      <c r="G14" s="95">
        <v>6.5</v>
      </c>
      <c r="I14" s="95">
        <v>0.86</v>
      </c>
      <c r="J14" s="95">
        <v>4.0000000000000001E-3</v>
      </c>
      <c r="K14" s="95">
        <v>0.12</v>
      </c>
      <c r="L14" s="95">
        <v>1.28</v>
      </c>
      <c r="O14" s="95">
        <v>999</v>
      </c>
      <c r="P14" s="95">
        <v>2023</v>
      </c>
      <c r="R14" s="95" t="s">
        <v>92</v>
      </c>
      <c r="S14" s="95" t="s">
        <v>70</v>
      </c>
    </row>
    <row r="15" spans="1:20" x14ac:dyDescent="0.2">
      <c r="A15" s="95" t="s">
        <v>97</v>
      </c>
      <c r="B15" s="95" t="s">
        <v>66</v>
      </c>
      <c r="C15" s="95" t="s">
        <v>98</v>
      </c>
      <c r="D15" s="95" t="s">
        <v>68</v>
      </c>
      <c r="E15" s="95" t="s">
        <v>94</v>
      </c>
      <c r="F15" s="95">
        <v>2</v>
      </c>
      <c r="G15" s="95">
        <v>13</v>
      </c>
      <c r="I15" s="95">
        <v>1.73</v>
      </c>
      <c r="J15" s="95">
        <v>8.0000000000000002E-3</v>
      </c>
      <c r="K15" s="95">
        <v>0.24</v>
      </c>
      <c r="L15" s="95">
        <v>2.57</v>
      </c>
      <c r="O15" s="95">
        <v>999</v>
      </c>
      <c r="P15" s="95">
        <v>2023</v>
      </c>
      <c r="R15" s="95" t="s">
        <v>92</v>
      </c>
      <c r="S15" s="95" t="s">
        <v>70</v>
      </c>
    </row>
    <row r="16" spans="1:20" x14ac:dyDescent="0.2">
      <c r="A16" s="95" t="s">
        <v>97</v>
      </c>
      <c r="B16" s="95" t="s">
        <v>66</v>
      </c>
      <c r="C16" s="95" t="s">
        <v>98</v>
      </c>
      <c r="D16" s="95" t="s">
        <v>68</v>
      </c>
      <c r="E16" s="95" t="s">
        <v>94</v>
      </c>
      <c r="F16" s="95">
        <v>3</v>
      </c>
      <c r="G16" s="95">
        <v>19.5</v>
      </c>
      <c r="I16" s="95">
        <v>2.59</v>
      </c>
      <c r="J16" s="95">
        <v>1.2E-2</v>
      </c>
      <c r="K16" s="95">
        <v>0.35</v>
      </c>
      <c r="L16" s="95">
        <v>3.85</v>
      </c>
      <c r="O16" s="95">
        <v>999</v>
      </c>
      <c r="P16" s="95">
        <v>2023</v>
      </c>
      <c r="R16" s="95" t="s">
        <v>92</v>
      </c>
      <c r="S16" s="95" t="s">
        <v>70</v>
      </c>
    </row>
    <row r="17" spans="1:20" x14ac:dyDescent="0.2">
      <c r="A17" s="95" t="s">
        <v>97</v>
      </c>
      <c r="B17" s="95" t="s">
        <v>66</v>
      </c>
      <c r="C17" s="95" t="s">
        <v>98</v>
      </c>
      <c r="D17" s="95" t="s">
        <v>68</v>
      </c>
      <c r="E17" s="95" t="s">
        <v>94</v>
      </c>
      <c r="F17" s="95">
        <v>3.5</v>
      </c>
      <c r="G17" s="95">
        <v>22.75</v>
      </c>
      <c r="I17" s="95">
        <v>3.02</v>
      </c>
      <c r="J17" s="95">
        <v>1.4E-2</v>
      </c>
      <c r="K17" s="95">
        <v>0.41</v>
      </c>
      <c r="L17" s="95">
        <v>4.4800000000000004</v>
      </c>
      <c r="O17" s="95">
        <v>999</v>
      </c>
      <c r="P17" s="95">
        <v>2023</v>
      </c>
      <c r="R17" s="95" t="s">
        <v>92</v>
      </c>
      <c r="S17" s="95" t="s">
        <v>70</v>
      </c>
    </row>
    <row r="18" spans="1:20" x14ac:dyDescent="0.2">
      <c r="A18" s="95" t="s">
        <v>97</v>
      </c>
      <c r="B18" s="95" t="s">
        <v>66</v>
      </c>
      <c r="C18" s="95" t="s">
        <v>98</v>
      </c>
      <c r="D18" s="95" t="s">
        <v>68</v>
      </c>
      <c r="E18" s="95" t="s">
        <v>94</v>
      </c>
      <c r="F18" s="95">
        <v>4</v>
      </c>
      <c r="G18" s="95">
        <v>26</v>
      </c>
      <c r="I18" s="95">
        <v>3.45</v>
      </c>
      <c r="J18" s="95">
        <v>1.6E-2</v>
      </c>
      <c r="K18" s="95">
        <v>0.47</v>
      </c>
      <c r="L18" s="95">
        <v>5.13</v>
      </c>
      <c r="O18" s="95">
        <v>999</v>
      </c>
      <c r="P18" s="95">
        <v>2023</v>
      </c>
      <c r="R18" s="95" t="s">
        <v>92</v>
      </c>
      <c r="S18" s="95" t="s">
        <v>70</v>
      </c>
    </row>
    <row r="19" spans="1:20" x14ac:dyDescent="0.2">
      <c r="A19" s="95" t="s">
        <v>97</v>
      </c>
      <c r="B19" s="95" t="s">
        <v>66</v>
      </c>
      <c r="C19" s="95" t="s">
        <v>98</v>
      </c>
      <c r="D19" s="95" t="s">
        <v>68</v>
      </c>
      <c r="E19" s="95" t="s">
        <v>94</v>
      </c>
      <c r="F19" s="95">
        <v>5</v>
      </c>
      <c r="G19" s="95">
        <v>32.5</v>
      </c>
      <c r="I19" s="95">
        <v>4.3099999999999996</v>
      </c>
      <c r="J19" s="95">
        <v>0.02</v>
      </c>
      <c r="K19" s="95">
        <v>0.59</v>
      </c>
      <c r="L19" s="95">
        <v>6.4</v>
      </c>
      <c r="O19" s="95">
        <v>999</v>
      </c>
      <c r="P19" s="95">
        <v>2023</v>
      </c>
      <c r="R19" s="95" t="s">
        <v>92</v>
      </c>
      <c r="S19" s="95" t="s">
        <v>70</v>
      </c>
    </row>
    <row r="20" spans="1:20" x14ac:dyDescent="0.2">
      <c r="A20" s="95" t="s">
        <v>97</v>
      </c>
      <c r="B20" s="95" t="s">
        <v>66</v>
      </c>
      <c r="C20" s="95" t="s">
        <v>98</v>
      </c>
      <c r="D20" s="95" t="s">
        <v>68</v>
      </c>
      <c r="E20" s="95" t="s">
        <v>94</v>
      </c>
      <c r="F20" s="95">
        <v>5.5</v>
      </c>
      <c r="G20" s="95">
        <v>35.75</v>
      </c>
      <c r="I20" s="95">
        <v>4.74</v>
      </c>
      <c r="J20" s="95">
        <v>2.1999999999999999E-2</v>
      </c>
      <c r="K20" s="95">
        <v>0.65</v>
      </c>
      <c r="L20" s="95">
        <v>7.03</v>
      </c>
      <c r="O20" s="95">
        <v>999</v>
      </c>
      <c r="P20" s="95">
        <v>2023</v>
      </c>
      <c r="R20" s="95" t="s">
        <v>92</v>
      </c>
      <c r="S20" s="95" t="s">
        <v>70</v>
      </c>
    </row>
    <row r="21" spans="1:20" x14ac:dyDescent="0.2">
      <c r="A21" s="95" t="s">
        <v>97</v>
      </c>
      <c r="B21" s="95" t="s">
        <v>66</v>
      </c>
      <c r="C21" s="95" t="s">
        <v>98</v>
      </c>
      <c r="D21" s="95" t="s">
        <v>68</v>
      </c>
      <c r="E21" s="95" t="s">
        <v>94</v>
      </c>
      <c r="F21" s="95">
        <v>6</v>
      </c>
      <c r="G21" s="95">
        <v>39</v>
      </c>
      <c r="I21" s="95">
        <v>5.2</v>
      </c>
      <c r="J21" s="95">
        <v>2.4E-2</v>
      </c>
      <c r="K21" s="95">
        <v>0.71</v>
      </c>
      <c r="L21" s="95">
        <v>7.69</v>
      </c>
      <c r="O21" s="95">
        <v>999</v>
      </c>
      <c r="P21" s="95">
        <v>2023</v>
      </c>
      <c r="R21" s="95" t="s">
        <v>92</v>
      </c>
      <c r="S21" s="95" t="s">
        <v>70</v>
      </c>
    </row>
    <row r="22" spans="1:20" x14ac:dyDescent="0.2">
      <c r="A22" s="95" t="s">
        <v>97</v>
      </c>
      <c r="B22" s="95" t="s">
        <v>66</v>
      </c>
      <c r="C22" s="95" t="s">
        <v>239</v>
      </c>
      <c r="G22" s="95">
        <v>2</v>
      </c>
      <c r="H22" s="95">
        <v>3.7</v>
      </c>
      <c r="I22" s="95">
        <v>0.876</v>
      </c>
      <c r="P22" s="95">
        <v>2023</v>
      </c>
      <c r="R22" s="95" t="s">
        <v>240</v>
      </c>
      <c r="S22" s="95" t="s">
        <v>99</v>
      </c>
      <c r="T22" s="95" t="s">
        <v>241</v>
      </c>
    </row>
    <row r="23" spans="1:20" x14ac:dyDescent="0.2">
      <c r="A23" s="95" t="s">
        <v>97</v>
      </c>
      <c r="B23" s="95" t="s">
        <v>66</v>
      </c>
      <c r="C23" s="95" t="s">
        <v>252</v>
      </c>
      <c r="G23" s="95">
        <v>6.44</v>
      </c>
      <c r="I23" s="95">
        <v>1.9450000000000001</v>
      </c>
      <c r="P23" s="95">
        <v>2023</v>
      </c>
      <c r="R23" s="95" t="s">
        <v>242</v>
      </c>
      <c r="S23" s="95" t="s">
        <v>99</v>
      </c>
      <c r="T23" s="95" t="s">
        <v>243</v>
      </c>
    </row>
    <row r="24" spans="1:20" x14ac:dyDescent="0.2">
      <c r="A24" s="95" t="s">
        <v>97</v>
      </c>
      <c r="B24" s="95" t="s">
        <v>66</v>
      </c>
      <c r="C24" s="95" t="s">
        <v>239</v>
      </c>
      <c r="G24" s="95">
        <v>3.7</v>
      </c>
      <c r="I24" s="95">
        <v>1.0760000000000001</v>
      </c>
      <c r="P24" s="95">
        <v>2023</v>
      </c>
      <c r="R24" s="95" t="s">
        <v>244</v>
      </c>
      <c r="S24" s="95" t="s">
        <v>99</v>
      </c>
      <c r="T24" s="95" t="s">
        <v>245</v>
      </c>
    </row>
    <row r="25" spans="1:20" x14ac:dyDescent="0.2">
      <c r="A25" s="95" t="s">
        <v>97</v>
      </c>
      <c r="B25" s="95" t="s">
        <v>66</v>
      </c>
      <c r="C25" s="95" t="s">
        <v>239</v>
      </c>
      <c r="G25" s="95">
        <v>4.49</v>
      </c>
      <c r="H25" s="95">
        <v>4</v>
      </c>
      <c r="I25" s="95">
        <v>1.3759999999999999</v>
      </c>
      <c r="P25" s="95">
        <v>2023</v>
      </c>
      <c r="R25" s="95" t="s">
        <v>246</v>
      </c>
      <c r="S25" s="95" t="s">
        <v>99</v>
      </c>
      <c r="T25" s="95" t="s">
        <v>247</v>
      </c>
    </row>
    <row r="26" spans="1:20" x14ac:dyDescent="0.2">
      <c r="A26" s="95" t="s">
        <v>97</v>
      </c>
      <c r="B26" s="95" t="s">
        <v>66</v>
      </c>
      <c r="C26" s="95" t="s">
        <v>252</v>
      </c>
      <c r="G26" s="95">
        <v>6</v>
      </c>
      <c r="I26" s="95">
        <v>1.9450000000000001</v>
      </c>
      <c r="P26" s="95">
        <v>2023</v>
      </c>
      <c r="R26" s="95" t="s">
        <v>248</v>
      </c>
      <c r="S26" s="95" t="s">
        <v>99</v>
      </c>
      <c r="T26" s="95" t="s">
        <v>249</v>
      </c>
    </row>
    <row r="27" spans="1:20" x14ac:dyDescent="0.2">
      <c r="A27" s="95" t="s">
        <v>97</v>
      </c>
      <c r="B27" s="95" t="s">
        <v>66</v>
      </c>
      <c r="C27" s="95" t="s">
        <v>239</v>
      </c>
      <c r="G27" s="95">
        <v>4.5</v>
      </c>
      <c r="H27" s="95">
        <v>4</v>
      </c>
      <c r="I27" s="95">
        <v>1.536</v>
      </c>
      <c r="P27" s="95">
        <v>2023</v>
      </c>
      <c r="R27" s="95" t="s">
        <v>250</v>
      </c>
      <c r="S27" s="95" t="s">
        <v>99</v>
      </c>
      <c r="T27" s="95" t="s">
        <v>251</v>
      </c>
    </row>
    <row r="28" spans="1:20" x14ac:dyDescent="0.2">
      <c r="A28" s="95" t="s">
        <v>97</v>
      </c>
      <c r="B28" s="95" t="s">
        <v>66</v>
      </c>
      <c r="C28" s="95" t="s">
        <v>252</v>
      </c>
      <c r="G28" s="95">
        <v>6.5</v>
      </c>
      <c r="I28" s="95">
        <v>1.665</v>
      </c>
      <c r="P28" s="95">
        <v>2023</v>
      </c>
      <c r="R28" s="95" t="s">
        <v>253</v>
      </c>
      <c r="S28" s="95" t="s">
        <v>99</v>
      </c>
      <c r="T28" s="95" t="s">
        <v>254</v>
      </c>
    </row>
    <row r="29" spans="1:20" x14ac:dyDescent="0.2">
      <c r="A29" s="95" t="s">
        <v>97</v>
      </c>
      <c r="B29" s="95" t="s">
        <v>66</v>
      </c>
      <c r="C29" s="95" t="s">
        <v>239</v>
      </c>
      <c r="G29" s="95">
        <v>4.5</v>
      </c>
      <c r="H29" s="95">
        <v>4</v>
      </c>
      <c r="I29" s="95">
        <v>0.74750000000000005</v>
      </c>
      <c r="P29" s="95">
        <v>2023</v>
      </c>
      <c r="R29" s="95" t="s">
        <v>255</v>
      </c>
      <c r="S29" s="95" t="s">
        <v>99</v>
      </c>
      <c r="T29" s="95" t="s">
        <v>256</v>
      </c>
    </row>
    <row r="30" spans="1:20" x14ac:dyDescent="0.2">
      <c r="A30" s="95" t="s">
        <v>97</v>
      </c>
      <c r="B30" s="95" t="s">
        <v>66</v>
      </c>
      <c r="C30" s="95" t="s">
        <v>239</v>
      </c>
      <c r="G30" s="95">
        <v>2</v>
      </c>
      <c r="H30" s="95">
        <v>3.7</v>
      </c>
      <c r="I30" s="95">
        <v>0.92642857142857149</v>
      </c>
      <c r="P30" s="95">
        <v>2023</v>
      </c>
      <c r="R30" s="95" t="s">
        <v>257</v>
      </c>
      <c r="S30" s="95" t="s">
        <v>99</v>
      </c>
      <c r="T30" s="95" t="s">
        <v>258</v>
      </c>
    </row>
    <row r="31" spans="1:20" x14ac:dyDescent="0.2">
      <c r="A31" s="95" t="s">
        <v>97</v>
      </c>
      <c r="B31" s="95" t="s">
        <v>66</v>
      </c>
      <c r="C31" s="95" t="s">
        <v>239</v>
      </c>
      <c r="G31" s="95">
        <v>3.8</v>
      </c>
      <c r="I31" s="95">
        <v>1.4950000000000001</v>
      </c>
      <c r="P31" s="95">
        <v>2023</v>
      </c>
      <c r="R31" s="95" t="s">
        <v>259</v>
      </c>
      <c r="S31" s="95" t="s">
        <v>99</v>
      </c>
      <c r="T31" s="95" t="s">
        <v>260</v>
      </c>
    </row>
    <row r="32" spans="1:20" x14ac:dyDescent="0.2">
      <c r="A32" s="95" t="s">
        <v>97</v>
      </c>
      <c r="B32" s="95" t="s">
        <v>66</v>
      </c>
      <c r="C32" s="95" t="s">
        <v>239</v>
      </c>
      <c r="G32" s="95">
        <v>2</v>
      </c>
      <c r="H32" s="95">
        <v>3.7</v>
      </c>
      <c r="I32" s="95">
        <v>1.4970000000000001</v>
      </c>
      <c r="P32" s="95">
        <v>2023</v>
      </c>
      <c r="R32" s="95" t="s">
        <v>261</v>
      </c>
      <c r="S32" s="95" t="s">
        <v>99</v>
      </c>
      <c r="T32" s="95" t="s">
        <v>262</v>
      </c>
    </row>
    <row r="33" spans="1:20" x14ac:dyDescent="0.2">
      <c r="A33" s="95" t="s">
        <v>97</v>
      </c>
      <c r="B33" s="95" t="s">
        <v>66</v>
      </c>
      <c r="C33" s="95" t="s">
        <v>239</v>
      </c>
      <c r="G33" s="95">
        <v>4</v>
      </c>
      <c r="I33" s="95">
        <v>1.3283333333333334</v>
      </c>
      <c r="P33" s="95">
        <v>2023</v>
      </c>
      <c r="R33" s="95" t="s">
        <v>263</v>
      </c>
      <c r="S33" s="95" t="s">
        <v>99</v>
      </c>
      <c r="T33" s="95" t="s">
        <v>264</v>
      </c>
    </row>
    <row r="34" spans="1:20" x14ac:dyDescent="0.2">
      <c r="A34" s="95" t="s">
        <v>97</v>
      </c>
      <c r="B34" s="95" t="s">
        <v>66</v>
      </c>
      <c r="C34" s="95" t="s">
        <v>239</v>
      </c>
      <c r="G34" s="95">
        <v>3.7</v>
      </c>
      <c r="I34" s="95">
        <v>1.1960000000000002</v>
      </c>
      <c r="P34" s="95">
        <v>2023</v>
      </c>
      <c r="R34" s="95" t="s">
        <v>265</v>
      </c>
      <c r="S34" s="95" t="s">
        <v>99</v>
      </c>
      <c r="T34" s="95" t="s">
        <v>266</v>
      </c>
    </row>
    <row r="35" spans="1:20" x14ac:dyDescent="0.2">
      <c r="A35" s="95" t="s">
        <v>97</v>
      </c>
      <c r="B35" s="95" t="s">
        <v>66</v>
      </c>
      <c r="C35" s="95" t="s">
        <v>252</v>
      </c>
      <c r="G35" s="95">
        <v>14</v>
      </c>
      <c r="H35" s="95">
        <v>6.8</v>
      </c>
      <c r="I35" s="95">
        <v>1.6658153846153845</v>
      </c>
      <c r="P35" s="95">
        <v>2023</v>
      </c>
      <c r="R35" s="95" t="s">
        <v>267</v>
      </c>
      <c r="S35" s="95" t="s">
        <v>99</v>
      </c>
      <c r="T35" s="95" t="s">
        <v>268</v>
      </c>
    </row>
    <row r="36" spans="1:20" x14ac:dyDescent="0.2">
      <c r="A36" s="95" t="s">
        <v>97</v>
      </c>
      <c r="B36" s="95" t="s">
        <v>66</v>
      </c>
      <c r="C36" s="95" t="s">
        <v>239</v>
      </c>
      <c r="G36" s="95">
        <v>4</v>
      </c>
      <c r="I36" s="95">
        <v>1.9957142857142858</v>
      </c>
      <c r="P36" s="95">
        <v>2023</v>
      </c>
      <c r="R36" s="95" t="s">
        <v>269</v>
      </c>
      <c r="S36" s="95" t="s">
        <v>99</v>
      </c>
      <c r="T36" s="95" t="s">
        <v>270</v>
      </c>
    </row>
    <row r="37" spans="1:20" x14ac:dyDescent="0.2">
      <c r="A37" s="95" t="s">
        <v>97</v>
      </c>
      <c r="B37" s="95" t="s">
        <v>66</v>
      </c>
      <c r="C37" s="95" t="s">
        <v>239</v>
      </c>
      <c r="G37" s="95">
        <v>4</v>
      </c>
      <c r="I37" s="95">
        <v>1.7100000000000002</v>
      </c>
      <c r="P37" s="95">
        <v>2023</v>
      </c>
      <c r="R37" s="95" t="s">
        <v>271</v>
      </c>
      <c r="S37" s="95" t="s">
        <v>99</v>
      </c>
      <c r="T37" s="95" t="s">
        <v>272</v>
      </c>
    </row>
    <row r="38" spans="1:20" x14ac:dyDescent="0.2">
      <c r="A38" s="95" t="s">
        <v>97</v>
      </c>
      <c r="B38" s="95" t="s">
        <v>66</v>
      </c>
      <c r="C38" s="95" t="s">
        <v>252</v>
      </c>
      <c r="G38" s="95">
        <v>14</v>
      </c>
      <c r="H38" s="95">
        <v>6.8</v>
      </c>
      <c r="I38" s="95">
        <v>1.621032258064516</v>
      </c>
      <c r="P38" s="95">
        <v>2023</v>
      </c>
      <c r="R38" s="95" t="s">
        <v>273</v>
      </c>
      <c r="S38" s="95" t="s">
        <v>99</v>
      </c>
      <c r="T38" s="95" t="s">
        <v>274</v>
      </c>
    </row>
    <row r="39" spans="1:20" x14ac:dyDescent="0.2">
      <c r="A39" s="95" t="s">
        <v>97</v>
      </c>
      <c r="B39" s="95" t="s">
        <v>66</v>
      </c>
      <c r="C39" s="95" t="s">
        <v>252</v>
      </c>
      <c r="G39" s="95">
        <v>5.5</v>
      </c>
      <c r="I39" s="95">
        <v>2.2069047619047617</v>
      </c>
      <c r="P39" s="95">
        <v>2023</v>
      </c>
      <c r="R39" s="95" t="s">
        <v>275</v>
      </c>
      <c r="S39" s="95" t="s">
        <v>99</v>
      </c>
      <c r="T39" s="95" t="s">
        <v>276</v>
      </c>
    </row>
    <row r="40" spans="1:20" x14ac:dyDescent="0.2">
      <c r="A40" s="95" t="s">
        <v>97</v>
      </c>
      <c r="B40" s="95" t="s">
        <v>66</v>
      </c>
      <c r="C40" s="95" t="s">
        <v>252</v>
      </c>
      <c r="G40" s="95">
        <v>3.7</v>
      </c>
      <c r="I40" s="95">
        <v>6.427142857142857</v>
      </c>
      <c r="P40" s="95">
        <v>2023</v>
      </c>
      <c r="R40" s="95" t="s">
        <v>277</v>
      </c>
      <c r="S40" s="95" t="s">
        <v>99</v>
      </c>
      <c r="T40" s="95" t="s">
        <v>278</v>
      </c>
    </row>
    <row r="41" spans="1:20" x14ac:dyDescent="0.2">
      <c r="A41" s="95" t="s">
        <v>97</v>
      </c>
      <c r="B41" s="95" t="s">
        <v>66</v>
      </c>
      <c r="C41" s="95" t="s">
        <v>239</v>
      </c>
      <c r="G41" s="95">
        <v>3.8</v>
      </c>
      <c r="I41" s="95">
        <v>1.1475</v>
      </c>
      <c r="P41" s="95">
        <v>2023</v>
      </c>
      <c r="R41" s="95" t="s">
        <v>279</v>
      </c>
      <c r="S41" s="95" t="s">
        <v>99</v>
      </c>
      <c r="T41" s="95" t="s">
        <v>280</v>
      </c>
    </row>
    <row r="42" spans="1:20" x14ac:dyDescent="0.2">
      <c r="A42" s="95" t="s">
        <v>97</v>
      </c>
      <c r="B42" s="95" t="s">
        <v>66</v>
      </c>
      <c r="C42" s="95" t="s">
        <v>252</v>
      </c>
      <c r="G42" s="95">
        <v>3.7</v>
      </c>
      <c r="I42" s="95">
        <v>9.2707142857142859</v>
      </c>
      <c r="P42" s="95">
        <v>2023</v>
      </c>
      <c r="R42" s="95" t="s">
        <v>281</v>
      </c>
      <c r="S42" s="95" t="s">
        <v>99</v>
      </c>
      <c r="T42" s="95" t="s">
        <v>282</v>
      </c>
    </row>
    <row r="43" spans="1:20" x14ac:dyDescent="0.2">
      <c r="A43" s="95" t="s">
        <v>97</v>
      </c>
      <c r="B43" s="95" t="s">
        <v>66</v>
      </c>
      <c r="C43" s="95" t="s">
        <v>252</v>
      </c>
      <c r="G43" s="95">
        <v>3.7</v>
      </c>
      <c r="I43" s="95">
        <v>7.2735714285714286</v>
      </c>
      <c r="P43" s="95">
        <v>2023</v>
      </c>
      <c r="R43" s="95" t="s">
        <v>283</v>
      </c>
      <c r="S43" s="95" t="s">
        <v>99</v>
      </c>
      <c r="T43" s="95" t="s">
        <v>284</v>
      </c>
    </row>
    <row r="44" spans="1:20" x14ac:dyDescent="0.2">
      <c r="A44" s="95" t="s">
        <v>76</v>
      </c>
      <c r="B44" s="95" t="s">
        <v>66</v>
      </c>
      <c r="C44" s="95" t="s">
        <v>93</v>
      </c>
      <c r="F44" s="95">
        <v>3.3</v>
      </c>
      <c r="G44" s="95">
        <v>19</v>
      </c>
      <c r="H44" s="95">
        <v>3.7</v>
      </c>
      <c r="I44" s="95">
        <v>0.22500000000000003</v>
      </c>
      <c r="P44" s="95">
        <v>2023</v>
      </c>
      <c r="Q44" s="95" t="s">
        <v>308</v>
      </c>
      <c r="R44" s="95" t="s">
        <v>309</v>
      </c>
      <c r="S44" s="95" t="s">
        <v>99</v>
      </c>
      <c r="T44" s="95" t="s">
        <v>310</v>
      </c>
    </row>
    <row r="45" spans="1:20" x14ac:dyDescent="0.2">
      <c r="A45" s="95" t="s">
        <v>76</v>
      </c>
      <c r="B45" s="95" t="s">
        <v>66</v>
      </c>
      <c r="C45" s="95" t="s">
        <v>67</v>
      </c>
      <c r="F45" s="95">
        <v>20.5</v>
      </c>
      <c r="G45" s="95">
        <v>19</v>
      </c>
      <c r="H45" s="95">
        <v>2.7</v>
      </c>
      <c r="I45" s="95">
        <v>0.37022831050228311</v>
      </c>
      <c r="P45" s="95">
        <v>2023</v>
      </c>
      <c r="Q45" s="95" t="s">
        <v>311</v>
      </c>
      <c r="R45" s="95" t="s">
        <v>312</v>
      </c>
      <c r="S45" s="95" t="s">
        <v>99</v>
      </c>
      <c r="T45" s="95" t="s">
        <v>313</v>
      </c>
    </row>
    <row r="46" spans="1:20" x14ac:dyDescent="0.2">
      <c r="A46" s="95" t="s">
        <v>76</v>
      </c>
      <c r="B46" s="95" t="s">
        <v>66</v>
      </c>
      <c r="C46" s="95" t="s">
        <v>93</v>
      </c>
      <c r="F46" s="95">
        <v>50</v>
      </c>
      <c r="G46" s="95">
        <v>19</v>
      </c>
      <c r="H46" s="95">
        <v>3.7</v>
      </c>
      <c r="I46" s="95">
        <v>0.4126492194674013</v>
      </c>
      <c r="P46" s="95">
        <v>2023</v>
      </c>
      <c r="Q46" s="95" t="s">
        <v>314</v>
      </c>
      <c r="R46" s="95" t="s">
        <v>315</v>
      </c>
      <c r="S46" s="95" t="s">
        <v>99</v>
      </c>
      <c r="T46" s="95" t="s">
        <v>316</v>
      </c>
    </row>
    <row r="47" spans="1:20" x14ac:dyDescent="0.2">
      <c r="A47" s="95" t="s">
        <v>76</v>
      </c>
      <c r="B47" s="95" t="s">
        <v>66</v>
      </c>
      <c r="C47" s="95" t="s">
        <v>93</v>
      </c>
      <c r="F47" s="95">
        <v>3.3</v>
      </c>
      <c r="G47" s="95">
        <v>19</v>
      </c>
      <c r="H47" s="95">
        <v>3.7</v>
      </c>
      <c r="I47" s="95">
        <v>0.54340359094457458</v>
      </c>
      <c r="P47" s="95">
        <v>2023</v>
      </c>
      <c r="Q47" s="95" t="s">
        <v>308</v>
      </c>
      <c r="R47" s="95" t="s">
        <v>317</v>
      </c>
      <c r="S47" s="95" t="s">
        <v>99</v>
      </c>
      <c r="T47" s="95" t="s">
        <v>318</v>
      </c>
    </row>
    <row r="48" spans="1:20" x14ac:dyDescent="0.2">
      <c r="A48" s="95" t="s">
        <v>76</v>
      </c>
      <c r="B48" s="95" t="s">
        <v>66</v>
      </c>
      <c r="C48" s="95" t="s">
        <v>93</v>
      </c>
      <c r="G48" s="95">
        <v>19</v>
      </c>
      <c r="H48" s="95">
        <v>3.7</v>
      </c>
      <c r="I48" s="95">
        <v>0.34180327868852461</v>
      </c>
      <c r="P48" s="95">
        <v>2023</v>
      </c>
      <c r="Q48" s="95" t="s">
        <v>319</v>
      </c>
      <c r="R48" s="95" t="s">
        <v>320</v>
      </c>
      <c r="S48" s="95" t="s">
        <v>321</v>
      </c>
      <c r="T48" s="95" t="s">
        <v>322</v>
      </c>
    </row>
    <row r="49" spans="1:20" x14ac:dyDescent="0.2">
      <c r="A49" s="95" t="s">
        <v>76</v>
      </c>
      <c r="B49" s="95" t="s">
        <v>66</v>
      </c>
      <c r="C49" s="95" t="s">
        <v>67</v>
      </c>
      <c r="G49" s="95">
        <v>19</v>
      </c>
      <c r="H49" s="95">
        <v>3</v>
      </c>
      <c r="I49" s="95">
        <v>0.52357723577235771</v>
      </c>
      <c r="P49" s="95">
        <v>2023</v>
      </c>
      <c r="Q49" s="95" t="s">
        <v>311</v>
      </c>
      <c r="R49" s="95" t="s">
        <v>323</v>
      </c>
      <c r="S49" s="95" t="s">
        <v>321</v>
      </c>
      <c r="T49" s="95" t="s">
        <v>324</v>
      </c>
    </row>
    <row r="50" spans="1:20" x14ac:dyDescent="0.2">
      <c r="A50" s="95" t="s">
        <v>76</v>
      </c>
      <c r="B50" s="95" t="s">
        <v>66</v>
      </c>
      <c r="C50" s="95" t="s">
        <v>67</v>
      </c>
      <c r="G50" s="95">
        <v>19</v>
      </c>
      <c r="H50" s="95">
        <v>3</v>
      </c>
      <c r="I50" s="95">
        <v>1.0835591689250226</v>
      </c>
      <c r="P50" s="95">
        <v>2023</v>
      </c>
      <c r="Q50" s="95" t="s">
        <v>311</v>
      </c>
      <c r="R50" s="95" t="s">
        <v>325</v>
      </c>
      <c r="S50" s="95" t="s">
        <v>321</v>
      </c>
      <c r="T50" s="95" t="s">
        <v>326</v>
      </c>
    </row>
  </sheetData>
  <hyperlinks>
    <hyperlink ref="A1" location="'Table of Contents'!A1" display="Table of Contents" xr:uid="{3B1D72E4-C7AE-454F-977F-32FB14CBAFA1}"/>
  </hyperlink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DFC3C-A8F6-4D38-828C-88D6BFB6683E}">
  <dimension ref="A1:T196"/>
  <sheetViews>
    <sheetView workbookViewId="0"/>
  </sheetViews>
  <sheetFormatPr baseColWidth="10" defaultColWidth="8.5" defaultRowHeight="15" x14ac:dyDescent="0.2"/>
  <cols>
    <col min="1" max="1" width="14.5" style="95" customWidth="1"/>
    <col min="2" max="2" width="13" style="95" customWidth="1"/>
    <col min="3" max="3" width="10.5" style="95" customWidth="1"/>
    <col min="4" max="4" width="8.5" style="95"/>
    <col min="5" max="5" width="12.5" style="95" customWidth="1"/>
    <col min="6" max="6" width="15.5" style="95" customWidth="1"/>
    <col min="7" max="7" width="9.5" style="95" customWidth="1"/>
    <col min="8" max="9" width="17.5" style="95" customWidth="1"/>
    <col min="10" max="10" width="19.5" style="95" customWidth="1"/>
    <col min="11" max="11" width="13.5" style="95" customWidth="1"/>
    <col min="12" max="12" width="25.5" style="95" customWidth="1"/>
    <col min="13" max="14" width="21.5" style="95" customWidth="1"/>
    <col min="15" max="15" width="10.5" style="95" customWidth="1"/>
    <col min="16" max="17" width="8.5" style="95"/>
    <col min="18" max="18" width="14.5" style="95" customWidth="1"/>
    <col min="19" max="19" width="8.5" style="95"/>
    <col min="20" max="20" width="13.5" style="95" customWidth="1"/>
    <col min="21" max="16384" width="8.5" style="95"/>
  </cols>
  <sheetData>
    <row r="1" spans="1:20" customFormat="1" x14ac:dyDescent="0.2">
      <c r="A1" s="4" t="s">
        <v>21</v>
      </c>
      <c r="K1" s="39"/>
      <c r="L1" s="39"/>
    </row>
    <row r="2" spans="1:20" customFormat="1" ht="19" x14ac:dyDescent="0.25">
      <c r="A2" s="24" t="s">
        <v>22</v>
      </c>
      <c r="K2" s="39"/>
      <c r="L2" s="39"/>
    </row>
    <row r="3" spans="1:20" s="96" customFormat="1" x14ac:dyDescent="0.2">
      <c r="A3" s="96" t="s">
        <v>25</v>
      </c>
      <c r="B3" s="96" t="s">
        <v>26</v>
      </c>
      <c r="C3" s="96" t="s">
        <v>27</v>
      </c>
      <c r="D3" s="96" t="s">
        <v>28</v>
      </c>
      <c r="E3" s="96" t="s">
        <v>29</v>
      </c>
      <c r="F3" s="96" t="s">
        <v>30</v>
      </c>
      <c r="G3" s="96" t="s">
        <v>31</v>
      </c>
      <c r="H3" s="96" t="s">
        <v>32</v>
      </c>
      <c r="I3" s="96" t="s">
        <v>33</v>
      </c>
      <c r="J3" s="96" t="s">
        <v>34</v>
      </c>
      <c r="K3" s="96" t="s">
        <v>35</v>
      </c>
      <c r="L3" s="96" t="s">
        <v>36</v>
      </c>
      <c r="M3" s="96" t="s">
        <v>37</v>
      </c>
      <c r="N3" s="96" t="s">
        <v>38</v>
      </c>
      <c r="O3" s="96" t="s">
        <v>39</v>
      </c>
      <c r="P3" s="96" t="s">
        <v>40</v>
      </c>
      <c r="Q3" s="96" t="s">
        <v>41</v>
      </c>
      <c r="R3" s="96" t="s">
        <v>42</v>
      </c>
      <c r="S3" s="96" t="s">
        <v>43</v>
      </c>
      <c r="T3" s="96" t="s">
        <v>44</v>
      </c>
    </row>
    <row r="4" spans="1:20" x14ac:dyDescent="0.2">
      <c r="A4" s="95" t="s">
        <v>65</v>
      </c>
      <c r="B4" s="95" t="s">
        <v>66</v>
      </c>
      <c r="C4" s="95" t="s">
        <v>67</v>
      </c>
      <c r="D4" s="95" t="s">
        <v>68</v>
      </c>
      <c r="E4" s="95" t="s">
        <v>68</v>
      </c>
      <c r="F4" s="95">
        <v>1</v>
      </c>
      <c r="G4" s="95">
        <v>4.0999999999999996</v>
      </c>
      <c r="I4" s="95">
        <v>0.42</v>
      </c>
      <c r="J4" s="95">
        <v>8.0000000000000002E-3</v>
      </c>
      <c r="K4" s="95">
        <v>0.31</v>
      </c>
      <c r="L4" s="95">
        <v>0.96</v>
      </c>
      <c r="O4" s="95">
        <v>999</v>
      </c>
      <c r="P4" s="95">
        <v>2023</v>
      </c>
      <c r="R4" s="95" t="s">
        <v>69</v>
      </c>
      <c r="S4" s="95" t="s">
        <v>70</v>
      </c>
    </row>
    <row r="5" spans="1:20" x14ac:dyDescent="0.2">
      <c r="A5" s="95" t="s">
        <v>65</v>
      </c>
      <c r="B5" s="95" t="s">
        <v>66</v>
      </c>
      <c r="C5" s="95" t="s">
        <v>67</v>
      </c>
      <c r="D5" s="95" t="s">
        <v>68</v>
      </c>
      <c r="E5" s="95" t="s">
        <v>68</v>
      </c>
      <c r="F5" s="95">
        <v>1.5</v>
      </c>
      <c r="G5" s="95">
        <v>6.2</v>
      </c>
      <c r="I5" s="95">
        <v>1.32</v>
      </c>
      <c r="J5" s="95">
        <v>8.0000000000000002E-3</v>
      </c>
      <c r="K5" s="95">
        <v>0.31</v>
      </c>
      <c r="L5" s="95">
        <v>1.95</v>
      </c>
      <c r="O5" s="95">
        <v>999</v>
      </c>
      <c r="P5" s="95">
        <v>2023</v>
      </c>
      <c r="R5" s="95" t="s">
        <v>69</v>
      </c>
      <c r="S5" s="95" t="s">
        <v>70</v>
      </c>
    </row>
    <row r="6" spans="1:20" x14ac:dyDescent="0.2">
      <c r="A6" s="95" t="s">
        <v>65</v>
      </c>
      <c r="B6" s="95" t="s">
        <v>66</v>
      </c>
      <c r="C6" s="95" t="s">
        <v>67</v>
      </c>
      <c r="D6" s="95" t="s">
        <v>68</v>
      </c>
      <c r="E6" s="95" t="s">
        <v>68</v>
      </c>
      <c r="F6" s="95">
        <v>2</v>
      </c>
      <c r="G6" s="95">
        <v>8.3000000000000007</v>
      </c>
      <c r="I6" s="95">
        <v>0.67</v>
      </c>
      <c r="J6" s="95">
        <v>8.0000000000000002E-3</v>
      </c>
      <c r="K6" s="95">
        <v>0.31</v>
      </c>
      <c r="L6" s="95">
        <v>1.24</v>
      </c>
      <c r="O6" s="95">
        <v>999</v>
      </c>
      <c r="P6" s="95">
        <v>2023</v>
      </c>
      <c r="R6" s="95" t="s">
        <v>69</v>
      </c>
      <c r="S6" s="95" t="s">
        <v>70</v>
      </c>
    </row>
    <row r="7" spans="1:20" x14ac:dyDescent="0.2">
      <c r="A7" s="95" t="s">
        <v>65</v>
      </c>
      <c r="B7" s="95" t="s">
        <v>66</v>
      </c>
      <c r="C7" s="95" t="s">
        <v>67</v>
      </c>
      <c r="D7" s="95" t="s">
        <v>68</v>
      </c>
      <c r="E7" s="95" t="s">
        <v>68</v>
      </c>
      <c r="F7" s="95">
        <v>3</v>
      </c>
      <c r="G7" s="95">
        <v>12.4</v>
      </c>
      <c r="I7" s="95">
        <v>0.89</v>
      </c>
      <c r="J7" s="95">
        <v>0.01</v>
      </c>
      <c r="K7" s="95">
        <v>0.39</v>
      </c>
      <c r="L7" s="95">
        <v>1.61</v>
      </c>
      <c r="O7" s="95">
        <v>999</v>
      </c>
      <c r="P7" s="95">
        <v>2023</v>
      </c>
      <c r="R7" s="95" t="s">
        <v>69</v>
      </c>
      <c r="S7" s="95" t="s">
        <v>70</v>
      </c>
    </row>
    <row r="8" spans="1:20" x14ac:dyDescent="0.2">
      <c r="A8" s="95" t="s">
        <v>65</v>
      </c>
      <c r="B8" s="95" t="s">
        <v>66</v>
      </c>
      <c r="C8" s="95" t="s">
        <v>67</v>
      </c>
      <c r="D8" s="95" t="s">
        <v>68</v>
      </c>
      <c r="E8" s="95" t="s">
        <v>68</v>
      </c>
      <c r="F8" s="95">
        <v>1</v>
      </c>
      <c r="G8" s="95">
        <v>4.3</v>
      </c>
      <c r="I8" s="95">
        <v>0.87</v>
      </c>
      <c r="J8" s="95">
        <v>8.0000000000000002E-3</v>
      </c>
      <c r="K8" s="95">
        <v>0.31</v>
      </c>
      <c r="L8" s="95">
        <v>1.46</v>
      </c>
      <c r="O8" s="95">
        <v>999</v>
      </c>
      <c r="P8" s="95">
        <v>2023</v>
      </c>
      <c r="R8" s="95" t="s">
        <v>69</v>
      </c>
      <c r="S8" s="95" t="s">
        <v>70</v>
      </c>
    </row>
    <row r="9" spans="1:20" x14ac:dyDescent="0.2">
      <c r="A9" s="95" t="s">
        <v>65</v>
      </c>
      <c r="B9" s="95" t="s">
        <v>66</v>
      </c>
      <c r="C9" s="95" t="s">
        <v>67</v>
      </c>
      <c r="D9" s="95" t="s">
        <v>68</v>
      </c>
      <c r="E9" s="95" t="s">
        <v>68</v>
      </c>
      <c r="F9" s="95">
        <v>2</v>
      </c>
      <c r="G9" s="95">
        <v>8.6999999999999993</v>
      </c>
      <c r="I9" s="95">
        <v>1.78</v>
      </c>
      <c r="J9" s="95">
        <v>8.9999999999999993E-3</v>
      </c>
      <c r="K9" s="95">
        <v>0.35</v>
      </c>
      <c r="L9" s="95">
        <v>2.5299999999999998</v>
      </c>
      <c r="O9" s="95">
        <v>999</v>
      </c>
      <c r="P9" s="95">
        <v>2023</v>
      </c>
      <c r="R9" s="95" t="s">
        <v>69</v>
      </c>
      <c r="S9" s="95" t="s">
        <v>70</v>
      </c>
    </row>
    <row r="10" spans="1:20" x14ac:dyDescent="0.2">
      <c r="A10" s="95" t="s">
        <v>65</v>
      </c>
      <c r="B10" s="95" t="s">
        <v>66</v>
      </c>
      <c r="C10" s="95" t="s">
        <v>67</v>
      </c>
      <c r="D10" s="95" t="s">
        <v>68</v>
      </c>
      <c r="E10" s="95" t="s">
        <v>68</v>
      </c>
      <c r="F10" s="95">
        <v>2.5</v>
      </c>
      <c r="G10" s="95">
        <v>10.9</v>
      </c>
      <c r="I10" s="95">
        <v>1.57</v>
      </c>
      <c r="J10" s="95">
        <v>0.01</v>
      </c>
      <c r="K10" s="95">
        <v>0.39</v>
      </c>
      <c r="L10" s="95">
        <v>2.36</v>
      </c>
      <c r="O10" s="95">
        <v>999</v>
      </c>
      <c r="P10" s="95">
        <v>2023</v>
      </c>
      <c r="R10" s="95" t="s">
        <v>69</v>
      </c>
      <c r="S10" s="95" t="s">
        <v>70</v>
      </c>
    </row>
    <row r="11" spans="1:20" x14ac:dyDescent="0.2">
      <c r="A11" s="95" t="s">
        <v>65</v>
      </c>
      <c r="B11" s="95" t="s">
        <v>66</v>
      </c>
      <c r="C11" s="95" t="s">
        <v>67</v>
      </c>
      <c r="D11" s="95" t="s">
        <v>68</v>
      </c>
      <c r="E11" s="95" t="s">
        <v>68</v>
      </c>
      <c r="F11" s="95">
        <v>3</v>
      </c>
      <c r="G11" s="95">
        <v>13</v>
      </c>
      <c r="I11" s="95">
        <v>0.59</v>
      </c>
      <c r="J11" s="95">
        <v>0.01</v>
      </c>
      <c r="K11" s="95">
        <v>0.39</v>
      </c>
      <c r="L11" s="95">
        <v>1.28</v>
      </c>
      <c r="O11" s="95">
        <v>999</v>
      </c>
      <c r="P11" s="95">
        <v>2023</v>
      </c>
      <c r="R11" s="95" t="s">
        <v>69</v>
      </c>
      <c r="S11" s="95" t="s">
        <v>70</v>
      </c>
    </row>
    <row r="12" spans="1:20" x14ac:dyDescent="0.2">
      <c r="A12" s="95" t="s">
        <v>65</v>
      </c>
      <c r="B12" s="95" t="s">
        <v>66</v>
      </c>
      <c r="C12" s="95" t="s">
        <v>67</v>
      </c>
      <c r="D12" s="95" t="s">
        <v>81</v>
      </c>
      <c r="E12" s="95" t="s">
        <v>82</v>
      </c>
      <c r="F12" s="95">
        <v>0.5</v>
      </c>
      <c r="G12" s="95">
        <v>4.3</v>
      </c>
      <c r="I12" s="95">
        <v>1.21</v>
      </c>
      <c r="J12" s="95">
        <v>8.0000000000000002E-3</v>
      </c>
      <c r="K12" s="95">
        <v>0.31</v>
      </c>
      <c r="L12" s="95">
        <v>1.83</v>
      </c>
      <c r="O12" s="95">
        <v>999</v>
      </c>
      <c r="P12" s="95">
        <v>2023</v>
      </c>
      <c r="R12" s="95" t="s">
        <v>69</v>
      </c>
      <c r="S12" s="95" t="s">
        <v>70</v>
      </c>
    </row>
    <row r="13" spans="1:20" x14ac:dyDescent="0.2">
      <c r="A13" s="95" t="s">
        <v>65</v>
      </c>
      <c r="B13" s="95" t="s">
        <v>66</v>
      </c>
      <c r="C13" s="95" t="s">
        <v>67</v>
      </c>
      <c r="D13" s="95" t="s">
        <v>81</v>
      </c>
      <c r="E13" s="95" t="s">
        <v>82</v>
      </c>
      <c r="F13" s="95">
        <v>0.625</v>
      </c>
      <c r="G13" s="95">
        <v>6.5</v>
      </c>
      <c r="I13" s="95">
        <v>1.68</v>
      </c>
      <c r="J13" s="95">
        <v>8.0000000000000002E-3</v>
      </c>
      <c r="K13" s="95">
        <v>0.31</v>
      </c>
      <c r="L13" s="95">
        <v>2.35</v>
      </c>
      <c r="O13" s="95">
        <v>999</v>
      </c>
      <c r="P13" s="95">
        <v>2023</v>
      </c>
      <c r="R13" s="95" t="s">
        <v>69</v>
      </c>
      <c r="S13" s="95" t="s">
        <v>70</v>
      </c>
    </row>
    <row r="14" spans="1:20" x14ac:dyDescent="0.2">
      <c r="A14" s="95" t="s">
        <v>65</v>
      </c>
      <c r="B14" s="95" t="s">
        <v>66</v>
      </c>
      <c r="C14" s="95" t="s">
        <v>67</v>
      </c>
      <c r="D14" s="95" t="s">
        <v>81</v>
      </c>
      <c r="E14" s="95" t="s">
        <v>82</v>
      </c>
      <c r="F14" s="95">
        <v>0.75</v>
      </c>
      <c r="G14" s="95">
        <v>8.6999999999999993</v>
      </c>
      <c r="I14" s="95">
        <v>2.27</v>
      </c>
      <c r="J14" s="95">
        <v>8.9999999999999993E-3</v>
      </c>
      <c r="K14" s="95">
        <v>0.35</v>
      </c>
      <c r="L14" s="95">
        <v>3.07</v>
      </c>
      <c r="O14" s="95">
        <v>999</v>
      </c>
      <c r="P14" s="95">
        <v>2023</v>
      </c>
      <c r="R14" s="95" t="s">
        <v>69</v>
      </c>
      <c r="S14" s="95" t="s">
        <v>70</v>
      </c>
    </row>
    <row r="15" spans="1:20" x14ac:dyDescent="0.2">
      <c r="A15" s="95" t="s">
        <v>65</v>
      </c>
      <c r="B15" s="95" t="s">
        <v>66</v>
      </c>
      <c r="C15" s="95" t="s">
        <v>67</v>
      </c>
      <c r="D15" s="95" t="s">
        <v>81</v>
      </c>
      <c r="E15" s="95" t="s">
        <v>82</v>
      </c>
      <c r="F15" s="95">
        <v>1</v>
      </c>
      <c r="G15" s="95">
        <v>10.9</v>
      </c>
      <c r="I15" s="95">
        <v>2.64</v>
      </c>
      <c r="J15" s="95">
        <v>0.01</v>
      </c>
      <c r="K15" s="95">
        <v>0.39</v>
      </c>
      <c r="L15" s="95">
        <v>3.53</v>
      </c>
      <c r="O15" s="95">
        <v>999</v>
      </c>
      <c r="P15" s="95">
        <v>2023</v>
      </c>
      <c r="R15" s="95" t="s">
        <v>69</v>
      </c>
      <c r="S15" s="95" t="s">
        <v>70</v>
      </c>
    </row>
    <row r="16" spans="1:20" x14ac:dyDescent="0.2">
      <c r="A16" s="95" t="s">
        <v>65</v>
      </c>
      <c r="B16" s="95" t="s">
        <v>66</v>
      </c>
      <c r="C16" s="95" t="s">
        <v>67</v>
      </c>
      <c r="D16" s="95" t="s">
        <v>81</v>
      </c>
      <c r="E16" s="95" t="s">
        <v>82</v>
      </c>
      <c r="F16" s="95">
        <v>1.5</v>
      </c>
      <c r="G16" s="95">
        <v>13</v>
      </c>
      <c r="I16" s="95">
        <v>0.56999999999999995</v>
      </c>
      <c r="J16" s="95">
        <v>0.01</v>
      </c>
      <c r="K16" s="95">
        <v>0.39</v>
      </c>
      <c r="L16" s="95">
        <v>1.26</v>
      </c>
      <c r="O16" s="95">
        <v>999</v>
      </c>
      <c r="P16" s="95">
        <v>2023</v>
      </c>
      <c r="R16" s="95" t="s">
        <v>69</v>
      </c>
      <c r="S16" s="95" t="s">
        <v>70</v>
      </c>
    </row>
    <row r="17" spans="1:19" x14ac:dyDescent="0.2">
      <c r="A17" s="95" t="s">
        <v>65</v>
      </c>
      <c r="B17" s="95" t="s">
        <v>66</v>
      </c>
      <c r="C17" s="95" t="s">
        <v>84</v>
      </c>
      <c r="D17" s="95" t="s">
        <v>81</v>
      </c>
      <c r="E17" s="95" t="s">
        <v>82</v>
      </c>
      <c r="F17" s="95">
        <v>1</v>
      </c>
      <c r="G17" s="95">
        <v>2.77</v>
      </c>
      <c r="I17" s="95">
        <v>0.71</v>
      </c>
      <c r="J17" s="95">
        <v>0.01</v>
      </c>
      <c r="K17" s="95">
        <v>0.39</v>
      </c>
      <c r="L17" s="95">
        <v>1.41</v>
      </c>
      <c r="O17" s="95">
        <v>999</v>
      </c>
      <c r="P17" s="95">
        <v>2023</v>
      </c>
      <c r="R17" s="95" t="s">
        <v>69</v>
      </c>
      <c r="S17" s="95" t="s">
        <v>70</v>
      </c>
    </row>
    <row r="18" spans="1:19" x14ac:dyDescent="0.2">
      <c r="A18" s="95" t="s">
        <v>65</v>
      </c>
      <c r="B18" s="95" t="s">
        <v>66</v>
      </c>
      <c r="C18" s="95" t="s">
        <v>84</v>
      </c>
      <c r="D18" s="95" t="s">
        <v>81</v>
      </c>
      <c r="E18" s="95" t="s">
        <v>82</v>
      </c>
      <c r="F18" s="95">
        <v>2</v>
      </c>
      <c r="G18" s="95">
        <v>5.55</v>
      </c>
      <c r="I18" s="95">
        <v>1.26</v>
      </c>
      <c r="J18" s="95">
        <v>1.0999999999999999E-2</v>
      </c>
      <c r="K18" s="95">
        <v>0.42</v>
      </c>
      <c r="L18" s="95">
        <v>2.08</v>
      </c>
      <c r="O18" s="95">
        <v>999</v>
      </c>
      <c r="P18" s="95">
        <v>2023</v>
      </c>
      <c r="R18" s="95" t="s">
        <v>69</v>
      </c>
      <c r="S18" s="95" t="s">
        <v>70</v>
      </c>
    </row>
    <row r="19" spans="1:19" x14ac:dyDescent="0.2">
      <c r="A19" s="95" t="s">
        <v>65</v>
      </c>
      <c r="B19" s="95" t="s">
        <v>66</v>
      </c>
      <c r="C19" s="95" t="s">
        <v>84</v>
      </c>
      <c r="D19" s="95" t="s">
        <v>81</v>
      </c>
      <c r="E19" s="95" t="s">
        <v>82</v>
      </c>
      <c r="F19" s="95">
        <v>1</v>
      </c>
      <c r="G19" s="95">
        <v>5</v>
      </c>
      <c r="I19" s="95">
        <v>1.26</v>
      </c>
      <c r="J19" s="95">
        <v>0.01</v>
      </c>
      <c r="K19" s="95">
        <v>0.39</v>
      </c>
      <c r="L19" s="95">
        <v>2.02</v>
      </c>
      <c r="O19" s="95">
        <v>999</v>
      </c>
      <c r="P19" s="95">
        <v>2023</v>
      </c>
      <c r="R19" s="95" t="s">
        <v>69</v>
      </c>
      <c r="S19" s="95" t="s">
        <v>70</v>
      </c>
    </row>
    <row r="20" spans="1:19" x14ac:dyDescent="0.2">
      <c r="A20" s="95" t="s">
        <v>65</v>
      </c>
      <c r="B20" s="95" t="s">
        <v>66</v>
      </c>
      <c r="C20" s="95" t="s">
        <v>84</v>
      </c>
      <c r="D20" s="95" t="s">
        <v>81</v>
      </c>
      <c r="E20" s="95" t="s">
        <v>82</v>
      </c>
      <c r="F20" s="95">
        <v>2</v>
      </c>
      <c r="G20" s="95">
        <v>10</v>
      </c>
      <c r="I20" s="95">
        <v>1.91</v>
      </c>
      <c r="J20" s="95">
        <v>1.0999999999999999E-2</v>
      </c>
      <c r="K20" s="95">
        <v>0.42</v>
      </c>
      <c r="L20" s="95">
        <v>2.79</v>
      </c>
      <c r="O20" s="95">
        <v>999</v>
      </c>
      <c r="P20" s="95">
        <v>2023</v>
      </c>
      <c r="R20" s="95" t="s">
        <v>69</v>
      </c>
      <c r="S20" s="95" t="s">
        <v>70</v>
      </c>
    </row>
    <row r="21" spans="1:19" x14ac:dyDescent="0.2">
      <c r="A21" s="95" t="s">
        <v>65</v>
      </c>
      <c r="B21" s="95" t="s">
        <v>66</v>
      </c>
      <c r="C21" s="95" t="s">
        <v>84</v>
      </c>
      <c r="D21" s="95" t="s">
        <v>81</v>
      </c>
      <c r="E21" s="95" t="s">
        <v>82</v>
      </c>
      <c r="F21" s="95">
        <v>3</v>
      </c>
      <c r="G21" s="95">
        <v>15</v>
      </c>
      <c r="I21" s="95">
        <v>3.05</v>
      </c>
      <c r="J21" s="95">
        <v>1.0999999999999999E-2</v>
      </c>
      <c r="K21" s="95">
        <v>0.42</v>
      </c>
      <c r="L21" s="95">
        <v>4.05</v>
      </c>
      <c r="O21" s="95">
        <v>999</v>
      </c>
      <c r="P21" s="95">
        <v>2023</v>
      </c>
      <c r="R21" s="95" t="s">
        <v>69</v>
      </c>
      <c r="S21" s="95" t="s">
        <v>70</v>
      </c>
    </row>
    <row r="22" spans="1:19" x14ac:dyDescent="0.2">
      <c r="A22" s="95" t="s">
        <v>65</v>
      </c>
      <c r="B22" s="95" t="s">
        <v>66</v>
      </c>
      <c r="C22" s="95" t="s">
        <v>84</v>
      </c>
      <c r="D22" s="95" t="s">
        <v>81</v>
      </c>
      <c r="E22" s="95" t="s">
        <v>82</v>
      </c>
      <c r="F22" s="95">
        <v>1</v>
      </c>
      <c r="G22" s="95">
        <v>3.85</v>
      </c>
      <c r="I22" s="95">
        <v>0.34</v>
      </c>
      <c r="J22" s="95">
        <v>0.01</v>
      </c>
      <c r="K22" s="95">
        <v>0.39</v>
      </c>
      <c r="L22" s="95">
        <v>1</v>
      </c>
      <c r="O22" s="95">
        <v>999</v>
      </c>
      <c r="P22" s="95">
        <v>2023</v>
      </c>
      <c r="R22" s="95" t="s">
        <v>69</v>
      </c>
      <c r="S22" s="95" t="s">
        <v>70</v>
      </c>
    </row>
    <row r="23" spans="1:19" x14ac:dyDescent="0.2">
      <c r="A23" s="95" t="s">
        <v>65</v>
      </c>
      <c r="B23" s="95" t="s">
        <v>66</v>
      </c>
      <c r="C23" s="95" t="s">
        <v>84</v>
      </c>
      <c r="D23" s="95" t="s">
        <v>81</v>
      </c>
      <c r="E23" s="95" t="s">
        <v>82</v>
      </c>
      <c r="F23" s="95">
        <v>2</v>
      </c>
      <c r="G23" s="95">
        <v>7.69</v>
      </c>
      <c r="I23" s="95">
        <v>0.68</v>
      </c>
      <c r="J23" s="95">
        <v>1.0999999999999999E-2</v>
      </c>
      <c r="K23" s="95">
        <v>0.42</v>
      </c>
      <c r="L23" s="95">
        <v>1.44</v>
      </c>
      <c r="O23" s="95">
        <v>999</v>
      </c>
      <c r="P23" s="95">
        <v>2023</v>
      </c>
      <c r="R23" s="95" t="s">
        <v>69</v>
      </c>
      <c r="S23" s="95" t="s">
        <v>70</v>
      </c>
    </row>
    <row r="24" spans="1:19" x14ac:dyDescent="0.2">
      <c r="A24" s="95" t="s">
        <v>65</v>
      </c>
      <c r="B24" s="95" t="s">
        <v>66</v>
      </c>
      <c r="C24" s="95" t="s">
        <v>84</v>
      </c>
      <c r="D24" s="95" t="s">
        <v>81</v>
      </c>
      <c r="E24" s="95" t="s">
        <v>82</v>
      </c>
      <c r="F24" s="95">
        <v>3</v>
      </c>
      <c r="G24" s="95">
        <v>11.49</v>
      </c>
      <c r="I24" s="95">
        <v>1.02</v>
      </c>
      <c r="J24" s="95">
        <v>1.0999999999999999E-2</v>
      </c>
      <c r="K24" s="95">
        <v>0.42</v>
      </c>
      <c r="L24" s="95">
        <v>1.81</v>
      </c>
      <c r="O24" s="95">
        <v>999</v>
      </c>
      <c r="P24" s="95">
        <v>2023</v>
      </c>
      <c r="R24" s="95" t="s">
        <v>69</v>
      </c>
      <c r="S24" s="95" t="s">
        <v>70</v>
      </c>
    </row>
    <row r="25" spans="1:19" x14ac:dyDescent="0.2">
      <c r="A25" s="95" t="s">
        <v>65</v>
      </c>
      <c r="B25" s="95" t="s">
        <v>66</v>
      </c>
      <c r="C25" s="95" t="s">
        <v>85</v>
      </c>
      <c r="D25" s="95" t="s">
        <v>68</v>
      </c>
      <c r="E25" s="95" t="s">
        <v>68</v>
      </c>
      <c r="F25" s="95">
        <v>1</v>
      </c>
      <c r="G25" s="95">
        <v>4</v>
      </c>
      <c r="I25" s="95">
        <v>0.34</v>
      </c>
      <c r="J25" s="95">
        <v>1.2E-2</v>
      </c>
      <c r="K25" s="95">
        <v>0.45</v>
      </c>
      <c r="L25" s="95">
        <v>1.1100000000000001</v>
      </c>
      <c r="O25" s="95">
        <v>999</v>
      </c>
      <c r="P25" s="95">
        <v>2023</v>
      </c>
      <c r="R25" s="95" t="s">
        <v>69</v>
      </c>
      <c r="S25" s="95" t="s">
        <v>70</v>
      </c>
    </row>
    <row r="26" spans="1:19" x14ac:dyDescent="0.2">
      <c r="A26" s="95" t="s">
        <v>65</v>
      </c>
      <c r="B26" s="95" t="s">
        <v>66</v>
      </c>
      <c r="C26" s="95" t="s">
        <v>85</v>
      </c>
      <c r="D26" s="95" t="s">
        <v>68</v>
      </c>
      <c r="E26" s="95" t="s">
        <v>68</v>
      </c>
      <c r="F26" s="95">
        <v>2</v>
      </c>
      <c r="G26" s="95">
        <v>8</v>
      </c>
      <c r="I26" s="95">
        <v>0.68</v>
      </c>
      <c r="J26" s="95">
        <v>1.2E-2</v>
      </c>
      <c r="K26" s="95">
        <v>0.46</v>
      </c>
      <c r="L26" s="95">
        <v>1.5</v>
      </c>
      <c r="O26" s="95">
        <v>999</v>
      </c>
      <c r="P26" s="95">
        <v>2023</v>
      </c>
      <c r="R26" s="95" t="s">
        <v>69</v>
      </c>
      <c r="S26" s="95" t="s">
        <v>70</v>
      </c>
    </row>
    <row r="27" spans="1:19" x14ac:dyDescent="0.2">
      <c r="A27" s="95" t="s">
        <v>65</v>
      </c>
      <c r="B27" s="95" t="s">
        <v>66</v>
      </c>
      <c r="C27" s="95" t="s">
        <v>86</v>
      </c>
      <c r="D27" s="95" t="s">
        <v>68</v>
      </c>
      <c r="E27" s="95" t="s">
        <v>68</v>
      </c>
      <c r="F27" s="95">
        <v>1</v>
      </c>
      <c r="G27" s="95">
        <v>4</v>
      </c>
      <c r="I27" s="95">
        <v>0.34</v>
      </c>
      <c r="J27" s="95">
        <v>1.2E-2</v>
      </c>
      <c r="K27" s="95">
        <v>0.45</v>
      </c>
      <c r="L27" s="95">
        <v>1.1100000000000001</v>
      </c>
      <c r="O27" s="95">
        <v>999</v>
      </c>
      <c r="P27" s="95">
        <v>2023</v>
      </c>
      <c r="R27" s="95" t="s">
        <v>69</v>
      </c>
      <c r="S27" s="95" t="s">
        <v>70</v>
      </c>
    </row>
    <row r="28" spans="1:19" x14ac:dyDescent="0.2">
      <c r="A28" s="95" t="s">
        <v>65</v>
      </c>
      <c r="B28" s="95" t="s">
        <v>66</v>
      </c>
      <c r="C28" s="95" t="s">
        <v>86</v>
      </c>
      <c r="D28" s="95" t="s">
        <v>68</v>
      </c>
      <c r="E28" s="95" t="s">
        <v>68</v>
      </c>
      <c r="F28" s="95">
        <v>2</v>
      </c>
      <c r="G28" s="95">
        <v>8</v>
      </c>
      <c r="I28" s="95">
        <v>0.68</v>
      </c>
      <c r="J28" s="95">
        <v>1.2E-2</v>
      </c>
      <c r="K28" s="95">
        <v>0.46</v>
      </c>
      <c r="L28" s="95">
        <v>1.5</v>
      </c>
      <c r="O28" s="95">
        <v>999</v>
      </c>
      <c r="P28" s="95">
        <v>2023</v>
      </c>
      <c r="R28" s="95" t="s">
        <v>69</v>
      </c>
      <c r="S28" s="95" t="s">
        <v>70</v>
      </c>
    </row>
    <row r="29" spans="1:19" x14ac:dyDescent="0.2">
      <c r="A29" s="95" t="s">
        <v>73</v>
      </c>
      <c r="B29" s="95" t="s">
        <v>69</v>
      </c>
      <c r="C29" s="95" t="s">
        <v>67</v>
      </c>
      <c r="D29" s="95" t="s">
        <v>81</v>
      </c>
      <c r="E29" s="95" t="s">
        <v>89</v>
      </c>
      <c r="F29" s="95">
        <v>3.5</v>
      </c>
      <c r="G29" s="95">
        <v>11</v>
      </c>
      <c r="I29" s="95">
        <v>0.53</v>
      </c>
      <c r="J29" s="95">
        <v>6.0000000000000001E-3</v>
      </c>
      <c r="K29" s="95">
        <v>0.23</v>
      </c>
      <c r="L29" s="95">
        <v>0.95</v>
      </c>
      <c r="O29" s="95">
        <v>999</v>
      </c>
      <c r="P29" s="95">
        <v>2023</v>
      </c>
      <c r="R29" s="95" t="s">
        <v>69</v>
      </c>
      <c r="S29" s="95" t="s">
        <v>70</v>
      </c>
    </row>
    <row r="30" spans="1:19" x14ac:dyDescent="0.2">
      <c r="A30" s="95" t="s">
        <v>73</v>
      </c>
      <c r="B30" s="95" t="s">
        <v>69</v>
      </c>
      <c r="C30" s="95" t="s">
        <v>67</v>
      </c>
      <c r="D30" s="95" t="s">
        <v>81</v>
      </c>
      <c r="E30" s="95" t="s">
        <v>89</v>
      </c>
      <c r="F30" s="95">
        <v>3.5</v>
      </c>
      <c r="G30" s="95">
        <v>13</v>
      </c>
      <c r="I30" s="95">
        <v>0.85</v>
      </c>
      <c r="J30" s="95">
        <v>7.0000000000000001E-3</v>
      </c>
      <c r="K30" s="95">
        <v>0.27</v>
      </c>
      <c r="L30" s="95">
        <v>1.38</v>
      </c>
      <c r="O30" s="95">
        <v>999</v>
      </c>
      <c r="P30" s="95">
        <v>2023</v>
      </c>
      <c r="R30" s="95" t="s">
        <v>69</v>
      </c>
      <c r="S30" s="95" t="s">
        <v>70</v>
      </c>
    </row>
    <row r="31" spans="1:19" x14ac:dyDescent="0.2">
      <c r="A31" s="95" t="s">
        <v>73</v>
      </c>
      <c r="B31" s="95" t="s">
        <v>69</v>
      </c>
      <c r="C31" s="95" t="s">
        <v>67</v>
      </c>
      <c r="D31" s="95" t="s">
        <v>81</v>
      </c>
      <c r="E31" s="95" t="s">
        <v>89</v>
      </c>
      <c r="F31" s="95">
        <v>3.5</v>
      </c>
      <c r="G31" s="95">
        <v>15</v>
      </c>
      <c r="I31" s="95">
        <v>0.87</v>
      </c>
      <c r="J31" s="95">
        <v>7.0000000000000001E-3</v>
      </c>
      <c r="K31" s="95">
        <v>0.27</v>
      </c>
      <c r="L31" s="95">
        <v>1.4</v>
      </c>
      <c r="O31" s="95">
        <v>999</v>
      </c>
      <c r="P31" s="95">
        <v>2023</v>
      </c>
      <c r="R31" s="95" t="s">
        <v>69</v>
      </c>
      <c r="S31" s="95" t="s">
        <v>70</v>
      </c>
    </row>
    <row r="32" spans="1:19" x14ac:dyDescent="0.2">
      <c r="A32" s="95" t="s">
        <v>73</v>
      </c>
      <c r="B32" s="95" t="s">
        <v>69</v>
      </c>
      <c r="C32" s="95" t="s">
        <v>67</v>
      </c>
      <c r="D32" s="95" t="s">
        <v>81</v>
      </c>
      <c r="E32" s="95" t="s">
        <v>89</v>
      </c>
      <c r="F32" s="95">
        <v>6</v>
      </c>
      <c r="G32" s="95">
        <v>19</v>
      </c>
      <c r="I32" s="95">
        <v>0.95</v>
      </c>
      <c r="J32" s="95">
        <v>7.0000000000000001E-3</v>
      </c>
      <c r="K32" s="95">
        <v>0.27</v>
      </c>
      <c r="L32" s="95">
        <v>1.49</v>
      </c>
      <c r="O32" s="95">
        <v>999</v>
      </c>
      <c r="P32" s="95">
        <v>2023</v>
      </c>
      <c r="R32" s="95" t="s">
        <v>69</v>
      </c>
      <c r="S32" s="95" t="s">
        <v>70</v>
      </c>
    </row>
    <row r="33" spans="1:19" x14ac:dyDescent="0.2">
      <c r="A33" s="95" t="s">
        <v>73</v>
      </c>
      <c r="B33" s="95" t="s">
        <v>69</v>
      </c>
      <c r="C33" s="95" t="s">
        <v>67</v>
      </c>
      <c r="D33" s="95" t="s">
        <v>81</v>
      </c>
      <c r="E33" s="95" t="s">
        <v>89</v>
      </c>
      <c r="F33" s="95">
        <v>9</v>
      </c>
      <c r="G33" s="95">
        <v>30</v>
      </c>
      <c r="I33" s="95">
        <v>1</v>
      </c>
      <c r="J33" s="95">
        <v>6.0000000000000001E-3</v>
      </c>
      <c r="K33" s="95">
        <v>0.23</v>
      </c>
      <c r="L33" s="95">
        <v>1.47</v>
      </c>
      <c r="O33" s="95">
        <v>999</v>
      </c>
      <c r="P33" s="95">
        <v>2023</v>
      </c>
      <c r="R33" s="95" t="s">
        <v>69</v>
      </c>
      <c r="S33" s="95" t="s">
        <v>70</v>
      </c>
    </row>
    <row r="34" spans="1:19" x14ac:dyDescent="0.2">
      <c r="A34" s="95" t="s">
        <v>73</v>
      </c>
      <c r="B34" s="95" t="s">
        <v>69</v>
      </c>
      <c r="C34" s="95" t="s">
        <v>67</v>
      </c>
      <c r="D34" s="95" t="s">
        <v>81</v>
      </c>
      <c r="E34" s="95" t="s">
        <v>89</v>
      </c>
      <c r="F34" s="95">
        <v>12</v>
      </c>
      <c r="G34" s="95">
        <v>38</v>
      </c>
      <c r="I34" s="95">
        <v>1.58</v>
      </c>
      <c r="J34" s="95">
        <v>6.0000000000000001E-3</v>
      </c>
      <c r="K34" s="95">
        <v>0.23</v>
      </c>
      <c r="L34" s="95">
        <v>2.11</v>
      </c>
      <c r="O34" s="95">
        <v>999</v>
      </c>
      <c r="P34" s="95">
        <v>2023</v>
      </c>
      <c r="R34" s="95" t="s">
        <v>69</v>
      </c>
      <c r="S34" s="95" t="s">
        <v>70</v>
      </c>
    </row>
    <row r="35" spans="1:19" x14ac:dyDescent="0.2">
      <c r="A35" s="95" t="s">
        <v>73</v>
      </c>
      <c r="B35" s="95" t="s">
        <v>69</v>
      </c>
      <c r="C35" s="95" t="s">
        <v>67</v>
      </c>
      <c r="D35" s="95" t="s">
        <v>81</v>
      </c>
      <c r="E35" s="95" t="s">
        <v>90</v>
      </c>
      <c r="F35" s="95">
        <v>3.5</v>
      </c>
      <c r="G35" s="95">
        <v>13</v>
      </c>
      <c r="I35" s="95">
        <v>0.71</v>
      </c>
      <c r="J35" s="95">
        <v>7.0000000000000001E-3</v>
      </c>
      <c r="K35" s="95">
        <v>0.27</v>
      </c>
      <c r="L35" s="95">
        <v>1.22</v>
      </c>
      <c r="O35" s="95">
        <v>999</v>
      </c>
      <c r="P35" s="95">
        <v>2023</v>
      </c>
      <c r="R35" s="95" t="s">
        <v>69</v>
      </c>
      <c r="S35" s="95" t="s">
        <v>70</v>
      </c>
    </row>
    <row r="36" spans="1:19" x14ac:dyDescent="0.2">
      <c r="A36" s="95" t="s">
        <v>73</v>
      </c>
      <c r="B36" s="95" t="s">
        <v>69</v>
      </c>
      <c r="C36" s="95" t="s">
        <v>67</v>
      </c>
      <c r="D36" s="95" t="s">
        <v>81</v>
      </c>
      <c r="E36" s="95" t="s">
        <v>90</v>
      </c>
      <c r="F36" s="95">
        <v>3.5</v>
      </c>
      <c r="G36" s="95">
        <v>15</v>
      </c>
      <c r="I36" s="95">
        <v>0.53</v>
      </c>
      <c r="J36" s="95">
        <v>7.0000000000000001E-3</v>
      </c>
      <c r="K36" s="95">
        <v>0.27</v>
      </c>
      <c r="L36" s="95">
        <v>1.02</v>
      </c>
      <c r="O36" s="95">
        <v>999</v>
      </c>
      <c r="P36" s="95">
        <v>2023</v>
      </c>
      <c r="R36" s="95" t="s">
        <v>69</v>
      </c>
      <c r="S36" s="95" t="s">
        <v>70</v>
      </c>
    </row>
    <row r="37" spans="1:19" x14ac:dyDescent="0.2">
      <c r="A37" s="95" t="s">
        <v>73</v>
      </c>
      <c r="B37" s="95" t="s">
        <v>69</v>
      </c>
      <c r="C37" s="95" t="s">
        <v>67</v>
      </c>
      <c r="D37" s="95" t="s">
        <v>81</v>
      </c>
      <c r="E37" s="95" t="s">
        <v>90</v>
      </c>
      <c r="F37" s="95">
        <v>6</v>
      </c>
      <c r="G37" s="95">
        <v>19</v>
      </c>
      <c r="I37" s="95">
        <v>0.89</v>
      </c>
      <c r="J37" s="95">
        <v>5.0000000000000001E-3</v>
      </c>
      <c r="K37" s="95">
        <v>0.19</v>
      </c>
      <c r="L37" s="95">
        <v>1.29</v>
      </c>
      <c r="O37" s="95">
        <v>999</v>
      </c>
      <c r="P37" s="95">
        <v>2023</v>
      </c>
      <c r="R37" s="95" t="s">
        <v>69</v>
      </c>
      <c r="S37" s="95" t="s">
        <v>70</v>
      </c>
    </row>
    <row r="38" spans="1:19" x14ac:dyDescent="0.2">
      <c r="A38" s="95" t="s">
        <v>73</v>
      </c>
      <c r="B38" s="95" t="s">
        <v>69</v>
      </c>
      <c r="C38" s="95" t="s">
        <v>67</v>
      </c>
      <c r="D38" s="95" t="s">
        <v>81</v>
      </c>
      <c r="E38" s="95" t="s">
        <v>90</v>
      </c>
      <c r="F38" s="95">
        <v>6</v>
      </c>
      <c r="G38" s="95">
        <v>21</v>
      </c>
      <c r="I38" s="95">
        <v>1.26</v>
      </c>
      <c r="J38" s="95">
        <v>7.0000000000000001E-3</v>
      </c>
      <c r="K38" s="95">
        <v>0.27</v>
      </c>
      <c r="L38" s="95">
        <v>1.83</v>
      </c>
      <c r="O38" s="95">
        <v>999</v>
      </c>
      <c r="P38" s="95">
        <v>2023</v>
      </c>
      <c r="R38" s="95" t="s">
        <v>69</v>
      </c>
      <c r="S38" s="95" t="s">
        <v>70</v>
      </c>
    </row>
    <row r="39" spans="1:19" x14ac:dyDescent="0.2">
      <c r="A39" s="95" t="s">
        <v>73</v>
      </c>
      <c r="B39" s="95" t="s">
        <v>69</v>
      </c>
      <c r="C39" s="95" t="s">
        <v>67</v>
      </c>
      <c r="D39" s="95" t="s">
        <v>81</v>
      </c>
      <c r="E39" s="95" t="s">
        <v>90</v>
      </c>
      <c r="F39" s="95">
        <v>9</v>
      </c>
      <c r="G39" s="95">
        <v>30</v>
      </c>
      <c r="I39" s="95">
        <v>1.19</v>
      </c>
      <c r="J39" s="95">
        <v>6.0000000000000001E-3</v>
      </c>
      <c r="K39" s="95">
        <v>0.23</v>
      </c>
      <c r="L39" s="95">
        <v>1.68</v>
      </c>
      <c r="O39" s="95">
        <v>999</v>
      </c>
      <c r="P39" s="95">
        <v>2023</v>
      </c>
      <c r="R39" s="95" t="s">
        <v>69</v>
      </c>
      <c r="S39" s="95" t="s">
        <v>70</v>
      </c>
    </row>
    <row r="40" spans="1:19" x14ac:dyDescent="0.2">
      <c r="A40" s="95" t="s">
        <v>73</v>
      </c>
      <c r="B40" s="95" t="s">
        <v>69</v>
      </c>
      <c r="C40" s="95" t="s">
        <v>67</v>
      </c>
      <c r="D40" s="95" t="s">
        <v>68</v>
      </c>
      <c r="E40" s="95" t="s">
        <v>68</v>
      </c>
      <c r="F40" s="95">
        <v>3.5</v>
      </c>
      <c r="G40" s="95">
        <v>13</v>
      </c>
      <c r="I40" s="95">
        <v>0.59</v>
      </c>
      <c r="J40" s="95">
        <v>7.0000000000000001E-3</v>
      </c>
      <c r="K40" s="95">
        <v>0.27</v>
      </c>
      <c r="L40" s="95">
        <v>1.0900000000000001</v>
      </c>
      <c r="O40" s="95">
        <v>999</v>
      </c>
      <c r="P40" s="95">
        <v>2023</v>
      </c>
      <c r="R40" s="95" t="s">
        <v>69</v>
      </c>
      <c r="S40" s="95" t="s">
        <v>70</v>
      </c>
    </row>
    <row r="41" spans="1:19" x14ac:dyDescent="0.2">
      <c r="A41" s="95" t="s">
        <v>73</v>
      </c>
      <c r="B41" s="95" t="s">
        <v>69</v>
      </c>
      <c r="C41" s="95" t="s">
        <v>67</v>
      </c>
      <c r="D41" s="95" t="s">
        <v>68</v>
      </c>
      <c r="E41" s="95" t="s">
        <v>68</v>
      </c>
      <c r="F41" s="95">
        <v>3.5</v>
      </c>
      <c r="G41" s="95">
        <v>15</v>
      </c>
      <c r="I41" s="95">
        <v>0.92</v>
      </c>
      <c r="J41" s="95">
        <v>7.0000000000000001E-3</v>
      </c>
      <c r="K41" s="95">
        <v>0.27</v>
      </c>
      <c r="L41" s="95">
        <v>1.45</v>
      </c>
      <c r="O41" s="95">
        <v>999</v>
      </c>
      <c r="P41" s="95">
        <v>2023</v>
      </c>
      <c r="R41" s="95" t="s">
        <v>69</v>
      </c>
      <c r="S41" s="95" t="s">
        <v>70</v>
      </c>
    </row>
    <row r="42" spans="1:19" x14ac:dyDescent="0.2">
      <c r="A42" s="95" t="s">
        <v>73</v>
      </c>
      <c r="B42" s="95" t="s">
        <v>69</v>
      </c>
      <c r="C42" s="95" t="s">
        <v>67</v>
      </c>
      <c r="D42" s="95" t="s">
        <v>68</v>
      </c>
      <c r="E42" s="95" t="s">
        <v>68</v>
      </c>
      <c r="F42" s="95">
        <v>6</v>
      </c>
      <c r="G42" s="95">
        <v>19</v>
      </c>
      <c r="I42" s="95">
        <v>0.93</v>
      </c>
      <c r="J42" s="95">
        <v>6.0000000000000001E-3</v>
      </c>
      <c r="K42" s="95">
        <v>0.23</v>
      </c>
      <c r="L42" s="95">
        <v>1.39</v>
      </c>
      <c r="O42" s="95">
        <v>999</v>
      </c>
      <c r="P42" s="95">
        <v>2023</v>
      </c>
      <c r="R42" s="95" t="s">
        <v>69</v>
      </c>
      <c r="S42" s="95" t="s">
        <v>70</v>
      </c>
    </row>
    <row r="43" spans="1:19" x14ac:dyDescent="0.2">
      <c r="A43" s="95" t="s">
        <v>73</v>
      </c>
      <c r="B43" s="95" t="s">
        <v>69</v>
      </c>
      <c r="C43" s="95" t="s">
        <v>67</v>
      </c>
      <c r="D43" s="95" t="s">
        <v>68</v>
      </c>
      <c r="E43" s="95" t="s">
        <v>68</v>
      </c>
      <c r="F43" s="95">
        <v>9</v>
      </c>
      <c r="G43" s="95">
        <v>30</v>
      </c>
      <c r="I43" s="95">
        <v>1.5660000000000001</v>
      </c>
      <c r="J43" s="95">
        <v>7.0000000000000001E-3</v>
      </c>
      <c r="K43" s="95">
        <v>0.27</v>
      </c>
      <c r="L43" s="95">
        <v>2.16</v>
      </c>
      <c r="O43" s="95">
        <v>999</v>
      </c>
      <c r="P43" s="95">
        <v>2023</v>
      </c>
      <c r="R43" s="95" t="s">
        <v>69</v>
      </c>
      <c r="S43" s="95" t="s">
        <v>70</v>
      </c>
    </row>
    <row r="44" spans="1:19" x14ac:dyDescent="0.2">
      <c r="A44" s="95" t="s">
        <v>73</v>
      </c>
      <c r="B44" s="95" t="s">
        <v>69</v>
      </c>
      <c r="C44" s="95" t="s">
        <v>67</v>
      </c>
      <c r="D44" s="95" t="s">
        <v>68</v>
      </c>
      <c r="E44" s="95" t="s">
        <v>68</v>
      </c>
      <c r="F44" s="95">
        <v>12</v>
      </c>
      <c r="G44" s="95">
        <v>38</v>
      </c>
      <c r="I44" s="95">
        <v>1.82</v>
      </c>
      <c r="J44" s="95">
        <v>7.0000000000000001E-3</v>
      </c>
      <c r="K44" s="95">
        <v>0.27</v>
      </c>
      <c r="L44" s="95">
        <v>2.44</v>
      </c>
      <c r="O44" s="95">
        <v>999</v>
      </c>
      <c r="P44" s="95">
        <v>2023</v>
      </c>
      <c r="R44" s="95" t="s">
        <v>69</v>
      </c>
      <c r="S44" s="95" t="s">
        <v>70</v>
      </c>
    </row>
    <row r="45" spans="1:19" x14ac:dyDescent="0.2">
      <c r="A45" s="95" t="s">
        <v>73</v>
      </c>
      <c r="B45" s="95" t="s">
        <v>66</v>
      </c>
      <c r="C45" s="95" t="s">
        <v>91</v>
      </c>
      <c r="D45" s="95" t="s">
        <v>68</v>
      </c>
      <c r="E45" s="95" t="s">
        <v>68</v>
      </c>
      <c r="F45" s="95">
        <v>3.5</v>
      </c>
      <c r="G45" s="95">
        <v>15</v>
      </c>
      <c r="I45" s="95">
        <v>1.47</v>
      </c>
      <c r="J45" s="95">
        <v>5.0000000000000001E-3</v>
      </c>
      <c r="K45" s="95">
        <v>0.19</v>
      </c>
      <c r="L45" s="95">
        <v>1.93</v>
      </c>
      <c r="O45" s="95">
        <v>999</v>
      </c>
      <c r="P45" s="95">
        <v>2023</v>
      </c>
      <c r="R45" s="95" t="s">
        <v>92</v>
      </c>
      <c r="S45" s="95" t="s">
        <v>70</v>
      </c>
    </row>
    <row r="46" spans="1:19" x14ac:dyDescent="0.2">
      <c r="A46" s="95" t="s">
        <v>73</v>
      </c>
      <c r="B46" s="95" t="s">
        <v>66</v>
      </c>
      <c r="C46" s="95" t="s">
        <v>91</v>
      </c>
      <c r="D46" s="95" t="s">
        <v>68</v>
      </c>
      <c r="E46" s="95" t="s">
        <v>68</v>
      </c>
      <c r="F46" s="95">
        <v>5.5</v>
      </c>
      <c r="G46" s="95">
        <v>23</v>
      </c>
      <c r="I46" s="95">
        <v>2.31</v>
      </c>
      <c r="J46" s="95">
        <v>5.0000000000000001E-3</v>
      </c>
      <c r="K46" s="95">
        <v>0.19</v>
      </c>
      <c r="L46" s="95">
        <v>2.85</v>
      </c>
      <c r="O46" s="95">
        <v>999</v>
      </c>
      <c r="P46" s="95">
        <v>2023</v>
      </c>
      <c r="R46" s="95" t="s">
        <v>92</v>
      </c>
      <c r="S46" s="95" t="s">
        <v>70</v>
      </c>
    </row>
    <row r="47" spans="1:19" x14ac:dyDescent="0.2">
      <c r="A47" s="95" t="s">
        <v>73</v>
      </c>
      <c r="B47" s="95" t="s">
        <v>66</v>
      </c>
      <c r="C47" s="95" t="s">
        <v>91</v>
      </c>
      <c r="D47" s="95" t="s">
        <v>68</v>
      </c>
      <c r="E47" s="95" t="s">
        <v>68</v>
      </c>
      <c r="F47" s="95">
        <v>7.25</v>
      </c>
      <c r="G47" s="95">
        <v>30</v>
      </c>
      <c r="I47" s="95">
        <v>3.05</v>
      </c>
      <c r="J47" s="95">
        <v>6.0000000000000001E-3</v>
      </c>
      <c r="K47" s="95">
        <v>0.23</v>
      </c>
      <c r="L47" s="95">
        <v>3.72</v>
      </c>
      <c r="O47" s="95">
        <v>999</v>
      </c>
      <c r="P47" s="95">
        <v>2023</v>
      </c>
      <c r="R47" s="95" t="s">
        <v>92</v>
      </c>
      <c r="S47" s="95" t="s">
        <v>70</v>
      </c>
    </row>
    <row r="48" spans="1:19" x14ac:dyDescent="0.2">
      <c r="A48" s="95" t="s">
        <v>73</v>
      </c>
      <c r="B48" s="95" t="s">
        <v>66</v>
      </c>
      <c r="C48" s="95" t="s">
        <v>91</v>
      </c>
      <c r="D48" s="95" t="s">
        <v>68</v>
      </c>
      <c r="E48" s="95" t="s">
        <v>68</v>
      </c>
      <c r="G48" s="95">
        <v>13</v>
      </c>
      <c r="I48" s="95">
        <v>1.02</v>
      </c>
      <c r="J48" s="95">
        <v>5.0000000000000001E-3</v>
      </c>
      <c r="K48" s="95">
        <v>0.19</v>
      </c>
      <c r="L48" s="95">
        <v>1.43</v>
      </c>
      <c r="O48" s="95">
        <v>999</v>
      </c>
      <c r="P48" s="95">
        <v>2023</v>
      </c>
      <c r="R48" s="95" t="s">
        <v>92</v>
      </c>
      <c r="S48" s="95" t="s">
        <v>70</v>
      </c>
    </row>
    <row r="49" spans="1:20" x14ac:dyDescent="0.2">
      <c r="A49" s="95" t="s">
        <v>73</v>
      </c>
      <c r="B49" s="95" t="s">
        <v>66</v>
      </c>
      <c r="C49" s="95" t="s">
        <v>91</v>
      </c>
      <c r="D49" s="95" t="s">
        <v>68</v>
      </c>
      <c r="E49" s="95" t="s">
        <v>68</v>
      </c>
      <c r="G49" s="95">
        <v>19</v>
      </c>
      <c r="I49" s="95">
        <v>1.49</v>
      </c>
      <c r="J49" s="95">
        <v>5.0000000000000001E-3</v>
      </c>
      <c r="K49" s="95">
        <v>0.19</v>
      </c>
      <c r="L49" s="95">
        <v>1.95</v>
      </c>
      <c r="O49" s="95">
        <v>999</v>
      </c>
      <c r="P49" s="95">
        <v>2023</v>
      </c>
      <c r="R49" s="95" t="s">
        <v>92</v>
      </c>
      <c r="S49" s="95" t="s">
        <v>70</v>
      </c>
    </row>
    <row r="50" spans="1:20" x14ac:dyDescent="0.2">
      <c r="A50" s="95" t="s">
        <v>73</v>
      </c>
      <c r="B50" s="95" t="s">
        <v>66</v>
      </c>
      <c r="C50" s="95" t="s">
        <v>67</v>
      </c>
      <c r="D50" s="95" t="s">
        <v>81</v>
      </c>
      <c r="G50" s="95">
        <v>15</v>
      </c>
      <c r="I50" s="95">
        <v>0.79</v>
      </c>
      <c r="P50" s="95">
        <v>2023</v>
      </c>
      <c r="S50" s="95" t="s">
        <v>99</v>
      </c>
      <c r="T50" s="95" t="s">
        <v>100</v>
      </c>
    </row>
    <row r="51" spans="1:20" x14ac:dyDescent="0.2">
      <c r="A51" s="95" t="s">
        <v>73</v>
      </c>
      <c r="B51" s="95" t="s">
        <v>66</v>
      </c>
      <c r="C51" s="95" t="s">
        <v>67</v>
      </c>
      <c r="D51" s="95" t="s">
        <v>81</v>
      </c>
      <c r="G51" s="95">
        <v>21</v>
      </c>
      <c r="I51" s="95">
        <v>0.87</v>
      </c>
      <c r="P51" s="95">
        <v>2023</v>
      </c>
      <c r="S51" s="95" t="s">
        <v>99</v>
      </c>
      <c r="T51" s="95" t="s">
        <v>101</v>
      </c>
    </row>
    <row r="52" spans="1:20" x14ac:dyDescent="0.2">
      <c r="A52" s="95" t="s">
        <v>73</v>
      </c>
      <c r="B52" s="95" t="s">
        <v>66</v>
      </c>
      <c r="C52" s="95" t="s">
        <v>91</v>
      </c>
      <c r="G52" s="95">
        <v>13</v>
      </c>
      <c r="I52" s="95">
        <v>1.38</v>
      </c>
      <c r="P52" s="95">
        <v>2023</v>
      </c>
      <c r="S52" s="95" t="s">
        <v>99</v>
      </c>
      <c r="T52" s="95" t="s">
        <v>102</v>
      </c>
    </row>
    <row r="53" spans="1:20" x14ac:dyDescent="0.2">
      <c r="A53" s="95" t="s">
        <v>73</v>
      </c>
      <c r="B53" s="95" t="s">
        <v>66</v>
      </c>
      <c r="C53" s="95" t="s">
        <v>67</v>
      </c>
      <c r="D53" s="95" t="s">
        <v>81</v>
      </c>
      <c r="G53" s="95">
        <v>30</v>
      </c>
      <c r="I53" s="95">
        <v>1.08</v>
      </c>
      <c r="P53" s="95">
        <v>2023</v>
      </c>
      <c r="S53" s="95" t="s">
        <v>99</v>
      </c>
      <c r="T53" s="95" t="s">
        <v>103</v>
      </c>
    </row>
    <row r="54" spans="1:20" x14ac:dyDescent="0.2">
      <c r="A54" s="95" t="s">
        <v>73</v>
      </c>
      <c r="B54" s="95" t="s">
        <v>66</v>
      </c>
      <c r="C54" s="95" t="s">
        <v>67</v>
      </c>
      <c r="D54" s="95" t="s">
        <v>81</v>
      </c>
      <c r="G54" s="95">
        <v>38</v>
      </c>
      <c r="I54" s="95">
        <v>1.31</v>
      </c>
      <c r="P54" s="95">
        <v>2023</v>
      </c>
      <c r="S54" s="95" t="s">
        <v>99</v>
      </c>
      <c r="T54" s="95" t="s">
        <v>104</v>
      </c>
    </row>
    <row r="55" spans="1:20" x14ac:dyDescent="0.2">
      <c r="A55" s="95" t="s">
        <v>73</v>
      </c>
      <c r="B55" s="95" t="s">
        <v>66</v>
      </c>
      <c r="C55" s="95" t="s">
        <v>67</v>
      </c>
      <c r="D55" s="95" t="s">
        <v>81</v>
      </c>
      <c r="G55" s="95">
        <v>19</v>
      </c>
      <c r="I55" s="95">
        <v>0.73</v>
      </c>
      <c r="P55" s="95">
        <v>2023</v>
      </c>
      <c r="S55" s="95" t="s">
        <v>99</v>
      </c>
      <c r="T55" s="95" t="s">
        <v>105</v>
      </c>
    </row>
    <row r="56" spans="1:20" x14ac:dyDescent="0.2">
      <c r="A56" s="95" t="s">
        <v>73</v>
      </c>
      <c r="B56" s="95" t="s">
        <v>66</v>
      </c>
      <c r="C56" s="95" t="s">
        <v>91</v>
      </c>
      <c r="G56" s="95">
        <v>15</v>
      </c>
      <c r="I56" s="95">
        <v>1.58</v>
      </c>
      <c r="P56" s="95">
        <v>2023</v>
      </c>
      <c r="S56" s="95" t="s">
        <v>99</v>
      </c>
      <c r="T56" s="95" t="s">
        <v>106</v>
      </c>
    </row>
    <row r="57" spans="1:20" x14ac:dyDescent="0.2">
      <c r="A57" s="95" t="s">
        <v>73</v>
      </c>
      <c r="B57" s="95" t="s">
        <v>66</v>
      </c>
      <c r="C57" s="95" t="s">
        <v>67</v>
      </c>
      <c r="D57" s="95" t="s">
        <v>81</v>
      </c>
      <c r="G57" s="95">
        <v>13</v>
      </c>
      <c r="I57" s="95">
        <v>0.56999999999999995</v>
      </c>
      <c r="P57" s="95">
        <v>2023</v>
      </c>
      <c r="S57" s="95" t="s">
        <v>99</v>
      </c>
      <c r="T57" s="95" t="s">
        <v>107</v>
      </c>
    </row>
    <row r="58" spans="1:20" x14ac:dyDescent="0.2">
      <c r="A58" s="95" t="s">
        <v>73</v>
      </c>
      <c r="B58" s="95" t="s">
        <v>66</v>
      </c>
      <c r="C58" s="95" t="s">
        <v>67</v>
      </c>
      <c r="D58" s="95" t="s">
        <v>81</v>
      </c>
      <c r="G58" s="95">
        <v>13</v>
      </c>
      <c r="I58" s="95">
        <v>0.56999999999999995</v>
      </c>
      <c r="P58" s="95">
        <v>2023</v>
      </c>
      <c r="S58" s="95" t="s">
        <v>99</v>
      </c>
      <c r="T58" s="95" t="s">
        <v>108</v>
      </c>
    </row>
    <row r="59" spans="1:20" x14ac:dyDescent="0.2">
      <c r="A59" s="95" t="s">
        <v>73</v>
      </c>
      <c r="B59" s="95" t="s">
        <v>66</v>
      </c>
      <c r="C59" s="95" t="s">
        <v>67</v>
      </c>
      <c r="D59" s="95" t="s">
        <v>81</v>
      </c>
      <c r="G59" s="95">
        <v>13</v>
      </c>
      <c r="I59" s="95">
        <v>0.56999999999999995</v>
      </c>
      <c r="P59" s="95">
        <v>2023</v>
      </c>
      <c r="S59" s="95" t="s">
        <v>99</v>
      </c>
      <c r="T59" s="95" t="s">
        <v>109</v>
      </c>
    </row>
    <row r="60" spans="1:20" x14ac:dyDescent="0.2">
      <c r="A60" s="95" t="s">
        <v>73</v>
      </c>
      <c r="B60" s="95" t="s">
        <v>66</v>
      </c>
      <c r="C60" s="95" t="s">
        <v>91</v>
      </c>
      <c r="G60" s="95">
        <v>15</v>
      </c>
      <c r="I60" s="95">
        <v>1.31</v>
      </c>
      <c r="P60" s="95">
        <v>2023</v>
      </c>
      <c r="S60" s="95" t="s">
        <v>99</v>
      </c>
      <c r="T60" s="95" t="s">
        <v>110</v>
      </c>
    </row>
    <row r="61" spans="1:20" x14ac:dyDescent="0.2">
      <c r="A61" s="95" t="s">
        <v>73</v>
      </c>
      <c r="B61" s="95" t="s">
        <v>66</v>
      </c>
      <c r="C61" s="95" t="s">
        <v>67</v>
      </c>
      <c r="D61" s="95" t="s">
        <v>68</v>
      </c>
      <c r="G61" s="95">
        <v>13</v>
      </c>
      <c r="I61" s="95">
        <v>0.49</v>
      </c>
      <c r="P61" s="95">
        <v>2023</v>
      </c>
      <c r="S61" s="95" t="s">
        <v>99</v>
      </c>
      <c r="T61" s="95" t="s">
        <v>111</v>
      </c>
    </row>
    <row r="62" spans="1:20" x14ac:dyDescent="0.2">
      <c r="A62" s="95" t="s">
        <v>73</v>
      </c>
      <c r="B62" s="95" t="s">
        <v>66</v>
      </c>
      <c r="C62" s="95" t="s">
        <v>67</v>
      </c>
      <c r="D62" s="95" t="s">
        <v>81</v>
      </c>
      <c r="G62" s="95">
        <v>19</v>
      </c>
      <c r="I62" s="95">
        <v>0.99</v>
      </c>
      <c r="P62" s="95">
        <v>2023</v>
      </c>
      <c r="S62" s="95" t="s">
        <v>99</v>
      </c>
      <c r="T62" s="95" t="s">
        <v>112</v>
      </c>
    </row>
    <row r="63" spans="1:20" x14ac:dyDescent="0.2">
      <c r="A63" s="95" t="s">
        <v>73</v>
      </c>
      <c r="B63" s="95" t="s">
        <v>66</v>
      </c>
      <c r="C63" s="95" t="s">
        <v>67</v>
      </c>
      <c r="D63" s="95" t="s">
        <v>68</v>
      </c>
      <c r="G63" s="95">
        <v>19</v>
      </c>
      <c r="I63" s="95">
        <v>0.66</v>
      </c>
      <c r="P63" s="95">
        <v>2023</v>
      </c>
      <c r="S63" s="95" t="s">
        <v>99</v>
      </c>
      <c r="T63" s="95" t="s">
        <v>113</v>
      </c>
    </row>
    <row r="64" spans="1:20" x14ac:dyDescent="0.2">
      <c r="A64" s="95" t="s">
        <v>73</v>
      </c>
      <c r="B64" s="95" t="s">
        <v>66</v>
      </c>
      <c r="C64" s="95" t="s">
        <v>67</v>
      </c>
      <c r="D64" s="95" t="s">
        <v>68</v>
      </c>
      <c r="G64" s="95">
        <v>19</v>
      </c>
      <c r="I64" s="95">
        <v>7.52</v>
      </c>
      <c r="P64" s="95">
        <v>2023</v>
      </c>
      <c r="S64" s="95" t="s">
        <v>99</v>
      </c>
      <c r="T64" s="95" t="s">
        <v>114</v>
      </c>
    </row>
    <row r="65" spans="1:20" x14ac:dyDescent="0.2">
      <c r="A65" s="95" t="s">
        <v>73</v>
      </c>
      <c r="B65" s="95" t="s">
        <v>66</v>
      </c>
      <c r="C65" s="95" t="s">
        <v>67</v>
      </c>
      <c r="D65" s="95" t="s">
        <v>81</v>
      </c>
      <c r="G65" s="95">
        <v>49</v>
      </c>
      <c r="I65" s="95">
        <v>2.56</v>
      </c>
      <c r="P65" s="95">
        <v>2023</v>
      </c>
      <c r="S65" s="95" t="s">
        <v>99</v>
      </c>
      <c r="T65" s="95" t="s">
        <v>115</v>
      </c>
    </row>
    <row r="66" spans="1:20" x14ac:dyDescent="0.2">
      <c r="A66" s="95" t="s">
        <v>73</v>
      </c>
      <c r="B66" s="95" t="s">
        <v>66</v>
      </c>
      <c r="C66" s="95" t="s">
        <v>67</v>
      </c>
      <c r="D66" s="95" t="s">
        <v>81</v>
      </c>
      <c r="G66" s="95">
        <v>30</v>
      </c>
      <c r="I66" s="95">
        <v>1.17</v>
      </c>
      <c r="P66" s="95">
        <v>2023</v>
      </c>
      <c r="S66" s="95" t="s">
        <v>99</v>
      </c>
      <c r="T66" s="95" t="s">
        <v>116</v>
      </c>
    </row>
    <row r="67" spans="1:20" x14ac:dyDescent="0.2">
      <c r="A67" s="95" t="s">
        <v>73</v>
      </c>
      <c r="B67" s="95" t="s">
        <v>66</v>
      </c>
      <c r="C67" s="95" t="s">
        <v>91</v>
      </c>
      <c r="G67" s="95">
        <v>30</v>
      </c>
      <c r="I67" s="95">
        <v>3.75</v>
      </c>
      <c r="P67" s="95">
        <v>2023</v>
      </c>
      <c r="S67" s="95" t="s">
        <v>99</v>
      </c>
      <c r="T67" s="95" t="s">
        <v>117</v>
      </c>
    </row>
    <row r="68" spans="1:20" x14ac:dyDescent="0.2">
      <c r="A68" s="95" t="s">
        <v>73</v>
      </c>
      <c r="B68" s="95" t="s">
        <v>66</v>
      </c>
      <c r="C68" s="95" t="s">
        <v>91</v>
      </c>
      <c r="G68" s="95">
        <v>23</v>
      </c>
      <c r="I68" s="95">
        <v>1.52</v>
      </c>
      <c r="P68" s="95">
        <v>2023</v>
      </c>
      <c r="S68" s="95" t="s">
        <v>99</v>
      </c>
      <c r="T68" s="95" t="s">
        <v>118</v>
      </c>
    </row>
    <row r="69" spans="1:20" x14ac:dyDescent="0.2">
      <c r="A69" s="95" t="s">
        <v>73</v>
      </c>
      <c r="B69" s="95" t="s">
        <v>66</v>
      </c>
      <c r="C69" s="95" t="s">
        <v>91</v>
      </c>
      <c r="G69" s="95">
        <v>21</v>
      </c>
      <c r="I69" s="95">
        <v>2.65</v>
      </c>
      <c r="P69" s="95">
        <v>2023</v>
      </c>
      <c r="S69" s="95" t="s">
        <v>99</v>
      </c>
      <c r="T69" s="95" t="s">
        <v>119</v>
      </c>
    </row>
    <row r="70" spans="1:20" x14ac:dyDescent="0.2">
      <c r="A70" s="95" t="s">
        <v>73</v>
      </c>
      <c r="B70" s="95" t="s">
        <v>66</v>
      </c>
      <c r="C70" s="95" t="s">
        <v>67</v>
      </c>
      <c r="D70" s="95" t="s">
        <v>81</v>
      </c>
      <c r="G70" s="95">
        <v>38</v>
      </c>
      <c r="I70" s="95">
        <v>2.09</v>
      </c>
      <c r="P70" s="95">
        <v>2023</v>
      </c>
      <c r="S70" s="95" t="s">
        <v>99</v>
      </c>
      <c r="T70" s="95" t="s">
        <v>120</v>
      </c>
    </row>
    <row r="71" spans="1:20" x14ac:dyDescent="0.2">
      <c r="A71" s="95" t="s">
        <v>73</v>
      </c>
      <c r="B71" s="95" t="s">
        <v>66</v>
      </c>
      <c r="C71" s="95" t="s">
        <v>67</v>
      </c>
      <c r="D71" s="95" t="s">
        <v>81</v>
      </c>
      <c r="G71" s="95">
        <v>38</v>
      </c>
      <c r="I71" s="95">
        <v>2.23</v>
      </c>
      <c r="P71" s="95">
        <v>2023</v>
      </c>
      <c r="S71" s="95" t="s">
        <v>99</v>
      </c>
      <c r="T71" s="95" t="s">
        <v>121</v>
      </c>
    </row>
    <row r="72" spans="1:20" x14ac:dyDescent="0.2">
      <c r="A72" s="95" t="s">
        <v>73</v>
      </c>
      <c r="B72" s="95" t="s">
        <v>66</v>
      </c>
      <c r="C72" s="95" t="s">
        <v>67</v>
      </c>
      <c r="D72" s="95" t="s">
        <v>81</v>
      </c>
      <c r="G72" s="95">
        <v>21</v>
      </c>
      <c r="I72" s="95">
        <v>1.03</v>
      </c>
      <c r="P72" s="95">
        <v>2023</v>
      </c>
      <c r="S72" s="95" t="s">
        <v>99</v>
      </c>
      <c r="T72" s="95" t="s">
        <v>122</v>
      </c>
    </row>
    <row r="73" spans="1:20" x14ac:dyDescent="0.2">
      <c r="A73" s="95" t="s">
        <v>73</v>
      </c>
      <c r="B73" s="95" t="s">
        <v>66</v>
      </c>
      <c r="C73" s="95" t="s">
        <v>91</v>
      </c>
      <c r="G73" s="95">
        <v>30</v>
      </c>
      <c r="I73" s="95">
        <v>3.47</v>
      </c>
      <c r="P73" s="95">
        <v>2023</v>
      </c>
      <c r="S73" s="95" t="s">
        <v>99</v>
      </c>
      <c r="T73" s="95" t="s">
        <v>123</v>
      </c>
    </row>
    <row r="74" spans="1:20" x14ac:dyDescent="0.2">
      <c r="A74" s="95" t="s">
        <v>73</v>
      </c>
      <c r="B74" s="95" t="s">
        <v>66</v>
      </c>
      <c r="C74" s="95" t="s">
        <v>67</v>
      </c>
      <c r="D74" s="95" t="s">
        <v>81</v>
      </c>
      <c r="G74" s="95">
        <v>19</v>
      </c>
      <c r="I74" s="95">
        <v>0.65</v>
      </c>
      <c r="P74" s="95">
        <v>2023</v>
      </c>
      <c r="S74" s="95" t="s">
        <v>99</v>
      </c>
      <c r="T74" s="95" t="s">
        <v>124</v>
      </c>
    </row>
    <row r="75" spans="1:20" x14ac:dyDescent="0.2">
      <c r="A75" s="95" t="s">
        <v>73</v>
      </c>
      <c r="B75" s="95" t="s">
        <v>66</v>
      </c>
      <c r="C75" s="95" t="s">
        <v>67</v>
      </c>
      <c r="D75" s="95" t="s">
        <v>81</v>
      </c>
      <c r="G75" s="95">
        <v>38</v>
      </c>
      <c r="I75" s="95">
        <v>1.65</v>
      </c>
      <c r="P75" s="95">
        <v>2023</v>
      </c>
      <c r="S75" s="95" t="s">
        <v>99</v>
      </c>
      <c r="T75" s="95" t="s">
        <v>125</v>
      </c>
    </row>
    <row r="76" spans="1:20" x14ac:dyDescent="0.2">
      <c r="A76" s="95" t="s">
        <v>73</v>
      </c>
      <c r="B76" s="95" t="s">
        <v>66</v>
      </c>
      <c r="C76" s="95" t="s">
        <v>67</v>
      </c>
      <c r="D76" s="95" t="s">
        <v>81</v>
      </c>
      <c r="G76" s="95">
        <v>30</v>
      </c>
      <c r="I76" s="95">
        <v>1.44</v>
      </c>
      <c r="P76" s="95">
        <v>2023</v>
      </c>
      <c r="S76" s="95" t="s">
        <v>99</v>
      </c>
      <c r="T76" s="95" t="s">
        <v>126</v>
      </c>
    </row>
    <row r="77" spans="1:20" x14ac:dyDescent="0.2">
      <c r="A77" s="95" t="s">
        <v>73</v>
      </c>
      <c r="B77" s="95" t="s">
        <v>66</v>
      </c>
      <c r="C77" s="95" t="s">
        <v>67</v>
      </c>
      <c r="D77" s="95" t="s">
        <v>81</v>
      </c>
      <c r="G77" s="95">
        <v>21</v>
      </c>
      <c r="I77" s="95">
        <v>1.31</v>
      </c>
      <c r="P77" s="95">
        <v>2023</v>
      </c>
      <c r="S77" s="95" t="s">
        <v>99</v>
      </c>
      <c r="T77" s="95" t="s">
        <v>127</v>
      </c>
    </row>
    <row r="78" spans="1:20" x14ac:dyDescent="0.2">
      <c r="A78" s="95" t="s">
        <v>73</v>
      </c>
      <c r="B78" s="95" t="s">
        <v>66</v>
      </c>
      <c r="C78" s="95" t="s">
        <v>67</v>
      </c>
      <c r="D78" s="95" t="s">
        <v>81</v>
      </c>
      <c r="G78" s="95">
        <v>21</v>
      </c>
      <c r="I78" s="95">
        <v>1.33</v>
      </c>
      <c r="P78" s="95">
        <v>2023</v>
      </c>
      <c r="S78" s="95" t="s">
        <v>99</v>
      </c>
      <c r="T78" s="95" t="s">
        <v>128</v>
      </c>
    </row>
    <row r="79" spans="1:20" x14ac:dyDescent="0.2">
      <c r="A79" s="95" t="s">
        <v>73</v>
      </c>
      <c r="B79" s="95" t="s">
        <v>66</v>
      </c>
      <c r="C79" s="95" t="s">
        <v>67</v>
      </c>
      <c r="D79" s="95" t="s">
        <v>68</v>
      </c>
      <c r="G79" s="95">
        <v>13</v>
      </c>
      <c r="I79" s="95">
        <v>0.68</v>
      </c>
      <c r="P79" s="95">
        <v>2023</v>
      </c>
      <c r="S79" s="95" t="s">
        <v>99</v>
      </c>
      <c r="T79" s="95" t="s">
        <v>129</v>
      </c>
    </row>
    <row r="80" spans="1:20" x14ac:dyDescent="0.2">
      <c r="A80" s="95" t="s">
        <v>73</v>
      </c>
      <c r="B80" s="95" t="s">
        <v>66</v>
      </c>
      <c r="D80" s="95" t="s">
        <v>81</v>
      </c>
      <c r="G80" s="95">
        <v>49</v>
      </c>
      <c r="I80" s="95">
        <v>2.5099999999999998</v>
      </c>
      <c r="P80" s="95">
        <v>2023</v>
      </c>
      <c r="S80" s="95" t="s">
        <v>99</v>
      </c>
      <c r="T80" s="95" t="s">
        <v>130</v>
      </c>
    </row>
    <row r="81" spans="1:20" x14ac:dyDescent="0.2">
      <c r="A81" s="95" t="s">
        <v>73</v>
      </c>
      <c r="B81" s="95" t="s">
        <v>66</v>
      </c>
      <c r="C81" s="95" t="s">
        <v>67</v>
      </c>
      <c r="D81" s="95" t="s">
        <v>81</v>
      </c>
      <c r="G81" s="95">
        <v>15</v>
      </c>
      <c r="I81" s="95">
        <v>1.1499999999999999</v>
      </c>
      <c r="P81" s="95">
        <v>2023</v>
      </c>
      <c r="S81" s="95" t="s">
        <v>99</v>
      </c>
      <c r="T81" s="95" t="s">
        <v>131</v>
      </c>
    </row>
    <row r="82" spans="1:20" x14ac:dyDescent="0.2">
      <c r="A82" s="95" t="s">
        <v>73</v>
      </c>
      <c r="B82" s="95" t="s">
        <v>66</v>
      </c>
      <c r="C82" s="95" t="s">
        <v>67</v>
      </c>
      <c r="D82" s="95" t="s">
        <v>68</v>
      </c>
      <c r="G82" s="95">
        <v>19</v>
      </c>
      <c r="I82" s="95">
        <v>0.98</v>
      </c>
      <c r="P82" s="95">
        <v>2023</v>
      </c>
      <c r="S82" s="95" t="s">
        <v>99</v>
      </c>
      <c r="T82" s="95" t="s">
        <v>132</v>
      </c>
    </row>
    <row r="83" spans="1:20" x14ac:dyDescent="0.2">
      <c r="A83" s="95" t="s">
        <v>73</v>
      </c>
      <c r="B83" s="95" t="s">
        <v>66</v>
      </c>
      <c r="C83" s="95" t="s">
        <v>67</v>
      </c>
      <c r="D83" s="95" t="s">
        <v>81</v>
      </c>
      <c r="G83" s="95">
        <v>15</v>
      </c>
      <c r="I83" s="95">
        <v>1.1299999999999999</v>
      </c>
      <c r="P83" s="95">
        <v>2023</v>
      </c>
      <c r="S83" s="95" t="s">
        <v>99</v>
      </c>
      <c r="T83" s="95" t="s">
        <v>133</v>
      </c>
    </row>
    <row r="84" spans="1:20" x14ac:dyDescent="0.2">
      <c r="A84" s="95" t="s">
        <v>73</v>
      </c>
      <c r="B84" s="95" t="s">
        <v>66</v>
      </c>
      <c r="C84" s="95" t="s">
        <v>67</v>
      </c>
      <c r="D84" s="95" t="s">
        <v>68</v>
      </c>
      <c r="G84" s="95">
        <v>49</v>
      </c>
      <c r="I84" s="95">
        <v>2.37</v>
      </c>
      <c r="P84" s="95">
        <v>2023</v>
      </c>
      <c r="S84" s="95" t="s">
        <v>99</v>
      </c>
      <c r="T84" s="95" t="s">
        <v>134</v>
      </c>
    </row>
    <row r="85" spans="1:20" x14ac:dyDescent="0.2">
      <c r="A85" s="95" t="s">
        <v>73</v>
      </c>
      <c r="B85" s="95" t="s">
        <v>66</v>
      </c>
      <c r="C85" s="95" t="s">
        <v>67</v>
      </c>
      <c r="D85" s="95" t="s">
        <v>81</v>
      </c>
      <c r="G85" s="95">
        <v>30</v>
      </c>
      <c r="I85" s="95">
        <v>1.72</v>
      </c>
      <c r="P85" s="95">
        <v>2023</v>
      </c>
      <c r="S85" s="95" t="s">
        <v>99</v>
      </c>
      <c r="T85" s="95" t="s">
        <v>135</v>
      </c>
    </row>
    <row r="86" spans="1:20" x14ac:dyDescent="0.2">
      <c r="A86" s="95" t="s">
        <v>73</v>
      </c>
      <c r="B86" s="95" t="s">
        <v>66</v>
      </c>
      <c r="C86" s="95" t="s">
        <v>67</v>
      </c>
      <c r="D86" s="95" t="s">
        <v>68</v>
      </c>
      <c r="G86" s="95">
        <v>13</v>
      </c>
      <c r="I86" s="95">
        <v>0.68</v>
      </c>
      <c r="P86" s="95">
        <v>2023</v>
      </c>
      <c r="S86" s="95" t="s">
        <v>99</v>
      </c>
      <c r="T86" s="95" t="s">
        <v>136</v>
      </c>
    </row>
    <row r="87" spans="1:20" x14ac:dyDescent="0.2">
      <c r="A87" s="95" t="s">
        <v>73</v>
      </c>
      <c r="B87" s="95" t="s">
        <v>66</v>
      </c>
      <c r="C87" s="95" t="s">
        <v>67</v>
      </c>
      <c r="D87" s="95" t="s">
        <v>68</v>
      </c>
      <c r="G87" s="95">
        <v>19</v>
      </c>
      <c r="I87" s="95">
        <v>0.86</v>
      </c>
      <c r="P87" s="95">
        <v>2023</v>
      </c>
      <c r="S87" s="95" t="s">
        <v>99</v>
      </c>
      <c r="T87" s="95" t="s">
        <v>137</v>
      </c>
    </row>
    <row r="88" spans="1:20" x14ac:dyDescent="0.2">
      <c r="A88" s="95" t="s">
        <v>73</v>
      </c>
      <c r="B88" s="95" t="s">
        <v>66</v>
      </c>
      <c r="C88" s="95" t="s">
        <v>67</v>
      </c>
      <c r="D88" s="95" t="s">
        <v>68</v>
      </c>
      <c r="G88" s="95">
        <v>19</v>
      </c>
      <c r="I88" s="95">
        <v>1.1200000000000001</v>
      </c>
      <c r="P88" s="95">
        <v>2023</v>
      </c>
      <c r="S88" s="95" t="s">
        <v>99</v>
      </c>
      <c r="T88" s="95" t="s">
        <v>138</v>
      </c>
    </row>
    <row r="89" spans="1:20" x14ac:dyDescent="0.2">
      <c r="A89" s="95" t="s">
        <v>73</v>
      </c>
      <c r="B89" s="95" t="s">
        <v>66</v>
      </c>
      <c r="C89" s="95" t="s">
        <v>91</v>
      </c>
      <c r="G89" s="95">
        <v>21</v>
      </c>
      <c r="I89" s="95">
        <v>42.61</v>
      </c>
      <c r="P89" s="95">
        <v>2023</v>
      </c>
      <c r="S89" s="95" t="s">
        <v>99</v>
      </c>
      <c r="T89" s="95" t="s">
        <v>139</v>
      </c>
    </row>
    <row r="90" spans="1:20" x14ac:dyDescent="0.2">
      <c r="A90" s="95" t="s">
        <v>73</v>
      </c>
      <c r="B90" s="95" t="s">
        <v>66</v>
      </c>
      <c r="C90" s="95" t="s">
        <v>67</v>
      </c>
      <c r="D90" s="95" t="s">
        <v>68</v>
      </c>
      <c r="G90" s="95">
        <v>30</v>
      </c>
      <c r="I90" s="95">
        <v>1.36</v>
      </c>
      <c r="P90" s="95">
        <v>2023</v>
      </c>
      <c r="S90" s="95" t="s">
        <v>99</v>
      </c>
      <c r="T90" s="95" t="s">
        <v>140</v>
      </c>
    </row>
    <row r="91" spans="1:20" x14ac:dyDescent="0.2">
      <c r="A91" s="95" t="s">
        <v>73</v>
      </c>
      <c r="B91" s="95" t="s">
        <v>66</v>
      </c>
      <c r="C91" s="95" t="s">
        <v>67</v>
      </c>
      <c r="D91" s="95" t="s">
        <v>81</v>
      </c>
      <c r="G91" s="95">
        <v>13</v>
      </c>
      <c r="I91" s="95">
        <v>0.57999999999999996</v>
      </c>
      <c r="P91" s="95">
        <v>2023</v>
      </c>
      <c r="S91" s="95" t="s">
        <v>99</v>
      </c>
      <c r="T91" s="95" t="s">
        <v>141</v>
      </c>
    </row>
    <row r="92" spans="1:20" x14ac:dyDescent="0.2">
      <c r="A92" s="95" t="s">
        <v>73</v>
      </c>
      <c r="B92" s="95" t="s">
        <v>66</v>
      </c>
      <c r="C92" s="95" t="s">
        <v>67</v>
      </c>
      <c r="D92" s="95" t="s">
        <v>68</v>
      </c>
      <c r="G92" s="95">
        <v>13</v>
      </c>
      <c r="I92" s="95">
        <v>0.75</v>
      </c>
      <c r="P92" s="95">
        <v>2023</v>
      </c>
      <c r="S92" s="95" t="s">
        <v>99</v>
      </c>
      <c r="T92" s="95" t="s">
        <v>142</v>
      </c>
    </row>
    <row r="93" spans="1:20" x14ac:dyDescent="0.2">
      <c r="A93" s="95" t="s">
        <v>73</v>
      </c>
      <c r="B93" s="95" t="s">
        <v>66</v>
      </c>
      <c r="C93" s="95" t="s">
        <v>67</v>
      </c>
      <c r="D93" s="95" t="s">
        <v>81</v>
      </c>
      <c r="G93" s="95">
        <v>19</v>
      </c>
      <c r="I93" s="95">
        <v>1.02</v>
      </c>
      <c r="P93" s="95">
        <v>2023</v>
      </c>
      <c r="S93" s="95" t="s">
        <v>99</v>
      </c>
      <c r="T93" s="95" t="s">
        <v>143</v>
      </c>
    </row>
    <row r="94" spans="1:20" x14ac:dyDescent="0.2">
      <c r="A94" s="95" t="s">
        <v>73</v>
      </c>
      <c r="B94" s="95" t="s">
        <v>66</v>
      </c>
      <c r="C94" s="95" t="s">
        <v>67</v>
      </c>
      <c r="D94" s="95" t="s">
        <v>81</v>
      </c>
      <c r="G94" s="95">
        <v>19</v>
      </c>
      <c r="I94" s="95">
        <v>0.87</v>
      </c>
      <c r="P94" s="95">
        <v>2023</v>
      </c>
      <c r="S94" s="95" t="s">
        <v>99</v>
      </c>
      <c r="T94" s="95" t="s">
        <v>144</v>
      </c>
    </row>
    <row r="95" spans="1:20" x14ac:dyDescent="0.2">
      <c r="A95" s="95" t="s">
        <v>73</v>
      </c>
      <c r="B95" s="95" t="s">
        <v>66</v>
      </c>
      <c r="C95" s="95" t="s">
        <v>67</v>
      </c>
      <c r="D95" s="95" t="s">
        <v>81</v>
      </c>
      <c r="G95" s="95">
        <v>30</v>
      </c>
      <c r="I95" s="95">
        <v>1.33</v>
      </c>
      <c r="P95" s="95">
        <v>2023</v>
      </c>
      <c r="S95" s="95" t="s">
        <v>99</v>
      </c>
      <c r="T95" s="95" t="s">
        <v>145</v>
      </c>
    </row>
    <row r="96" spans="1:20" x14ac:dyDescent="0.2">
      <c r="A96" s="95" t="s">
        <v>73</v>
      </c>
      <c r="B96" s="95" t="s">
        <v>66</v>
      </c>
      <c r="C96" s="95" t="s">
        <v>91</v>
      </c>
      <c r="G96" s="95">
        <v>13</v>
      </c>
      <c r="I96" s="95">
        <v>23.26</v>
      </c>
      <c r="P96" s="95">
        <v>2023</v>
      </c>
      <c r="S96" s="95" t="s">
        <v>99</v>
      </c>
      <c r="T96" s="95" t="s">
        <v>146</v>
      </c>
    </row>
    <row r="97" spans="1:20" x14ac:dyDescent="0.2">
      <c r="A97" s="95" t="s">
        <v>73</v>
      </c>
      <c r="B97" s="95" t="s">
        <v>66</v>
      </c>
      <c r="C97" s="95" t="s">
        <v>67</v>
      </c>
      <c r="D97" s="95" t="s">
        <v>81</v>
      </c>
      <c r="G97" s="95">
        <v>19</v>
      </c>
      <c r="I97" s="95">
        <v>0.99</v>
      </c>
      <c r="P97" s="95">
        <v>2023</v>
      </c>
      <c r="S97" s="95" t="s">
        <v>99</v>
      </c>
      <c r="T97" s="95" t="s">
        <v>147</v>
      </c>
    </row>
    <row r="98" spans="1:20" x14ac:dyDescent="0.2">
      <c r="A98" s="95" t="s">
        <v>73</v>
      </c>
      <c r="B98" s="95" t="s">
        <v>66</v>
      </c>
      <c r="C98" s="95" t="s">
        <v>67</v>
      </c>
      <c r="D98" s="95" t="s">
        <v>68</v>
      </c>
      <c r="G98" s="95">
        <v>15</v>
      </c>
      <c r="I98" s="95">
        <v>1.27</v>
      </c>
      <c r="P98" s="95">
        <v>2023</v>
      </c>
      <c r="S98" s="95" t="s">
        <v>99</v>
      </c>
      <c r="T98" s="95" t="s">
        <v>148</v>
      </c>
    </row>
    <row r="99" spans="1:20" x14ac:dyDescent="0.2">
      <c r="A99" s="95" t="s">
        <v>73</v>
      </c>
      <c r="B99" s="95" t="s">
        <v>66</v>
      </c>
      <c r="C99" s="95" t="s">
        <v>67</v>
      </c>
      <c r="D99" s="95" t="s">
        <v>81</v>
      </c>
      <c r="G99" s="95">
        <v>13</v>
      </c>
      <c r="I99" s="95">
        <v>0.78</v>
      </c>
      <c r="P99" s="95">
        <v>2023</v>
      </c>
      <c r="S99" s="95" t="s">
        <v>99</v>
      </c>
      <c r="T99" s="95" t="s">
        <v>149</v>
      </c>
    </row>
    <row r="100" spans="1:20" x14ac:dyDescent="0.2">
      <c r="A100" s="95" t="s">
        <v>73</v>
      </c>
      <c r="B100" s="95" t="s">
        <v>66</v>
      </c>
      <c r="C100" s="95" t="s">
        <v>67</v>
      </c>
      <c r="D100" s="95" t="s">
        <v>68</v>
      </c>
      <c r="G100" s="95">
        <v>30</v>
      </c>
      <c r="I100" s="95">
        <v>1.74</v>
      </c>
      <c r="P100" s="95">
        <v>2023</v>
      </c>
      <c r="S100" s="95" t="s">
        <v>99</v>
      </c>
      <c r="T100" s="95" t="s">
        <v>150</v>
      </c>
    </row>
    <row r="101" spans="1:20" x14ac:dyDescent="0.2">
      <c r="A101" s="95" t="s">
        <v>73</v>
      </c>
      <c r="B101" s="95" t="s">
        <v>66</v>
      </c>
      <c r="G101" s="95">
        <v>19</v>
      </c>
      <c r="I101" s="95">
        <v>15.29</v>
      </c>
      <c r="P101" s="95">
        <v>2023</v>
      </c>
      <c r="S101" s="95" t="s">
        <v>99</v>
      </c>
      <c r="T101" s="95" t="s">
        <v>151</v>
      </c>
    </row>
    <row r="102" spans="1:20" x14ac:dyDescent="0.2">
      <c r="A102" s="95" t="s">
        <v>73</v>
      </c>
      <c r="B102" s="95" t="s">
        <v>66</v>
      </c>
      <c r="C102" s="95" t="s">
        <v>67</v>
      </c>
      <c r="D102" s="95" t="s">
        <v>81</v>
      </c>
      <c r="G102" s="95">
        <v>13</v>
      </c>
      <c r="I102" s="95">
        <v>0.42</v>
      </c>
      <c r="P102" s="95">
        <v>2023</v>
      </c>
      <c r="S102" s="95" t="s">
        <v>99</v>
      </c>
      <c r="T102" s="95" t="s">
        <v>152</v>
      </c>
    </row>
    <row r="103" spans="1:20" x14ac:dyDescent="0.2">
      <c r="A103" s="95" t="s">
        <v>73</v>
      </c>
      <c r="B103" s="95" t="s">
        <v>66</v>
      </c>
      <c r="C103" s="95" t="s">
        <v>67</v>
      </c>
      <c r="D103" s="95" t="s">
        <v>81</v>
      </c>
      <c r="G103" s="95">
        <v>19</v>
      </c>
      <c r="I103" s="95">
        <v>0.76</v>
      </c>
      <c r="P103" s="95">
        <v>2023</v>
      </c>
      <c r="S103" s="95" t="s">
        <v>99</v>
      </c>
      <c r="T103" s="95" t="s">
        <v>153</v>
      </c>
    </row>
    <row r="104" spans="1:20" x14ac:dyDescent="0.2">
      <c r="A104" s="95" t="s">
        <v>73</v>
      </c>
      <c r="B104" s="95" t="s">
        <v>66</v>
      </c>
      <c r="C104" s="95" t="s">
        <v>67</v>
      </c>
      <c r="D104" s="95" t="s">
        <v>68</v>
      </c>
      <c r="G104" s="95">
        <v>30</v>
      </c>
      <c r="I104" s="95">
        <v>1.1599999999999999</v>
      </c>
      <c r="P104" s="95">
        <v>2023</v>
      </c>
      <c r="S104" s="95" t="s">
        <v>99</v>
      </c>
      <c r="T104" s="95" t="s">
        <v>154</v>
      </c>
    </row>
    <row r="105" spans="1:20" x14ac:dyDescent="0.2">
      <c r="A105" s="95" t="s">
        <v>73</v>
      </c>
      <c r="B105" s="95" t="s">
        <v>66</v>
      </c>
      <c r="C105" s="95" t="s">
        <v>67</v>
      </c>
      <c r="D105" s="95" t="s">
        <v>81</v>
      </c>
      <c r="G105" s="95">
        <v>15</v>
      </c>
      <c r="I105" s="95">
        <v>1.1200000000000001</v>
      </c>
      <c r="P105" s="95">
        <v>2023</v>
      </c>
      <c r="S105" s="95" t="s">
        <v>99</v>
      </c>
      <c r="T105" s="95" t="s">
        <v>155</v>
      </c>
    </row>
    <row r="106" spans="1:20" x14ac:dyDescent="0.2">
      <c r="A106" s="95" t="s">
        <v>73</v>
      </c>
      <c r="B106" s="95" t="s">
        <v>66</v>
      </c>
      <c r="C106" s="95" t="s">
        <v>67</v>
      </c>
      <c r="D106" s="95" t="s">
        <v>68</v>
      </c>
      <c r="G106" s="95">
        <v>30</v>
      </c>
      <c r="I106" s="95">
        <v>1.47</v>
      </c>
      <c r="P106" s="95">
        <v>2023</v>
      </c>
      <c r="S106" s="95" t="s">
        <v>99</v>
      </c>
      <c r="T106" s="95" t="s">
        <v>156</v>
      </c>
    </row>
    <row r="107" spans="1:20" x14ac:dyDescent="0.2">
      <c r="A107" s="95" t="s">
        <v>73</v>
      </c>
      <c r="B107" s="95" t="s">
        <v>66</v>
      </c>
      <c r="C107" s="95" t="s">
        <v>67</v>
      </c>
      <c r="D107" s="95" t="s">
        <v>81</v>
      </c>
      <c r="G107" s="95">
        <v>19</v>
      </c>
      <c r="I107" s="95">
        <v>0.87</v>
      </c>
      <c r="P107" s="95">
        <v>2023</v>
      </c>
      <c r="S107" s="95" t="s">
        <v>99</v>
      </c>
      <c r="T107" s="95" t="s">
        <v>157</v>
      </c>
    </row>
    <row r="108" spans="1:20" x14ac:dyDescent="0.2">
      <c r="A108" s="95" t="s">
        <v>73</v>
      </c>
      <c r="B108" s="95" t="s">
        <v>66</v>
      </c>
      <c r="C108" s="95" t="s">
        <v>67</v>
      </c>
      <c r="D108" s="95" t="s">
        <v>81</v>
      </c>
      <c r="G108" s="95">
        <v>19</v>
      </c>
      <c r="I108" s="95">
        <v>0.97</v>
      </c>
      <c r="P108" s="95">
        <v>2023</v>
      </c>
      <c r="S108" s="95" t="s">
        <v>99</v>
      </c>
      <c r="T108" s="95" t="s">
        <v>158</v>
      </c>
    </row>
    <row r="109" spans="1:20" x14ac:dyDescent="0.2">
      <c r="A109" s="95" t="s">
        <v>73</v>
      </c>
      <c r="B109" s="95" t="s">
        <v>66</v>
      </c>
      <c r="C109" s="95" t="s">
        <v>67</v>
      </c>
      <c r="D109" s="95" t="s">
        <v>81</v>
      </c>
      <c r="G109" s="95">
        <v>13</v>
      </c>
      <c r="I109" s="95">
        <v>0.63</v>
      </c>
      <c r="P109" s="95">
        <v>2023</v>
      </c>
      <c r="S109" s="95" t="s">
        <v>99</v>
      </c>
      <c r="T109" s="95" t="s">
        <v>159</v>
      </c>
    </row>
    <row r="110" spans="1:20" x14ac:dyDescent="0.2">
      <c r="A110" s="95" t="s">
        <v>73</v>
      </c>
      <c r="B110" s="95" t="s">
        <v>66</v>
      </c>
      <c r="C110" s="95" t="s">
        <v>67</v>
      </c>
      <c r="D110" s="95" t="s">
        <v>68</v>
      </c>
      <c r="G110" s="95">
        <v>6</v>
      </c>
      <c r="I110" s="95">
        <v>1.87</v>
      </c>
      <c r="P110" s="95">
        <v>2023</v>
      </c>
      <c r="S110" s="95" t="s">
        <v>99</v>
      </c>
      <c r="T110" s="95" t="s">
        <v>160</v>
      </c>
    </row>
    <row r="111" spans="1:20" x14ac:dyDescent="0.2">
      <c r="A111" s="95" t="s">
        <v>73</v>
      </c>
      <c r="B111" s="95" t="s">
        <v>66</v>
      </c>
      <c r="C111" s="95" t="s">
        <v>67</v>
      </c>
      <c r="D111" s="95" t="s">
        <v>68</v>
      </c>
      <c r="G111" s="95">
        <v>30</v>
      </c>
      <c r="I111" s="95">
        <v>1.24</v>
      </c>
      <c r="P111" s="95">
        <v>2023</v>
      </c>
      <c r="S111" s="95" t="s">
        <v>99</v>
      </c>
      <c r="T111" s="95" t="s">
        <v>161</v>
      </c>
    </row>
    <row r="112" spans="1:20" x14ac:dyDescent="0.2">
      <c r="A112" s="95" t="s">
        <v>73</v>
      </c>
      <c r="B112" s="95" t="s">
        <v>66</v>
      </c>
      <c r="C112" s="95" t="s">
        <v>67</v>
      </c>
      <c r="D112" s="95" t="s">
        <v>68</v>
      </c>
      <c r="G112" s="95">
        <v>30</v>
      </c>
      <c r="I112" s="95">
        <v>19.57</v>
      </c>
      <c r="P112" s="95">
        <v>2023</v>
      </c>
      <c r="S112" s="95" t="s">
        <v>99</v>
      </c>
      <c r="T112" s="95" t="s">
        <v>162</v>
      </c>
    </row>
    <row r="113" spans="1:20" x14ac:dyDescent="0.2">
      <c r="A113" s="95" t="s">
        <v>73</v>
      </c>
      <c r="B113" s="95" t="s">
        <v>66</v>
      </c>
      <c r="C113" s="95" t="s">
        <v>67</v>
      </c>
      <c r="D113" s="95" t="s">
        <v>81</v>
      </c>
      <c r="G113" s="95">
        <v>13</v>
      </c>
      <c r="I113" s="95">
        <v>0.82</v>
      </c>
      <c r="P113" s="95">
        <v>2023</v>
      </c>
      <c r="S113" s="95" t="s">
        <v>99</v>
      </c>
      <c r="T113" s="95" t="s">
        <v>163</v>
      </c>
    </row>
    <row r="114" spans="1:20" x14ac:dyDescent="0.2">
      <c r="A114" s="95" t="s">
        <v>73</v>
      </c>
      <c r="B114" s="95" t="s">
        <v>66</v>
      </c>
      <c r="C114" s="95" t="s">
        <v>67</v>
      </c>
      <c r="D114" s="95" t="s">
        <v>81</v>
      </c>
      <c r="G114" s="95">
        <v>30</v>
      </c>
      <c r="I114" s="95">
        <v>1.43</v>
      </c>
      <c r="P114" s="95">
        <v>2023</v>
      </c>
      <c r="S114" s="95" t="s">
        <v>99</v>
      </c>
      <c r="T114" s="95" t="s">
        <v>164</v>
      </c>
    </row>
    <row r="115" spans="1:20" x14ac:dyDescent="0.2">
      <c r="A115" s="95" t="s">
        <v>73</v>
      </c>
      <c r="B115" s="95" t="s">
        <v>66</v>
      </c>
      <c r="C115" s="95" t="s">
        <v>67</v>
      </c>
      <c r="D115" s="95" t="s">
        <v>81</v>
      </c>
      <c r="G115" s="95">
        <v>13</v>
      </c>
      <c r="I115" s="95">
        <v>0.84</v>
      </c>
      <c r="P115" s="95">
        <v>2023</v>
      </c>
      <c r="S115" s="95" t="s">
        <v>99</v>
      </c>
      <c r="T115" s="95" t="s">
        <v>165</v>
      </c>
    </row>
    <row r="116" spans="1:20" x14ac:dyDescent="0.2">
      <c r="A116" s="95" t="s">
        <v>73</v>
      </c>
      <c r="B116" s="95" t="s">
        <v>66</v>
      </c>
      <c r="C116" s="95" t="s">
        <v>67</v>
      </c>
      <c r="D116" s="95" t="s">
        <v>81</v>
      </c>
      <c r="G116" s="95">
        <v>19</v>
      </c>
      <c r="I116" s="95">
        <v>0.85</v>
      </c>
      <c r="P116" s="95">
        <v>2023</v>
      </c>
      <c r="S116" s="95" t="s">
        <v>99</v>
      </c>
      <c r="T116" s="95" t="s">
        <v>166</v>
      </c>
    </row>
    <row r="117" spans="1:20" x14ac:dyDescent="0.2">
      <c r="A117" s="95" t="s">
        <v>73</v>
      </c>
      <c r="B117" s="95" t="s">
        <v>66</v>
      </c>
      <c r="C117" s="95" t="s">
        <v>67</v>
      </c>
      <c r="D117" s="95" t="s">
        <v>81</v>
      </c>
      <c r="G117" s="95">
        <v>19</v>
      </c>
      <c r="I117" s="95">
        <v>1.26</v>
      </c>
      <c r="P117" s="95">
        <v>2023</v>
      </c>
      <c r="S117" s="95" t="s">
        <v>99</v>
      </c>
      <c r="T117" s="95" t="s">
        <v>167</v>
      </c>
    </row>
    <row r="118" spans="1:20" x14ac:dyDescent="0.2">
      <c r="A118" s="95" t="s">
        <v>73</v>
      </c>
      <c r="B118" s="95" t="s">
        <v>66</v>
      </c>
      <c r="C118" s="95" t="s">
        <v>67</v>
      </c>
      <c r="D118" s="95" t="s">
        <v>68</v>
      </c>
      <c r="G118" s="95">
        <v>30</v>
      </c>
      <c r="I118" s="95">
        <v>1.48</v>
      </c>
      <c r="P118" s="95">
        <v>2023</v>
      </c>
      <c r="S118" s="95" t="s">
        <v>99</v>
      </c>
      <c r="T118" s="95" t="s">
        <v>168</v>
      </c>
    </row>
    <row r="119" spans="1:20" x14ac:dyDescent="0.2">
      <c r="A119" s="95" t="s">
        <v>73</v>
      </c>
      <c r="B119" s="95" t="s">
        <v>66</v>
      </c>
      <c r="C119" s="95" t="s">
        <v>67</v>
      </c>
      <c r="D119" s="95" t="s">
        <v>81</v>
      </c>
      <c r="G119" s="95">
        <v>19</v>
      </c>
      <c r="I119" s="95">
        <v>1.1499999999999999</v>
      </c>
      <c r="P119" s="95">
        <v>2023</v>
      </c>
      <c r="S119" s="95" t="s">
        <v>99</v>
      </c>
      <c r="T119" s="95" t="s">
        <v>169</v>
      </c>
    </row>
    <row r="120" spans="1:20" x14ac:dyDescent="0.2">
      <c r="A120" s="95" t="s">
        <v>73</v>
      </c>
      <c r="B120" s="95" t="s">
        <v>66</v>
      </c>
      <c r="C120" s="95" t="s">
        <v>67</v>
      </c>
      <c r="D120" s="95" t="s">
        <v>81</v>
      </c>
      <c r="G120" s="95">
        <v>13</v>
      </c>
      <c r="I120" s="95">
        <v>0.96</v>
      </c>
      <c r="P120" s="95">
        <v>2023</v>
      </c>
      <c r="S120" s="95" t="s">
        <v>99</v>
      </c>
      <c r="T120" s="95" t="s">
        <v>170</v>
      </c>
    </row>
    <row r="121" spans="1:20" x14ac:dyDescent="0.2">
      <c r="A121" s="95" t="s">
        <v>73</v>
      </c>
      <c r="B121" s="95" t="s">
        <v>66</v>
      </c>
      <c r="C121" s="95" t="s">
        <v>67</v>
      </c>
      <c r="D121" s="95" t="s">
        <v>81</v>
      </c>
      <c r="G121" s="95">
        <v>19</v>
      </c>
      <c r="I121" s="95">
        <v>1.08</v>
      </c>
      <c r="P121" s="95">
        <v>2023</v>
      </c>
      <c r="S121" s="95" t="s">
        <v>99</v>
      </c>
      <c r="T121" s="95" t="s">
        <v>171</v>
      </c>
    </row>
    <row r="122" spans="1:20" x14ac:dyDescent="0.2">
      <c r="A122" s="95" t="s">
        <v>73</v>
      </c>
      <c r="B122" s="95" t="s">
        <v>66</v>
      </c>
      <c r="C122" s="95" t="s">
        <v>67</v>
      </c>
      <c r="D122" s="95" t="s">
        <v>68</v>
      </c>
      <c r="G122" s="95">
        <v>13</v>
      </c>
      <c r="I122" s="95">
        <v>0.93</v>
      </c>
      <c r="P122" s="95">
        <v>2023</v>
      </c>
      <c r="S122" s="95" t="s">
        <v>99</v>
      </c>
      <c r="T122" s="95" t="s">
        <v>172</v>
      </c>
    </row>
    <row r="123" spans="1:20" x14ac:dyDescent="0.2">
      <c r="A123" s="95" t="s">
        <v>73</v>
      </c>
      <c r="B123" s="95" t="s">
        <v>66</v>
      </c>
      <c r="C123" s="95" t="s">
        <v>67</v>
      </c>
      <c r="D123" s="95" t="s">
        <v>68</v>
      </c>
      <c r="G123" s="95">
        <v>7</v>
      </c>
      <c r="I123" s="95">
        <v>1.99</v>
      </c>
      <c r="P123" s="95">
        <v>2023</v>
      </c>
      <c r="S123" s="95" t="s">
        <v>99</v>
      </c>
      <c r="T123" s="95" t="s">
        <v>173</v>
      </c>
    </row>
    <row r="124" spans="1:20" x14ac:dyDescent="0.2">
      <c r="A124" s="95" t="s">
        <v>73</v>
      </c>
      <c r="B124" s="95" t="s">
        <v>66</v>
      </c>
      <c r="C124" s="95" t="s">
        <v>67</v>
      </c>
      <c r="D124" s="95" t="s">
        <v>68</v>
      </c>
      <c r="G124" s="95">
        <v>6</v>
      </c>
      <c r="I124" s="95">
        <v>95.58</v>
      </c>
      <c r="P124" s="95">
        <v>2023</v>
      </c>
      <c r="S124" s="95" t="s">
        <v>99</v>
      </c>
      <c r="T124" s="95" t="s">
        <v>174</v>
      </c>
    </row>
    <row r="125" spans="1:20" x14ac:dyDescent="0.2">
      <c r="A125" s="95" t="s">
        <v>73</v>
      </c>
      <c r="B125" s="95" t="s">
        <v>66</v>
      </c>
      <c r="C125" s="95" t="s">
        <v>67</v>
      </c>
      <c r="D125" s="95" t="s">
        <v>81</v>
      </c>
      <c r="G125" s="95">
        <v>13</v>
      </c>
      <c r="I125" s="95">
        <v>0.75</v>
      </c>
      <c r="P125" s="95">
        <v>2023</v>
      </c>
      <c r="S125" s="95" t="s">
        <v>99</v>
      </c>
      <c r="T125" s="95" t="s">
        <v>175</v>
      </c>
    </row>
    <row r="126" spans="1:20" x14ac:dyDescent="0.2">
      <c r="A126" s="95" t="s">
        <v>65</v>
      </c>
      <c r="B126" s="95" t="s">
        <v>66</v>
      </c>
      <c r="C126" s="95" t="s">
        <v>86</v>
      </c>
      <c r="D126" s="95" t="s">
        <v>68</v>
      </c>
      <c r="F126" s="95">
        <v>0.5</v>
      </c>
      <c r="G126" s="95">
        <v>3</v>
      </c>
      <c r="I126" s="95">
        <v>0.43687500000000001</v>
      </c>
      <c r="P126" s="95">
        <v>2023</v>
      </c>
      <c r="Q126" s="95" t="s">
        <v>176</v>
      </c>
      <c r="R126" s="95" t="s">
        <v>177</v>
      </c>
      <c r="S126" s="95" t="s">
        <v>99</v>
      </c>
      <c r="T126" s="95" t="s">
        <v>178</v>
      </c>
    </row>
    <row r="127" spans="1:20" x14ac:dyDescent="0.2">
      <c r="A127" s="95" t="s">
        <v>65</v>
      </c>
      <c r="B127" s="95" t="s">
        <v>66</v>
      </c>
      <c r="C127" s="95" t="s">
        <v>84</v>
      </c>
      <c r="D127" s="95" t="s">
        <v>81</v>
      </c>
      <c r="F127" s="95">
        <v>0.5</v>
      </c>
      <c r="G127" s="95">
        <v>3.2</v>
      </c>
      <c r="I127" s="95">
        <v>0.62250000000000005</v>
      </c>
      <c r="P127" s="95">
        <v>2023</v>
      </c>
      <c r="Q127" s="95" t="s">
        <v>179</v>
      </c>
      <c r="R127" s="95" t="s">
        <v>180</v>
      </c>
      <c r="S127" s="95" t="s">
        <v>99</v>
      </c>
      <c r="T127" s="95" t="s">
        <v>181</v>
      </c>
    </row>
    <row r="128" spans="1:20" x14ac:dyDescent="0.2">
      <c r="A128" s="95" t="s">
        <v>65</v>
      </c>
      <c r="B128" s="95" t="s">
        <v>66</v>
      </c>
      <c r="C128" s="95" t="s">
        <v>85</v>
      </c>
      <c r="D128" s="95" t="s">
        <v>81</v>
      </c>
      <c r="F128" s="95">
        <v>0.63</v>
      </c>
      <c r="G128" s="95">
        <v>3</v>
      </c>
      <c r="I128" s="95">
        <v>0.83250000000000002</v>
      </c>
      <c r="P128" s="95">
        <v>2023</v>
      </c>
      <c r="Q128" s="95" t="s">
        <v>182</v>
      </c>
      <c r="R128" s="95" t="s">
        <v>183</v>
      </c>
      <c r="S128" s="95" t="s">
        <v>99</v>
      </c>
      <c r="T128" s="95" t="s">
        <v>184</v>
      </c>
    </row>
    <row r="129" spans="1:20" x14ac:dyDescent="0.2">
      <c r="A129" s="95" t="s">
        <v>65</v>
      </c>
      <c r="B129" s="95" t="s">
        <v>66</v>
      </c>
      <c r="C129" s="95" t="s">
        <v>85</v>
      </c>
      <c r="D129" s="95" t="s">
        <v>68</v>
      </c>
      <c r="F129" s="95">
        <v>0.75</v>
      </c>
      <c r="G129" s="95">
        <v>2.65</v>
      </c>
      <c r="I129" s="95">
        <v>2.5950000000000002</v>
      </c>
      <c r="P129" s="95">
        <v>2023</v>
      </c>
      <c r="Q129" s="95" t="s">
        <v>185</v>
      </c>
      <c r="R129" s="95" t="s">
        <v>186</v>
      </c>
      <c r="S129" s="95" t="s">
        <v>99</v>
      </c>
      <c r="T129" s="95" t="s">
        <v>187</v>
      </c>
    </row>
    <row r="130" spans="1:20" x14ac:dyDescent="0.2">
      <c r="A130" s="95" t="s">
        <v>65</v>
      </c>
      <c r="B130" s="95" t="s">
        <v>66</v>
      </c>
      <c r="C130" s="95" t="s">
        <v>86</v>
      </c>
      <c r="D130" s="95" t="s">
        <v>68</v>
      </c>
      <c r="F130" s="95">
        <v>1</v>
      </c>
      <c r="G130" s="95">
        <v>5</v>
      </c>
      <c r="I130" s="95">
        <v>0.97875000000000001</v>
      </c>
      <c r="P130" s="95">
        <v>2023</v>
      </c>
      <c r="Q130" s="95" t="s">
        <v>188</v>
      </c>
      <c r="R130" s="95" t="s">
        <v>189</v>
      </c>
      <c r="S130" s="95" t="s">
        <v>99</v>
      </c>
      <c r="T130" s="95" t="s">
        <v>190</v>
      </c>
    </row>
    <row r="131" spans="1:20" x14ac:dyDescent="0.2">
      <c r="A131" s="95" t="s">
        <v>65</v>
      </c>
      <c r="B131" s="95" t="s">
        <v>66</v>
      </c>
      <c r="C131" s="95" t="s">
        <v>85</v>
      </c>
      <c r="D131" s="95" t="s">
        <v>81</v>
      </c>
      <c r="F131" s="95">
        <v>1</v>
      </c>
      <c r="G131" s="95">
        <v>3.85</v>
      </c>
      <c r="I131" s="95">
        <v>0.48781249999999998</v>
      </c>
      <c r="P131" s="95">
        <v>2023</v>
      </c>
      <c r="Q131" s="95" t="s">
        <v>191</v>
      </c>
      <c r="R131" s="95" t="s">
        <v>192</v>
      </c>
      <c r="S131" s="95" t="s">
        <v>99</v>
      </c>
      <c r="T131" s="95" t="s">
        <v>193</v>
      </c>
    </row>
    <row r="132" spans="1:20" x14ac:dyDescent="0.2">
      <c r="A132" s="95" t="s">
        <v>65</v>
      </c>
      <c r="B132" s="95" t="s">
        <v>66</v>
      </c>
      <c r="C132" s="95" t="s">
        <v>85</v>
      </c>
      <c r="D132" s="95" t="s">
        <v>81</v>
      </c>
      <c r="F132" s="95">
        <v>1</v>
      </c>
      <c r="G132" s="95">
        <v>5</v>
      </c>
      <c r="I132" s="95">
        <v>1.3891666666666669</v>
      </c>
      <c r="P132" s="95">
        <v>2023</v>
      </c>
      <c r="Q132" s="95" t="s">
        <v>194</v>
      </c>
      <c r="R132" s="95" t="s">
        <v>195</v>
      </c>
      <c r="S132" s="95" t="s">
        <v>99</v>
      </c>
      <c r="T132" s="95" t="s">
        <v>196</v>
      </c>
    </row>
    <row r="133" spans="1:20" x14ac:dyDescent="0.2">
      <c r="A133" s="95" t="s">
        <v>65</v>
      </c>
      <c r="B133" s="95" t="s">
        <v>66</v>
      </c>
      <c r="C133" s="95" t="s">
        <v>86</v>
      </c>
      <c r="D133" s="95" t="s">
        <v>68</v>
      </c>
      <c r="F133" s="95">
        <v>1</v>
      </c>
      <c r="G133" s="95">
        <v>5</v>
      </c>
      <c r="I133" s="95">
        <v>1.7450000000000001</v>
      </c>
      <c r="P133" s="95">
        <v>2023</v>
      </c>
      <c r="Q133" s="95" t="s">
        <v>16</v>
      </c>
      <c r="R133" s="95" t="s">
        <v>197</v>
      </c>
      <c r="S133" s="95" t="s">
        <v>99</v>
      </c>
      <c r="T133" s="95" t="s">
        <v>198</v>
      </c>
    </row>
    <row r="134" spans="1:20" x14ac:dyDescent="0.2">
      <c r="A134" s="95" t="s">
        <v>65</v>
      </c>
      <c r="B134" s="95" t="s">
        <v>66</v>
      </c>
      <c r="C134" s="95" t="s">
        <v>86</v>
      </c>
      <c r="D134" s="95" t="s">
        <v>81</v>
      </c>
      <c r="F134" s="95">
        <v>1</v>
      </c>
      <c r="G134" s="95">
        <v>5</v>
      </c>
      <c r="I134" s="95">
        <v>3.85</v>
      </c>
      <c r="P134" s="95">
        <v>2023</v>
      </c>
      <c r="Q134" s="95" t="s">
        <v>199</v>
      </c>
      <c r="R134" s="95" t="s">
        <v>200</v>
      </c>
      <c r="S134" s="95" t="s">
        <v>99</v>
      </c>
      <c r="T134" s="95" t="s">
        <v>201</v>
      </c>
    </row>
    <row r="135" spans="1:20" x14ac:dyDescent="0.2">
      <c r="A135" s="95" t="s">
        <v>65</v>
      </c>
      <c r="B135" s="95" t="s">
        <v>66</v>
      </c>
      <c r="C135" s="95" t="s">
        <v>86</v>
      </c>
      <c r="D135" s="95" t="s">
        <v>81</v>
      </c>
      <c r="F135" s="95">
        <v>1</v>
      </c>
      <c r="G135" s="95">
        <v>5</v>
      </c>
      <c r="I135" s="95">
        <v>3.66</v>
      </c>
      <c r="P135" s="95">
        <v>2023</v>
      </c>
      <c r="Q135" s="95" t="s">
        <v>199</v>
      </c>
      <c r="R135" s="95" t="s">
        <v>202</v>
      </c>
      <c r="S135" s="95" t="s">
        <v>99</v>
      </c>
      <c r="T135" s="95" t="s">
        <v>203</v>
      </c>
    </row>
    <row r="136" spans="1:20" x14ac:dyDescent="0.2">
      <c r="A136" s="95" t="s">
        <v>65</v>
      </c>
      <c r="B136" s="95" t="s">
        <v>66</v>
      </c>
      <c r="C136" s="95" t="s">
        <v>86</v>
      </c>
      <c r="D136" s="95" t="s">
        <v>81</v>
      </c>
      <c r="F136" s="95">
        <v>1</v>
      </c>
      <c r="G136" s="95">
        <v>5</v>
      </c>
      <c r="I136" s="95">
        <v>3.9950000000000001</v>
      </c>
      <c r="P136" s="95">
        <v>2023</v>
      </c>
      <c r="Q136" s="95" t="s">
        <v>199</v>
      </c>
      <c r="R136" s="95" t="s">
        <v>204</v>
      </c>
      <c r="S136" s="95" t="s">
        <v>99</v>
      </c>
      <c r="T136" s="95" t="s">
        <v>205</v>
      </c>
    </row>
    <row r="137" spans="1:20" x14ac:dyDescent="0.2">
      <c r="A137" s="95" t="s">
        <v>65</v>
      </c>
      <c r="B137" s="95" t="s">
        <v>66</v>
      </c>
      <c r="C137" s="95" t="s">
        <v>86</v>
      </c>
      <c r="D137" s="95" t="s">
        <v>68</v>
      </c>
      <c r="F137" s="95">
        <v>1.5</v>
      </c>
      <c r="G137" s="95">
        <v>7.5</v>
      </c>
      <c r="I137" s="95">
        <v>1.1131249999999999</v>
      </c>
      <c r="P137" s="95">
        <v>2023</v>
      </c>
      <c r="Q137" s="95" t="s">
        <v>199</v>
      </c>
      <c r="R137" s="95" t="s">
        <v>206</v>
      </c>
      <c r="S137" s="95" t="s">
        <v>99</v>
      </c>
      <c r="T137" s="95" t="s">
        <v>207</v>
      </c>
    </row>
    <row r="138" spans="1:20" x14ac:dyDescent="0.2">
      <c r="A138" s="95" t="s">
        <v>65</v>
      </c>
      <c r="B138" s="95" t="s">
        <v>66</v>
      </c>
      <c r="C138" s="95" t="s">
        <v>85</v>
      </c>
      <c r="D138" s="95" t="s">
        <v>81</v>
      </c>
      <c r="F138" s="95">
        <v>1.5</v>
      </c>
      <c r="G138" s="95">
        <v>5.78</v>
      </c>
      <c r="I138" s="95">
        <v>0.65187499999999998</v>
      </c>
      <c r="P138" s="95">
        <v>2023</v>
      </c>
      <c r="Q138" s="95" t="s">
        <v>191</v>
      </c>
      <c r="R138" s="95" t="s">
        <v>208</v>
      </c>
      <c r="S138" s="95" t="s">
        <v>99</v>
      </c>
      <c r="T138" s="95" t="s">
        <v>209</v>
      </c>
    </row>
    <row r="139" spans="1:20" x14ac:dyDescent="0.2">
      <c r="A139" s="95" t="s">
        <v>65</v>
      </c>
      <c r="B139" s="95" t="s">
        <v>66</v>
      </c>
      <c r="C139" s="95" t="s">
        <v>86</v>
      </c>
      <c r="D139" s="95" t="s">
        <v>68</v>
      </c>
      <c r="F139" s="95">
        <v>2</v>
      </c>
      <c r="G139" s="95">
        <v>10</v>
      </c>
      <c r="I139" s="95">
        <v>1.89</v>
      </c>
      <c r="P139" s="95">
        <v>2023</v>
      </c>
      <c r="Q139" s="95" t="s">
        <v>210</v>
      </c>
      <c r="R139" s="95" t="s">
        <v>211</v>
      </c>
      <c r="S139" s="95" t="s">
        <v>99</v>
      </c>
      <c r="T139" s="95" t="s">
        <v>212</v>
      </c>
    </row>
    <row r="140" spans="1:20" x14ac:dyDescent="0.2">
      <c r="A140" s="95" t="s">
        <v>65</v>
      </c>
      <c r="B140" s="95" t="s">
        <v>66</v>
      </c>
      <c r="C140" s="95" t="s">
        <v>85</v>
      </c>
      <c r="D140" s="95" t="s">
        <v>81</v>
      </c>
      <c r="F140" s="95">
        <v>2</v>
      </c>
      <c r="G140" s="95">
        <v>7.7</v>
      </c>
      <c r="I140" s="95">
        <v>0.83218749999999997</v>
      </c>
      <c r="P140" s="95">
        <v>2023</v>
      </c>
      <c r="Q140" s="95" t="s">
        <v>191</v>
      </c>
      <c r="R140" s="95" t="s">
        <v>213</v>
      </c>
      <c r="S140" s="95" t="s">
        <v>99</v>
      </c>
      <c r="T140" s="95" t="s">
        <v>214</v>
      </c>
    </row>
    <row r="141" spans="1:20" x14ac:dyDescent="0.2">
      <c r="A141" s="95" t="s">
        <v>65</v>
      </c>
      <c r="B141" s="95" t="s">
        <v>66</v>
      </c>
      <c r="C141" s="95" t="s">
        <v>86</v>
      </c>
      <c r="D141" s="95" t="s">
        <v>68</v>
      </c>
      <c r="F141" s="95">
        <v>2</v>
      </c>
      <c r="G141" s="95">
        <v>10</v>
      </c>
      <c r="I141" s="95">
        <v>1.85625</v>
      </c>
      <c r="P141" s="95">
        <v>2023</v>
      </c>
      <c r="Q141" s="95" t="s">
        <v>176</v>
      </c>
      <c r="R141" s="95" t="s">
        <v>215</v>
      </c>
      <c r="S141" s="95" t="s">
        <v>99</v>
      </c>
      <c r="T141" s="95" t="s">
        <v>216</v>
      </c>
    </row>
    <row r="142" spans="1:20" x14ac:dyDescent="0.2">
      <c r="A142" s="95" t="s">
        <v>65</v>
      </c>
      <c r="B142" s="95" t="s">
        <v>66</v>
      </c>
      <c r="C142" s="95" t="s">
        <v>86</v>
      </c>
      <c r="D142" s="95" t="s">
        <v>68</v>
      </c>
      <c r="F142" s="95">
        <v>2</v>
      </c>
      <c r="G142" s="95">
        <v>10</v>
      </c>
      <c r="I142" s="95">
        <v>1.85625</v>
      </c>
      <c r="P142" s="95">
        <v>2023</v>
      </c>
      <c r="Q142" s="95" t="s">
        <v>217</v>
      </c>
      <c r="R142" s="95" t="s">
        <v>218</v>
      </c>
      <c r="S142" s="95" t="s">
        <v>99</v>
      </c>
      <c r="T142" s="95" t="s">
        <v>219</v>
      </c>
    </row>
    <row r="143" spans="1:20" x14ac:dyDescent="0.2">
      <c r="A143" s="95" t="s">
        <v>65</v>
      </c>
      <c r="B143" s="95" t="s">
        <v>66</v>
      </c>
      <c r="C143" s="95" t="s">
        <v>85</v>
      </c>
      <c r="D143" s="95" t="s">
        <v>81</v>
      </c>
      <c r="F143" s="95">
        <v>2</v>
      </c>
      <c r="G143" s="95">
        <v>10</v>
      </c>
      <c r="I143" s="95">
        <v>2.875</v>
      </c>
      <c r="P143" s="95">
        <v>2023</v>
      </c>
      <c r="Q143" s="95" t="s">
        <v>182</v>
      </c>
      <c r="R143" s="95" t="s">
        <v>220</v>
      </c>
      <c r="S143" s="95" t="s">
        <v>99</v>
      </c>
      <c r="T143" s="95" t="s">
        <v>221</v>
      </c>
    </row>
    <row r="144" spans="1:20" x14ac:dyDescent="0.2">
      <c r="A144" s="95" t="s">
        <v>65</v>
      </c>
      <c r="B144" s="95" t="s">
        <v>66</v>
      </c>
      <c r="C144" s="95" t="s">
        <v>86</v>
      </c>
      <c r="D144" s="95" t="s">
        <v>81</v>
      </c>
      <c r="F144" s="95">
        <v>2</v>
      </c>
      <c r="G144" s="95">
        <v>10</v>
      </c>
      <c r="I144" s="95">
        <v>5.2262500000000003</v>
      </c>
      <c r="P144" s="95">
        <v>2023</v>
      </c>
      <c r="Q144" s="95" t="s">
        <v>199</v>
      </c>
      <c r="R144" s="95" t="s">
        <v>222</v>
      </c>
      <c r="S144" s="95" t="s">
        <v>99</v>
      </c>
      <c r="T144" s="95" t="s">
        <v>223</v>
      </c>
    </row>
    <row r="145" spans="1:20" x14ac:dyDescent="0.2">
      <c r="A145" s="95" t="s">
        <v>65</v>
      </c>
      <c r="B145" s="95" t="s">
        <v>66</v>
      </c>
      <c r="C145" s="95" t="s">
        <v>86</v>
      </c>
      <c r="D145" s="95" t="s">
        <v>81</v>
      </c>
      <c r="F145" s="95">
        <v>2</v>
      </c>
      <c r="G145" s="95">
        <v>10</v>
      </c>
      <c r="I145" s="95">
        <v>4.9924999999999997</v>
      </c>
      <c r="P145" s="95">
        <v>2023</v>
      </c>
      <c r="Q145" s="95" t="s">
        <v>199</v>
      </c>
      <c r="R145" s="95" t="s">
        <v>224</v>
      </c>
      <c r="S145" s="95" t="s">
        <v>99</v>
      </c>
      <c r="T145" s="95" t="s">
        <v>225</v>
      </c>
    </row>
    <row r="146" spans="1:20" x14ac:dyDescent="0.2">
      <c r="A146" s="95" t="s">
        <v>65</v>
      </c>
      <c r="B146" s="95" t="s">
        <v>66</v>
      </c>
      <c r="C146" s="95" t="s">
        <v>86</v>
      </c>
      <c r="D146" s="95" t="s">
        <v>81</v>
      </c>
      <c r="F146" s="95">
        <v>2</v>
      </c>
      <c r="G146" s="95">
        <v>10</v>
      </c>
      <c r="I146" s="95">
        <v>5.15625</v>
      </c>
      <c r="P146" s="95">
        <v>2023</v>
      </c>
      <c r="Q146" s="95" t="s">
        <v>199</v>
      </c>
      <c r="R146" s="95" t="s">
        <v>226</v>
      </c>
      <c r="S146" s="95" t="s">
        <v>99</v>
      </c>
      <c r="T146" s="95" t="s">
        <v>227</v>
      </c>
    </row>
    <row r="147" spans="1:20" x14ac:dyDescent="0.2">
      <c r="A147" s="95" t="s">
        <v>65</v>
      </c>
      <c r="B147" s="95" t="s">
        <v>66</v>
      </c>
      <c r="C147" s="95" t="s">
        <v>85</v>
      </c>
      <c r="D147" s="95" t="s">
        <v>68</v>
      </c>
      <c r="F147" s="95">
        <v>2.38</v>
      </c>
      <c r="G147" s="95">
        <v>10</v>
      </c>
      <c r="I147" s="95">
        <v>2.5821874999999999</v>
      </c>
      <c r="P147" s="95">
        <v>2023</v>
      </c>
      <c r="Q147" s="95" t="s">
        <v>228</v>
      </c>
      <c r="R147" s="95" t="s">
        <v>229</v>
      </c>
      <c r="S147" s="95" t="s">
        <v>99</v>
      </c>
      <c r="T147" s="95" t="s">
        <v>230</v>
      </c>
    </row>
    <row r="148" spans="1:20" x14ac:dyDescent="0.2">
      <c r="A148" s="95" t="s">
        <v>73</v>
      </c>
      <c r="B148" s="95" t="s">
        <v>66</v>
      </c>
      <c r="C148" s="95" t="s">
        <v>91</v>
      </c>
      <c r="D148" s="95" t="s">
        <v>68</v>
      </c>
      <c r="F148" s="95">
        <v>2</v>
      </c>
      <c r="G148" s="95">
        <v>8.4</v>
      </c>
      <c r="I148" s="95">
        <v>3.6652473958333331</v>
      </c>
      <c r="P148" s="95">
        <v>2023</v>
      </c>
      <c r="Q148" s="95" t="s">
        <v>176</v>
      </c>
      <c r="R148" s="95" t="s">
        <v>285</v>
      </c>
      <c r="S148" s="95" t="s">
        <v>99</v>
      </c>
      <c r="T148" s="95" t="s">
        <v>286</v>
      </c>
    </row>
    <row r="149" spans="1:20" x14ac:dyDescent="0.2">
      <c r="A149" s="95" t="s">
        <v>73</v>
      </c>
      <c r="B149" s="95" t="s">
        <v>66</v>
      </c>
      <c r="C149" s="95" t="s">
        <v>287</v>
      </c>
      <c r="D149" s="95" t="s">
        <v>68</v>
      </c>
      <c r="I149" s="95">
        <v>1.1765886287625418</v>
      </c>
      <c r="P149" s="95">
        <v>2023</v>
      </c>
      <c r="Q149" s="95" t="s">
        <v>288</v>
      </c>
      <c r="R149" s="95" t="s">
        <v>289</v>
      </c>
      <c r="S149" s="95" t="s">
        <v>99</v>
      </c>
      <c r="T149" s="95" t="s">
        <v>290</v>
      </c>
    </row>
    <row r="150" spans="1:20" x14ac:dyDescent="0.2">
      <c r="A150" s="95" t="s">
        <v>73</v>
      </c>
      <c r="B150" s="95" t="s">
        <v>66</v>
      </c>
      <c r="C150" s="95" t="s">
        <v>291</v>
      </c>
      <c r="D150" s="95" t="s">
        <v>68</v>
      </c>
      <c r="F150" s="95">
        <v>3.5</v>
      </c>
      <c r="G150" s="95">
        <v>13</v>
      </c>
      <c r="I150" s="95">
        <v>1.3846938775510202</v>
      </c>
      <c r="P150" s="95">
        <v>2023</v>
      </c>
      <c r="Q150" s="95" t="s">
        <v>292</v>
      </c>
      <c r="R150" s="95" t="s">
        <v>293</v>
      </c>
      <c r="S150" s="95" t="s">
        <v>99</v>
      </c>
      <c r="T150" s="95" t="s">
        <v>102</v>
      </c>
    </row>
    <row r="151" spans="1:20" x14ac:dyDescent="0.2">
      <c r="A151" s="95" t="s">
        <v>73</v>
      </c>
      <c r="B151" s="95" t="s">
        <v>66</v>
      </c>
      <c r="C151" s="95" t="s">
        <v>291</v>
      </c>
      <c r="D151" s="95" t="s">
        <v>68</v>
      </c>
      <c r="F151" s="95">
        <v>3.5</v>
      </c>
      <c r="G151" s="95">
        <v>15</v>
      </c>
      <c r="I151" s="95">
        <v>1.5803571428571428</v>
      </c>
      <c r="P151" s="95">
        <v>2023</v>
      </c>
      <c r="Q151" s="95" t="s">
        <v>292</v>
      </c>
      <c r="R151" s="95" t="s">
        <v>294</v>
      </c>
      <c r="S151" s="95" t="s">
        <v>99</v>
      </c>
      <c r="T151" s="95" t="s">
        <v>106</v>
      </c>
    </row>
    <row r="152" spans="1:20" x14ac:dyDescent="0.2">
      <c r="A152" s="95" t="s">
        <v>73</v>
      </c>
      <c r="B152" s="95" t="s">
        <v>66</v>
      </c>
      <c r="C152" s="95" t="s">
        <v>295</v>
      </c>
      <c r="D152" s="95" t="s">
        <v>68</v>
      </c>
      <c r="F152" s="95">
        <v>3.5</v>
      </c>
      <c r="G152" s="95">
        <v>15</v>
      </c>
      <c r="I152" s="95">
        <v>1.3144053601340033</v>
      </c>
      <c r="P152" s="95">
        <v>2023</v>
      </c>
      <c r="Q152" s="95" t="s">
        <v>296</v>
      </c>
      <c r="R152" s="95" t="s">
        <v>297</v>
      </c>
      <c r="S152" s="95" t="s">
        <v>99</v>
      </c>
      <c r="T152" s="95" t="s">
        <v>110</v>
      </c>
    </row>
    <row r="153" spans="1:20" x14ac:dyDescent="0.2">
      <c r="A153" s="95" t="s">
        <v>73</v>
      </c>
      <c r="B153" s="95" t="s">
        <v>66</v>
      </c>
      <c r="C153" s="95" t="s">
        <v>291</v>
      </c>
      <c r="D153" s="95" t="s">
        <v>68</v>
      </c>
      <c r="F153" s="95">
        <v>7.125</v>
      </c>
      <c r="G153" s="95">
        <v>30</v>
      </c>
      <c r="I153" s="95">
        <v>3.7503401360544215</v>
      </c>
      <c r="P153" s="95">
        <v>2023</v>
      </c>
      <c r="Q153" s="95" t="s">
        <v>298</v>
      </c>
      <c r="R153" s="95" t="s">
        <v>299</v>
      </c>
      <c r="S153" s="95" t="s">
        <v>99</v>
      </c>
      <c r="T153" s="95" t="s">
        <v>117</v>
      </c>
    </row>
    <row r="154" spans="1:20" x14ac:dyDescent="0.2">
      <c r="A154" s="95" t="s">
        <v>73</v>
      </c>
      <c r="B154" s="95" t="s">
        <v>66</v>
      </c>
      <c r="C154" s="95" t="s">
        <v>291</v>
      </c>
      <c r="D154" s="95" t="s">
        <v>68</v>
      </c>
      <c r="F154" s="95">
        <v>5.5</v>
      </c>
      <c r="G154" s="95">
        <v>23</v>
      </c>
      <c r="I154" s="95">
        <v>2.0020483613109512</v>
      </c>
      <c r="P154" s="95">
        <v>2023</v>
      </c>
      <c r="Q154" s="95" t="s">
        <v>300</v>
      </c>
      <c r="R154" s="95" t="s">
        <v>301</v>
      </c>
      <c r="S154" s="95" t="s">
        <v>99</v>
      </c>
      <c r="T154" s="95" t="s">
        <v>302</v>
      </c>
    </row>
    <row r="155" spans="1:20" x14ac:dyDescent="0.2">
      <c r="A155" s="95" t="s">
        <v>73</v>
      </c>
      <c r="B155" s="95" t="s">
        <v>66</v>
      </c>
      <c r="C155" s="95" t="s">
        <v>291</v>
      </c>
      <c r="D155" s="95" t="s">
        <v>68</v>
      </c>
      <c r="F155" s="95">
        <v>7.125</v>
      </c>
      <c r="G155" s="95">
        <v>30</v>
      </c>
      <c r="I155" s="95">
        <v>3.3362777777777777</v>
      </c>
      <c r="P155" s="95">
        <v>2023</v>
      </c>
      <c r="Q155" s="95" t="s">
        <v>298</v>
      </c>
      <c r="R155" s="95" t="s">
        <v>303</v>
      </c>
      <c r="S155" s="95" t="s">
        <v>99</v>
      </c>
      <c r="T155" s="95" t="s">
        <v>123</v>
      </c>
    </row>
    <row r="156" spans="1:20" x14ac:dyDescent="0.2">
      <c r="A156" s="95" t="s">
        <v>73</v>
      </c>
      <c r="B156" s="95" t="s">
        <v>66</v>
      </c>
      <c r="C156" s="95" t="s">
        <v>291</v>
      </c>
      <c r="D156" s="95" t="s">
        <v>68</v>
      </c>
      <c r="F156" s="95">
        <v>5.5</v>
      </c>
      <c r="G156" s="95">
        <v>21</v>
      </c>
      <c r="I156" s="95">
        <v>2.6538701622971286</v>
      </c>
      <c r="P156" s="95">
        <v>2023</v>
      </c>
      <c r="Q156" s="95" t="s">
        <v>304</v>
      </c>
      <c r="R156" s="95" t="s">
        <v>305</v>
      </c>
      <c r="S156" s="95" t="s">
        <v>99</v>
      </c>
      <c r="T156" s="95" t="s">
        <v>119</v>
      </c>
    </row>
    <row r="157" spans="1:20" x14ac:dyDescent="0.2">
      <c r="A157" s="95" t="s">
        <v>73</v>
      </c>
      <c r="B157" s="95" t="s">
        <v>66</v>
      </c>
      <c r="C157" s="95" t="s">
        <v>291</v>
      </c>
      <c r="D157" s="95" t="s">
        <v>68</v>
      </c>
      <c r="F157" s="95">
        <v>5.5</v>
      </c>
      <c r="G157" s="95">
        <v>21</v>
      </c>
      <c r="I157" s="95">
        <v>2.6630356349911191</v>
      </c>
      <c r="P157" s="95">
        <v>2023</v>
      </c>
      <c r="Q157" s="95" t="s">
        <v>300</v>
      </c>
      <c r="R157" s="95" t="s">
        <v>306</v>
      </c>
      <c r="S157" s="95" t="s">
        <v>99</v>
      </c>
      <c r="T157" s="95" t="s">
        <v>139</v>
      </c>
    </row>
    <row r="158" spans="1:20" x14ac:dyDescent="0.2">
      <c r="A158" s="95" t="s">
        <v>73</v>
      </c>
      <c r="B158" s="95" t="s">
        <v>66</v>
      </c>
      <c r="C158" s="95" t="s">
        <v>291</v>
      </c>
      <c r="D158" s="95" t="s">
        <v>68</v>
      </c>
      <c r="F158" s="95">
        <v>3.5</v>
      </c>
      <c r="G158" s="95">
        <v>13</v>
      </c>
      <c r="I158" s="95">
        <v>1.4539939227439227</v>
      </c>
      <c r="P158" s="95">
        <v>2023</v>
      </c>
      <c r="Q158" s="95" t="s">
        <v>300</v>
      </c>
      <c r="R158" s="95" t="s">
        <v>307</v>
      </c>
      <c r="S158" s="95" t="s">
        <v>99</v>
      </c>
      <c r="T158" s="95" t="s">
        <v>146</v>
      </c>
    </row>
    <row r="159" spans="1:20" x14ac:dyDescent="0.2">
      <c r="A159" s="95" t="s">
        <v>73</v>
      </c>
      <c r="B159" s="95" t="s">
        <v>87</v>
      </c>
      <c r="C159" s="95" t="s">
        <v>67</v>
      </c>
      <c r="D159" s="95" t="s">
        <v>81</v>
      </c>
      <c r="E159" s="95" t="s">
        <v>88</v>
      </c>
      <c r="F159" s="95">
        <v>3.5</v>
      </c>
      <c r="G159" s="95">
        <v>13</v>
      </c>
      <c r="I159" s="95">
        <v>1</v>
      </c>
      <c r="J159" s="95">
        <v>1.0999999999999999E-2</v>
      </c>
      <c r="K159" s="95">
        <v>0.44</v>
      </c>
      <c r="L159" s="95">
        <v>1.82</v>
      </c>
      <c r="O159" s="95">
        <v>999</v>
      </c>
      <c r="P159" s="95">
        <v>2023</v>
      </c>
      <c r="R159" s="95" t="s">
        <v>87</v>
      </c>
      <c r="S159" s="95" t="s">
        <v>70</v>
      </c>
    </row>
    <row r="160" spans="1:20" x14ac:dyDescent="0.2">
      <c r="A160" s="95" t="s">
        <v>73</v>
      </c>
      <c r="B160" s="95" t="s">
        <v>87</v>
      </c>
      <c r="C160" s="95" t="s">
        <v>67</v>
      </c>
      <c r="D160" s="95" t="s">
        <v>81</v>
      </c>
      <c r="E160" s="95" t="s">
        <v>88</v>
      </c>
      <c r="F160" s="95">
        <v>6.25</v>
      </c>
      <c r="G160" s="95">
        <v>19</v>
      </c>
      <c r="I160" s="95">
        <v>1.1000000000000001</v>
      </c>
      <c r="J160" s="95">
        <v>1.2999999999999999E-2</v>
      </c>
      <c r="K160" s="95">
        <v>0.52</v>
      </c>
      <c r="L160" s="95">
        <v>2.0499999999999998</v>
      </c>
      <c r="O160" s="95">
        <v>999</v>
      </c>
      <c r="P160" s="95">
        <v>2023</v>
      </c>
      <c r="R160" s="95" t="s">
        <v>87</v>
      </c>
      <c r="S160" s="95" t="s">
        <v>70</v>
      </c>
    </row>
    <row r="161" spans="1:20" x14ac:dyDescent="0.2">
      <c r="A161" s="95" t="s">
        <v>73</v>
      </c>
      <c r="B161" s="95" t="s">
        <v>87</v>
      </c>
      <c r="C161" s="95" t="s">
        <v>67</v>
      </c>
      <c r="D161" s="95" t="s">
        <v>81</v>
      </c>
      <c r="E161" s="95" t="s">
        <v>88</v>
      </c>
      <c r="F161" s="95">
        <v>9.5</v>
      </c>
      <c r="G161" s="95">
        <v>30</v>
      </c>
      <c r="I161" s="95">
        <v>1</v>
      </c>
      <c r="J161" s="95">
        <v>1.6E-2</v>
      </c>
      <c r="K161" s="95">
        <v>0.62</v>
      </c>
      <c r="L161" s="95">
        <v>2.11</v>
      </c>
      <c r="O161" s="95">
        <v>999</v>
      </c>
      <c r="P161" s="95">
        <v>2023</v>
      </c>
      <c r="R161" s="95" t="s">
        <v>87</v>
      </c>
      <c r="S161" s="95" t="s">
        <v>70</v>
      </c>
    </row>
    <row r="162" spans="1:20" x14ac:dyDescent="0.2">
      <c r="A162" s="95" t="s">
        <v>73</v>
      </c>
      <c r="B162" s="95" t="s">
        <v>87</v>
      </c>
      <c r="C162" s="95" t="s">
        <v>67</v>
      </c>
      <c r="D162" s="95" t="s">
        <v>81</v>
      </c>
      <c r="E162" s="95" t="s">
        <v>88</v>
      </c>
      <c r="F162" s="95">
        <v>12</v>
      </c>
      <c r="G162" s="95">
        <v>38</v>
      </c>
      <c r="I162" s="95">
        <v>1.58</v>
      </c>
      <c r="J162" s="95">
        <v>1.7000000000000001E-2</v>
      </c>
      <c r="K162" s="95">
        <v>0.65</v>
      </c>
      <c r="L162" s="95">
        <v>2.8</v>
      </c>
      <c r="O162" s="95">
        <v>999</v>
      </c>
      <c r="P162" s="95">
        <v>2023</v>
      </c>
      <c r="R162" s="95" t="s">
        <v>87</v>
      </c>
      <c r="S162" s="95" t="s">
        <v>70</v>
      </c>
    </row>
    <row r="163" spans="1:20" x14ac:dyDescent="0.2">
      <c r="A163" s="95" t="s">
        <v>73</v>
      </c>
      <c r="B163" s="95" t="s">
        <v>87</v>
      </c>
      <c r="C163" s="95" t="s">
        <v>67</v>
      </c>
      <c r="D163" s="95" t="s">
        <v>68</v>
      </c>
      <c r="E163" s="95" t="s">
        <v>68</v>
      </c>
      <c r="F163" s="95">
        <v>3.5</v>
      </c>
      <c r="G163" s="95">
        <v>13</v>
      </c>
      <c r="I163" s="95">
        <v>0.59</v>
      </c>
      <c r="J163" s="95">
        <v>1.2999999999999999E-2</v>
      </c>
      <c r="K163" s="95">
        <v>0.52</v>
      </c>
      <c r="L163" s="95">
        <v>1.49</v>
      </c>
      <c r="O163" s="95">
        <v>999</v>
      </c>
      <c r="P163" s="95">
        <v>2023</v>
      </c>
      <c r="R163" s="95" t="s">
        <v>87</v>
      </c>
      <c r="S163" s="95" t="s">
        <v>70</v>
      </c>
    </row>
    <row r="164" spans="1:20" x14ac:dyDescent="0.2">
      <c r="A164" s="95" t="s">
        <v>73</v>
      </c>
      <c r="B164" s="95" t="s">
        <v>87</v>
      </c>
      <c r="C164" s="95" t="s">
        <v>67</v>
      </c>
      <c r="D164" s="95" t="s">
        <v>68</v>
      </c>
      <c r="E164" s="95" t="s">
        <v>68</v>
      </c>
      <c r="F164" s="95">
        <v>6.25</v>
      </c>
      <c r="G164" s="95">
        <v>19</v>
      </c>
      <c r="I164" s="95">
        <v>0.93</v>
      </c>
      <c r="J164" s="95">
        <v>1.6E-2</v>
      </c>
      <c r="K164" s="95">
        <v>0.62</v>
      </c>
      <c r="L164" s="95">
        <v>2.0299999999999998</v>
      </c>
      <c r="O164" s="95">
        <v>999</v>
      </c>
      <c r="P164" s="95">
        <v>2023</v>
      </c>
      <c r="R164" s="95" t="s">
        <v>87</v>
      </c>
      <c r="S164" s="95" t="s">
        <v>70</v>
      </c>
    </row>
    <row r="165" spans="1:20" x14ac:dyDescent="0.2">
      <c r="A165" s="95" t="s">
        <v>73</v>
      </c>
      <c r="B165" s="95" t="s">
        <v>87</v>
      </c>
      <c r="C165" s="95" t="s">
        <v>67</v>
      </c>
      <c r="D165" s="95" t="s">
        <v>68</v>
      </c>
      <c r="E165" s="95" t="s">
        <v>68</v>
      </c>
      <c r="F165" s="95">
        <v>9.5</v>
      </c>
      <c r="G165" s="95">
        <v>30</v>
      </c>
      <c r="I165" s="95">
        <v>1.56</v>
      </c>
      <c r="J165" s="95">
        <v>1.7999999999999999E-2</v>
      </c>
      <c r="K165" s="95">
        <v>0.69</v>
      </c>
      <c r="L165" s="95">
        <v>2.84</v>
      </c>
      <c r="O165" s="95">
        <v>999</v>
      </c>
      <c r="P165" s="95">
        <v>2023</v>
      </c>
      <c r="R165" s="95" t="s">
        <v>87</v>
      </c>
      <c r="S165" s="95" t="s">
        <v>70</v>
      </c>
    </row>
    <row r="166" spans="1:20" x14ac:dyDescent="0.2">
      <c r="A166" s="95" t="s">
        <v>73</v>
      </c>
      <c r="B166" s="95" t="s">
        <v>87</v>
      </c>
      <c r="C166" s="95" t="s">
        <v>67</v>
      </c>
      <c r="D166" s="95" t="s">
        <v>68</v>
      </c>
      <c r="E166" s="95" t="s">
        <v>68</v>
      </c>
      <c r="F166" s="95">
        <v>12</v>
      </c>
      <c r="G166" s="95">
        <v>38</v>
      </c>
      <c r="I166" s="95">
        <v>1.82</v>
      </c>
      <c r="J166" s="95">
        <v>1.9E-2</v>
      </c>
      <c r="K166" s="95">
        <v>0.73</v>
      </c>
      <c r="L166" s="95">
        <v>3.18</v>
      </c>
      <c r="O166" s="95">
        <v>999</v>
      </c>
      <c r="P166" s="95">
        <v>2023</v>
      </c>
      <c r="R166" s="95" t="s">
        <v>87</v>
      </c>
      <c r="S166" s="95" t="s">
        <v>70</v>
      </c>
    </row>
    <row r="167" spans="1:20" x14ac:dyDescent="0.2">
      <c r="A167" s="95" t="s">
        <v>97</v>
      </c>
      <c r="B167" s="95" t="s">
        <v>66</v>
      </c>
      <c r="C167" s="95" t="s">
        <v>98</v>
      </c>
      <c r="D167" s="95" t="s">
        <v>68</v>
      </c>
      <c r="E167" s="95" t="s">
        <v>94</v>
      </c>
      <c r="F167" s="95">
        <v>1</v>
      </c>
      <c r="G167" s="95">
        <v>6.5</v>
      </c>
      <c r="I167" s="95">
        <v>0.86</v>
      </c>
      <c r="J167" s="95">
        <v>4.0000000000000001E-3</v>
      </c>
      <c r="K167" s="95">
        <v>0.12</v>
      </c>
      <c r="L167" s="95">
        <v>1.28</v>
      </c>
      <c r="O167" s="95">
        <v>999</v>
      </c>
      <c r="P167" s="95">
        <v>2023</v>
      </c>
      <c r="R167" s="95" t="s">
        <v>92</v>
      </c>
      <c r="S167" s="95" t="s">
        <v>70</v>
      </c>
    </row>
    <row r="168" spans="1:20" x14ac:dyDescent="0.2">
      <c r="A168" s="95" t="s">
        <v>97</v>
      </c>
      <c r="B168" s="95" t="s">
        <v>66</v>
      </c>
      <c r="C168" s="95" t="s">
        <v>98</v>
      </c>
      <c r="D168" s="95" t="s">
        <v>68</v>
      </c>
      <c r="E168" s="95" t="s">
        <v>94</v>
      </c>
      <c r="F168" s="95">
        <v>2</v>
      </c>
      <c r="G168" s="95">
        <v>13</v>
      </c>
      <c r="I168" s="95">
        <v>1.73</v>
      </c>
      <c r="J168" s="95">
        <v>8.0000000000000002E-3</v>
      </c>
      <c r="K168" s="95">
        <v>0.24</v>
      </c>
      <c r="L168" s="95">
        <v>2.57</v>
      </c>
      <c r="O168" s="95">
        <v>999</v>
      </c>
      <c r="P168" s="95">
        <v>2023</v>
      </c>
      <c r="R168" s="95" t="s">
        <v>92</v>
      </c>
      <c r="S168" s="95" t="s">
        <v>70</v>
      </c>
    </row>
    <row r="169" spans="1:20" x14ac:dyDescent="0.2">
      <c r="A169" s="95" t="s">
        <v>97</v>
      </c>
      <c r="B169" s="95" t="s">
        <v>66</v>
      </c>
      <c r="C169" s="95" t="s">
        <v>98</v>
      </c>
      <c r="D169" s="95" t="s">
        <v>68</v>
      </c>
      <c r="E169" s="95" t="s">
        <v>94</v>
      </c>
      <c r="F169" s="95">
        <v>3</v>
      </c>
      <c r="G169" s="95">
        <v>19.5</v>
      </c>
      <c r="I169" s="95">
        <v>2.59</v>
      </c>
      <c r="J169" s="95">
        <v>1.2E-2</v>
      </c>
      <c r="K169" s="95">
        <v>0.35</v>
      </c>
      <c r="L169" s="95">
        <v>3.85</v>
      </c>
      <c r="O169" s="95">
        <v>999</v>
      </c>
      <c r="P169" s="95">
        <v>2023</v>
      </c>
      <c r="R169" s="95" t="s">
        <v>92</v>
      </c>
      <c r="S169" s="95" t="s">
        <v>70</v>
      </c>
    </row>
    <row r="170" spans="1:20" x14ac:dyDescent="0.2">
      <c r="A170" s="95" t="s">
        <v>97</v>
      </c>
      <c r="B170" s="95" t="s">
        <v>66</v>
      </c>
      <c r="C170" s="95" t="s">
        <v>98</v>
      </c>
      <c r="D170" s="95" t="s">
        <v>68</v>
      </c>
      <c r="E170" s="95" t="s">
        <v>94</v>
      </c>
      <c r="F170" s="95">
        <v>3.5</v>
      </c>
      <c r="G170" s="95">
        <v>22.75</v>
      </c>
      <c r="I170" s="95">
        <v>3.02</v>
      </c>
      <c r="J170" s="95">
        <v>1.4E-2</v>
      </c>
      <c r="K170" s="95">
        <v>0.41</v>
      </c>
      <c r="L170" s="95">
        <v>4.4800000000000004</v>
      </c>
      <c r="O170" s="95">
        <v>999</v>
      </c>
      <c r="P170" s="95">
        <v>2023</v>
      </c>
      <c r="R170" s="95" t="s">
        <v>92</v>
      </c>
      <c r="S170" s="95" t="s">
        <v>70</v>
      </c>
    </row>
    <row r="171" spans="1:20" x14ac:dyDescent="0.2">
      <c r="A171" s="95" t="s">
        <v>97</v>
      </c>
      <c r="B171" s="95" t="s">
        <v>66</v>
      </c>
      <c r="C171" s="95" t="s">
        <v>98</v>
      </c>
      <c r="D171" s="95" t="s">
        <v>68</v>
      </c>
      <c r="E171" s="95" t="s">
        <v>94</v>
      </c>
      <c r="F171" s="95">
        <v>4</v>
      </c>
      <c r="G171" s="95">
        <v>26</v>
      </c>
      <c r="I171" s="95">
        <v>3.45</v>
      </c>
      <c r="J171" s="95">
        <v>1.6E-2</v>
      </c>
      <c r="K171" s="95">
        <v>0.47</v>
      </c>
      <c r="L171" s="95">
        <v>5.13</v>
      </c>
      <c r="O171" s="95">
        <v>999</v>
      </c>
      <c r="P171" s="95">
        <v>2023</v>
      </c>
      <c r="R171" s="95" t="s">
        <v>92</v>
      </c>
      <c r="S171" s="95" t="s">
        <v>70</v>
      </c>
    </row>
    <row r="172" spans="1:20" x14ac:dyDescent="0.2">
      <c r="A172" s="95" t="s">
        <v>97</v>
      </c>
      <c r="B172" s="95" t="s">
        <v>66</v>
      </c>
      <c r="C172" s="95" t="s">
        <v>98</v>
      </c>
      <c r="D172" s="95" t="s">
        <v>68</v>
      </c>
      <c r="E172" s="95" t="s">
        <v>94</v>
      </c>
      <c r="F172" s="95">
        <v>5</v>
      </c>
      <c r="G172" s="95">
        <v>32.5</v>
      </c>
      <c r="I172" s="95">
        <v>4.3099999999999996</v>
      </c>
      <c r="J172" s="95">
        <v>0.02</v>
      </c>
      <c r="K172" s="95">
        <v>0.59</v>
      </c>
      <c r="L172" s="95">
        <v>6.4</v>
      </c>
      <c r="O172" s="95">
        <v>999</v>
      </c>
      <c r="P172" s="95">
        <v>2023</v>
      </c>
      <c r="R172" s="95" t="s">
        <v>92</v>
      </c>
      <c r="S172" s="95" t="s">
        <v>70</v>
      </c>
    </row>
    <row r="173" spans="1:20" x14ac:dyDescent="0.2">
      <c r="A173" s="95" t="s">
        <v>97</v>
      </c>
      <c r="B173" s="95" t="s">
        <v>66</v>
      </c>
      <c r="C173" s="95" t="s">
        <v>98</v>
      </c>
      <c r="D173" s="95" t="s">
        <v>68</v>
      </c>
      <c r="E173" s="95" t="s">
        <v>94</v>
      </c>
      <c r="F173" s="95">
        <v>5.5</v>
      </c>
      <c r="G173" s="95">
        <v>35.75</v>
      </c>
      <c r="I173" s="95">
        <v>4.74</v>
      </c>
      <c r="J173" s="95">
        <v>2.1999999999999999E-2</v>
      </c>
      <c r="K173" s="95">
        <v>0.65</v>
      </c>
      <c r="L173" s="95">
        <v>7.03</v>
      </c>
      <c r="O173" s="95">
        <v>999</v>
      </c>
      <c r="P173" s="95">
        <v>2023</v>
      </c>
      <c r="R173" s="95" t="s">
        <v>92</v>
      </c>
      <c r="S173" s="95" t="s">
        <v>70</v>
      </c>
    </row>
    <row r="174" spans="1:20" x14ac:dyDescent="0.2">
      <c r="A174" s="95" t="s">
        <v>97</v>
      </c>
      <c r="B174" s="95" t="s">
        <v>66</v>
      </c>
      <c r="C174" s="95" t="s">
        <v>98</v>
      </c>
      <c r="D174" s="95" t="s">
        <v>68</v>
      </c>
      <c r="E174" s="95" t="s">
        <v>94</v>
      </c>
      <c r="F174" s="95">
        <v>6</v>
      </c>
      <c r="G174" s="95">
        <v>39</v>
      </c>
      <c r="I174" s="95">
        <v>5.2</v>
      </c>
      <c r="J174" s="95">
        <v>2.4E-2</v>
      </c>
      <c r="K174" s="95">
        <v>0.71</v>
      </c>
      <c r="L174" s="95">
        <v>7.69</v>
      </c>
      <c r="O174" s="95">
        <v>999</v>
      </c>
      <c r="P174" s="95">
        <v>2023</v>
      </c>
      <c r="R174" s="95" t="s">
        <v>92</v>
      </c>
      <c r="S174" s="95" t="s">
        <v>70</v>
      </c>
    </row>
    <row r="175" spans="1:20" x14ac:dyDescent="0.2">
      <c r="A175" s="95" t="s">
        <v>97</v>
      </c>
      <c r="B175" s="95" t="s">
        <v>66</v>
      </c>
      <c r="C175" s="95" t="s">
        <v>239</v>
      </c>
      <c r="G175" s="95">
        <v>2</v>
      </c>
      <c r="H175" s="95">
        <v>3.7</v>
      </c>
      <c r="I175" s="95">
        <v>0.876</v>
      </c>
      <c r="P175" s="95">
        <v>2023</v>
      </c>
      <c r="R175" s="95" t="s">
        <v>240</v>
      </c>
      <c r="S175" s="95" t="s">
        <v>99</v>
      </c>
      <c r="T175" s="95" t="s">
        <v>241</v>
      </c>
    </row>
    <row r="176" spans="1:20" x14ac:dyDescent="0.2">
      <c r="A176" s="95" t="s">
        <v>97</v>
      </c>
      <c r="B176" s="95" t="s">
        <v>66</v>
      </c>
      <c r="C176" s="95" t="s">
        <v>252</v>
      </c>
      <c r="G176" s="95">
        <v>6.44</v>
      </c>
      <c r="I176" s="95">
        <v>1.9450000000000001</v>
      </c>
      <c r="P176" s="95">
        <v>2023</v>
      </c>
      <c r="R176" s="95" t="s">
        <v>242</v>
      </c>
      <c r="S176" s="95" t="s">
        <v>99</v>
      </c>
      <c r="T176" s="95" t="s">
        <v>243</v>
      </c>
    </row>
    <row r="177" spans="1:20" x14ac:dyDescent="0.2">
      <c r="A177" s="95" t="s">
        <v>97</v>
      </c>
      <c r="B177" s="95" t="s">
        <v>66</v>
      </c>
      <c r="C177" s="95" t="s">
        <v>239</v>
      </c>
      <c r="G177" s="95">
        <v>3.7</v>
      </c>
      <c r="I177" s="95">
        <v>1.0760000000000001</v>
      </c>
      <c r="P177" s="95">
        <v>2023</v>
      </c>
      <c r="R177" s="95" t="s">
        <v>244</v>
      </c>
      <c r="S177" s="95" t="s">
        <v>99</v>
      </c>
      <c r="T177" s="95" t="s">
        <v>245</v>
      </c>
    </row>
    <row r="178" spans="1:20" x14ac:dyDescent="0.2">
      <c r="A178" s="95" t="s">
        <v>97</v>
      </c>
      <c r="B178" s="95" t="s">
        <v>66</v>
      </c>
      <c r="C178" s="95" t="s">
        <v>239</v>
      </c>
      <c r="G178" s="95">
        <v>4.49</v>
      </c>
      <c r="H178" s="95">
        <v>4</v>
      </c>
      <c r="I178" s="95">
        <v>1.3759999999999999</v>
      </c>
      <c r="P178" s="95">
        <v>2023</v>
      </c>
      <c r="R178" s="95" t="s">
        <v>246</v>
      </c>
      <c r="S178" s="95" t="s">
        <v>99</v>
      </c>
      <c r="T178" s="95" t="s">
        <v>247</v>
      </c>
    </row>
    <row r="179" spans="1:20" x14ac:dyDescent="0.2">
      <c r="A179" s="95" t="s">
        <v>97</v>
      </c>
      <c r="B179" s="95" t="s">
        <v>66</v>
      </c>
      <c r="C179" s="95" t="s">
        <v>252</v>
      </c>
      <c r="G179" s="95">
        <v>6</v>
      </c>
      <c r="I179" s="95">
        <v>1.9450000000000001</v>
      </c>
      <c r="P179" s="95">
        <v>2023</v>
      </c>
      <c r="R179" s="95" t="s">
        <v>248</v>
      </c>
      <c r="S179" s="95" t="s">
        <v>99</v>
      </c>
      <c r="T179" s="95" t="s">
        <v>249</v>
      </c>
    </row>
    <row r="180" spans="1:20" x14ac:dyDescent="0.2">
      <c r="A180" s="95" t="s">
        <v>97</v>
      </c>
      <c r="B180" s="95" t="s">
        <v>66</v>
      </c>
      <c r="C180" s="95" t="s">
        <v>239</v>
      </c>
      <c r="G180" s="95">
        <v>4.5</v>
      </c>
      <c r="H180" s="95">
        <v>4</v>
      </c>
      <c r="I180" s="95">
        <v>1.536</v>
      </c>
      <c r="P180" s="95">
        <v>2023</v>
      </c>
      <c r="R180" s="95" t="s">
        <v>250</v>
      </c>
      <c r="S180" s="95" t="s">
        <v>99</v>
      </c>
      <c r="T180" s="95" t="s">
        <v>251</v>
      </c>
    </row>
    <row r="181" spans="1:20" x14ac:dyDescent="0.2">
      <c r="A181" s="95" t="s">
        <v>97</v>
      </c>
      <c r="B181" s="95" t="s">
        <v>66</v>
      </c>
      <c r="C181" s="95" t="s">
        <v>252</v>
      </c>
      <c r="G181" s="95">
        <v>6.5</v>
      </c>
      <c r="I181" s="95">
        <v>1.665</v>
      </c>
      <c r="P181" s="95">
        <v>2023</v>
      </c>
      <c r="R181" s="95" t="s">
        <v>253</v>
      </c>
      <c r="S181" s="95" t="s">
        <v>99</v>
      </c>
      <c r="T181" s="95" t="s">
        <v>254</v>
      </c>
    </row>
    <row r="182" spans="1:20" x14ac:dyDescent="0.2">
      <c r="A182" s="95" t="s">
        <v>97</v>
      </c>
      <c r="B182" s="95" t="s">
        <v>66</v>
      </c>
      <c r="C182" s="95" t="s">
        <v>239</v>
      </c>
      <c r="G182" s="95">
        <v>4.5</v>
      </c>
      <c r="H182" s="95">
        <v>4</v>
      </c>
      <c r="I182" s="95">
        <v>0.74750000000000005</v>
      </c>
      <c r="P182" s="95">
        <v>2023</v>
      </c>
      <c r="R182" s="95" t="s">
        <v>255</v>
      </c>
      <c r="S182" s="95" t="s">
        <v>99</v>
      </c>
      <c r="T182" s="95" t="s">
        <v>256</v>
      </c>
    </row>
    <row r="183" spans="1:20" x14ac:dyDescent="0.2">
      <c r="A183" s="95" t="s">
        <v>97</v>
      </c>
      <c r="B183" s="95" t="s">
        <v>66</v>
      </c>
      <c r="C183" s="95" t="s">
        <v>239</v>
      </c>
      <c r="G183" s="95">
        <v>2</v>
      </c>
      <c r="H183" s="95">
        <v>3.7</v>
      </c>
      <c r="I183" s="95">
        <v>0.92642857142857149</v>
      </c>
      <c r="P183" s="95">
        <v>2023</v>
      </c>
      <c r="R183" s="95" t="s">
        <v>257</v>
      </c>
      <c r="S183" s="95" t="s">
        <v>99</v>
      </c>
      <c r="T183" s="95" t="s">
        <v>258</v>
      </c>
    </row>
    <row r="184" spans="1:20" x14ac:dyDescent="0.2">
      <c r="A184" s="95" t="s">
        <v>97</v>
      </c>
      <c r="B184" s="95" t="s">
        <v>66</v>
      </c>
      <c r="C184" s="95" t="s">
        <v>239</v>
      </c>
      <c r="G184" s="95">
        <v>3.8</v>
      </c>
      <c r="I184" s="95">
        <v>1.4950000000000001</v>
      </c>
      <c r="P184" s="95">
        <v>2023</v>
      </c>
      <c r="R184" s="95" t="s">
        <v>259</v>
      </c>
      <c r="S184" s="95" t="s">
        <v>99</v>
      </c>
      <c r="T184" s="95" t="s">
        <v>260</v>
      </c>
    </row>
    <row r="185" spans="1:20" x14ac:dyDescent="0.2">
      <c r="A185" s="95" t="s">
        <v>97</v>
      </c>
      <c r="B185" s="95" t="s">
        <v>66</v>
      </c>
      <c r="C185" s="95" t="s">
        <v>239</v>
      </c>
      <c r="G185" s="95">
        <v>2</v>
      </c>
      <c r="H185" s="95">
        <v>3.7</v>
      </c>
      <c r="I185" s="95">
        <v>1.4970000000000001</v>
      </c>
      <c r="P185" s="95">
        <v>2023</v>
      </c>
      <c r="R185" s="95" t="s">
        <v>261</v>
      </c>
      <c r="S185" s="95" t="s">
        <v>99</v>
      </c>
      <c r="T185" s="95" t="s">
        <v>262</v>
      </c>
    </row>
    <row r="186" spans="1:20" x14ac:dyDescent="0.2">
      <c r="A186" s="95" t="s">
        <v>97</v>
      </c>
      <c r="B186" s="95" t="s">
        <v>66</v>
      </c>
      <c r="C186" s="95" t="s">
        <v>239</v>
      </c>
      <c r="G186" s="95">
        <v>4</v>
      </c>
      <c r="I186" s="95">
        <v>1.3283333333333334</v>
      </c>
      <c r="P186" s="95">
        <v>2023</v>
      </c>
      <c r="R186" s="95" t="s">
        <v>263</v>
      </c>
      <c r="S186" s="95" t="s">
        <v>99</v>
      </c>
      <c r="T186" s="95" t="s">
        <v>264</v>
      </c>
    </row>
    <row r="187" spans="1:20" x14ac:dyDescent="0.2">
      <c r="A187" s="95" t="s">
        <v>97</v>
      </c>
      <c r="B187" s="95" t="s">
        <v>66</v>
      </c>
      <c r="C187" s="95" t="s">
        <v>239</v>
      </c>
      <c r="G187" s="95">
        <v>3.7</v>
      </c>
      <c r="I187" s="95">
        <v>1.1960000000000002</v>
      </c>
      <c r="P187" s="95">
        <v>2023</v>
      </c>
      <c r="R187" s="95" t="s">
        <v>265</v>
      </c>
      <c r="S187" s="95" t="s">
        <v>99</v>
      </c>
      <c r="T187" s="95" t="s">
        <v>266</v>
      </c>
    </row>
    <row r="188" spans="1:20" x14ac:dyDescent="0.2">
      <c r="A188" s="95" t="s">
        <v>97</v>
      </c>
      <c r="B188" s="95" t="s">
        <v>66</v>
      </c>
      <c r="C188" s="95" t="s">
        <v>252</v>
      </c>
      <c r="G188" s="95">
        <v>14</v>
      </c>
      <c r="H188" s="95">
        <v>6.8</v>
      </c>
      <c r="I188" s="95">
        <v>1.6658153846153845</v>
      </c>
      <c r="P188" s="95">
        <v>2023</v>
      </c>
      <c r="R188" s="95" t="s">
        <v>267</v>
      </c>
      <c r="S188" s="95" t="s">
        <v>99</v>
      </c>
      <c r="T188" s="95" t="s">
        <v>268</v>
      </c>
    </row>
    <row r="189" spans="1:20" x14ac:dyDescent="0.2">
      <c r="A189" s="95" t="s">
        <v>97</v>
      </c>
      <c r="B189" s="95" t="s">
        <v>66</v>
      </c>
      <c r="C189" s="95" t="s">
        <v>239</v>
      </c>
      <c r="G189" s="95">
        <v>4</v>
      </c>
      <c r="I189" s="95">
        <v>1.9957142857142858</v>
      </c>
      <c r="P189" s="95">
        <v>2023</v>
      </c>
      <c r="R189" s="95" t="s">
        <v>269</v>
      </c>
      <c r="S189" s="95" t="s">
        <v>99</v>
      </c>
      <c r="T189" s="95" t="s">
        <v>270</v>
      </c>
    </row>
    <row r="190" spans="1:20" x14ac:dyDescent="0.2">
      <c r="A190" s="95" t="s">
        <v>97</v>
      </c>
      <c r="B190" s="95" t="s">
        <v>66</v>
      </c>
      <c r="C190" s="95" t="s">
        <v>239</v>
      </c>
      <c r="G190" s="95">
        <v>4</v>
      </c>
      <c r="I190" s="95">
        <v>1.7100000000000002</v>
      </c>
      <c r="P190" s="95">
        <v>2023</v>
      </c>
      <c r="R190" s="95" t="s">
        <v>271</v>
      </c>
      <c r="S190" s="95" t="s">
        <v>99</v>
      </c>
      <c r="T190" s="95" t="s">
        <v>272</v>
      </c>
    </row>
    <row r="191" spans="1:20" x14ac:dyDescent="0.2">
      <c r="A191" s="95" t="s">
        <v>97</v>
      </c>
      <c r="B191" s="95" t="s">
        <v>66</v>
      </c>
      <c r="C191" s="95" t="s">
        <v>252</v>
      </c>
      <c r="G191" s="95">
        <v>14</v>
      </c>
      <c r="H191" s="95">
        <v>6.8</v>
      </c>
      <c r="I191" s="95">
        <v>1.621032258064516</v>
      </c>
      <c r="P191" s="95">
        <v>2023</v>
      </c>
      <c r="R191" s="95" t="s">
        <v>273</v>
      </c>
      <c r="S191" s="95" t="s">
        <v>99</v>
      </c>
      <c r="T191" s="95" t="s">
        <v>274</v>
      </c>
    </row>
    <row r="192" spans="1:20" x14ac:dyDescent="0.2">
      <c r="A192" s="95" t="s">
        <v>97</v>
      </c>
      <c r="B192" s="95" t="s">
        <v>66</v>
      </c>
      <c r="C192" s="95" t="s">
        <v>252</v>
      </c>
      <c r="G192" s="95">
        <v>5.5</v>
      </c>
      <c r="I192" s="95">
        <v>2.2069047619047617</v>
      </c>
      <c r="P192" s="95">
        <v>2023</v>
      </c>
      <c r="R192" s="95" t="s">
        <v>275</v>
      </c>
      <c r="S192" s="95" t="s">
        <v>99</v>
      </c>
      <c r="T192" s="95" t="s">
        <v>276</v>
      </c>
    </row>
    <row r="193" spans="1:20" x14ac:dyDescent="0.2">
      <c r="A193" s="95" t="s">
        <v>97</v>
      </c>
      <c r="B193" s="95" t="s">
        <v>66</v>
      </c>
      <c r="C193" s="95" t="s">
        <v>252</v>
      </c>
      <c r="G193" s="95">
        <v>3.7</v>
      </c>
      <c r="I193" s="95">
        <v>6.427142857142857</v>
      </c>
      <c r="P193" s="95">
        <v>2023</v>
      </c>
      <c r="R193" s="95" t="s">
        <v>277</v>
      </c>
      <c r="S193" s="95" t="s">
        <v>99</v>
      </c>
      <c r="T193" s="95" t="s">
        <v>278</v>
      </c>
    </row>
    <row r="194" spans="1:20" x14ac:dyDescent="0.2">
      <c r="A194" s="95" t="s">
        <v>97</v>
      </c>
      <c r="B194" s="95" t="s">
        <v>66</v>
      </c>
      <c r="C194" s="95" t="s">
        <v>239</v>
      </c>
      <c r="G194" s="95">
        <v>3.8</v>
      </c>
      <c r="I194" s="95">
        <v>1.1475</v>
      </c>
      <c r="P194" s="95">
        <v>2023</v>
      </c>
      <c r="R194" s="95" t="s">
        <v>279</v>
      </c>
      <c r="S194" s="95" t="s">
        <v>99</v>
      </c>
      <c r="T194" s="95" t="s">
        <v>280</v>
      </c>
    </row>
    <row r="195" spans="1:20" x14ac:dyDescent="0.2">
      <c r="A195" s="95" t="s">
        <v>97</v>
      </c>
      <c r="B195" s="95" t="s">
        <v>66</v>
      </c>
      <c r="C195" s="95" t="s">
        <v>252</v>
      </c>
      <c r="G195" s="95">
        <v>3.7</v>
      </c>
      <c r="I195" s="95">
        <v>9.2707142857142859</v>
      </c>
      <c r="P195" s="95">
        <v>2023</v>
      </c>
      <c r="R195" s="95" t="s">
        <v>281</v>
      </c>
      <c r="S195" s="95" t="s">
        <v>99</v>
      </c>
      <c r="T195" s="95" t="s">
        <v>282</v>
      </c>
    </row>
    <row r="196" spans="1:20" x14ac:dyDescent="0.2">
      <c r="A196" s="95" t="s">
        <v>97</v>
      </c>
      <c r="B196" s="95" t="s">
        <v>66</v>
      </c>
      <c r="C196" s="95" t="s">
        <v>252</v>
      </c>
      <c r="G196" s="95">
        <v>3.7</v>
      </c>
      <c r="I196" s="95">
        <v>7.2735714285714286</v>
      </c>
      <c r="P196" s="95">
        <v>2023</v>
      </c>
      <c r="R196" s="95" t="s">
        <v>283</v>
      </c>
      <c r="S196" s="95" t="s">
        <v>99</v>
      </c>
      <c r="T196" s="95" t="s">
        <v>284</v>
      </c>
    </row>
  </sheetData>
  <hyperlinks>
    <hyperlink ref="A1" location="'Table of Contents'!A1" display="Table of Contents" xr:uid="{317F3664-7143-4AD1-BC86-B7DF5032B3DE}"/>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N o Y Y V / 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N o Y Y 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a G G F c o i k e 4 D g A A A B E A A A A T A B w A R m 9 y b X V s Y X M v U 2 V j d G l v b j E u b S C i G A A o o B Q A A A A A A A A A A A A A A A A A A A A A A A A A A A A r T k 0 u y c z P U w i G 0 I b W A F B L A Q I t A B Q A A g A I A D a G G F f 2 X + L u p A A A A P c A A A A S A A A A A A A A A A A A A A A A A A A A A A B D b 2 5 m a W c v U G F j a 2 F n Z S 5 4 b W x Q S w E C L Q A U A A I A C A A 2 h h h X D 8 r p q 6 Q A A A D p A A A A E w A A A A A A A A A A A A A A A A D w A A A A W 0 N v b n R l b n R f V H l w Z X N d L n h t b F B L A Q I t A B Q A A g A I A D a G G F 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7 F 2 H o 3 B R q S q G + R x M 8 H Z 5 r A A A A A A I A A A A A A B B m A A A A A Q A A I A A A A H 5 g 6 P y I h i I f M k b 1 i X e w L W w + d V o 2 B f h f B y F V Q R W p S i c 8 A A A A A A 6 A A A A A A g A A I A A A A N x M f G p a e w + m F 4 n F R 7 9 4 c L e I U 6 b q Y D b 0 0 j n 0 u / O R i 7 C w U A A A A E a k S I F O W 4 y A v V S i S 7 l O z M j X K T 3 J R 3 W + M t d 5 f 6 w h W H C / 4 T 3 V 2 l T j t g k L p s W d e u 2 m b L H + r + o b u b g m 9 h S h u V o w v g f Y g a 6 N y m t b E x / z s / Z z s r g d Q A A A A F x E I b X a x O B L N L E O j f C d d T 6 + N v D 4 F d 2 1 l G 7 L X 2 7 Z b j a R A R 0 b Q 7 f L F 3 3 b x w B + h 2 s 5 F 2 r U V 3 B u 3 3 + B y 1 R C a y 2 L 4 / o = < / D a t a M a s h u p > 
</file>

<file path=customXml/item3.xml><?xml version="1.0" encoding="utf-8"?>
<ct:contentTypeSchema xmlns:ct="http://schemas.microsoft.com/office/2006/metadata/contentType" xmlns:ma="http://schemas.microsoft.com/office/2006/metadata/properties/metaAttributes" ct:_="" ma:_="" ma:contentTypeName="Document" ma:contentTypeID="0x01010077F850A1559E724CAD00C081F2D04BAF" ma:contentTypeVersion="6" ma:contentTypeDescription="Create a new document." ma:contentTypeScope="" ma:versionID="75349a5e85931e37bb9df400c30ba415">
  <xsd:schema xmlns:xsd="http://www.w3.org/2001/XMLSchema" xmlns:xs="http://www.w3.org/2001/XMLSchema" xmlns:p="http://schemas.microsoft.com/office/2006/metadata/properties" xmlns:ns2="bad925ed-4220-44c3-9a7c-0046cc550845" xmlns:ns3="b014a33d-1a21-47b2-af41-942c97684f74" targetNamespace="http://schemas.microsoft.com/office/2006/metadata/properties" ma:root="true" ma:fieldsID="c75db39d9a7086a78fe4af6fe45d5ee8" ns2:_="" ns3:_="">
    <xsd:import namespace="bad925ed-4220-44c3-9a7c-0046cc550845"/>
    <xsd:import namespace="b014a33d-1a21-47b2-af41-942c97684f7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d925ed-4220-44c3-9a7c-0046cc5508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014a33d-1a21-47b2-af41-942c97684f7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93955B7-0D7B-4C02-96ED-D4D8558DA696}">
  <ds:schemaRefs>
    <ds:schemaRef ds:uri="http://schemas.microsoft.com/sharepoint/v3/contenttype/forms"/>
  </ds:schemaRefs>
</ds:datastoreItem>
</file>

<file path=customXml/itemProps2.xml><?xml version="1.0" encoding="utf-8"?>
<ds:datastoreItem xmlns:ds="http://schemas.openxmlformats.org/officeDocument/2006/customXml" ds:itemID="{8FCC9BAD-1FA4-49D2-85A5-1F86149C3DBA}">
  <ds:schemaRefs>
    <ds:schemaRef ds:uri="http://schemas.microsoft.com/DataMashup"/>
  </ds:schemaRefs>
</ds:datastoreItem>
</file>

<file path=customXml/itemProps3.xml><?xml version="1.0" encoding="utf-8"?>
<ds:datastoreItem xmlns:ds="http://schemas.openxmlformats.org/officeDocument/2006/customXml" ds:itemID="{59EF88F5-F757-46D2-AF33-ED4A2B6F96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d925ed-4220-44c3-9a7c-0046cc550845"/>
    <ds:schemaRef ds:uri="b014a33d-1a21-47b2-af41-942c97684f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D57DA30-D62E-4FEB-A4DB-BDCE3BA5AE0F}">
  <ds:schemaRefs>
    <ds:schemaRef ds:uri="http://schemas.microsoft.com/office/2006/metadata/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http://purl.org/dc/elements/1.1/"/>
    <ds:schemaRef ds:uri="http://schemas.openxmlformats.org/package/2006/metadata/core-properties"/>
    <ds:schemaRef ds:uri="b014a33d-1a21-47b2-af41-942c97684f74"/>
    <ds:schemaRef ds:uri="bad925ed-4220-44c3-9a7c-0046cc550845"/>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46</vt:i4>
      </vt:variant>
    </vt:vector>
  </HeadingPairs>
  <TitlesOfParts>
    <vt:vector size="46" baseType="lpstr">
      <vt:lpstr>Table of Contents</vt:lpstr>
      <vt:lpstr>Qualitative Rank</vt:lpstr>
      <vt:lpstr>All Insulation Data</vt:lpstr>
      <vt:lpstr>All Insulation Analysis</vt:lpstr>
      <vt:lpstr>Air Sealing Data</vt:lpstr>
      <vt:lpstr>Wood Stud</vt:lpstr>
      <vt:lpstr>Steel Stud</vt:lpstr>
      <vt:lpstr>Double Wood Stud</vt:lpstr>
      <vt:lpstr>Unfinished Basement</vt:lpstr>
      <vt:lpstr>Finished Basement</vt:lpstr>
      <vt:lpstr>Unfinished Attic</vt:lpstr>
      <vt:lpstr>Finished Roof</vt:lpstr>
      <vt:lpstr>Crawlspace</vt:lpstr>
      <vt:lpstr>Slab</vt:lpstr>
      <vt:lpstr>Rim Joist</vt:lpstr>
      <vt:lpstr>Concrete Masonry Unit</vt:lpstr>
      <vt:lpstr>Air Sealing Analysis</vt:lpstr>
      <vt:lpstr>Doors Data</vt:lpstr>
      <vt:lpstr>Doors Analysis</vt:lpstr>
      <vt:lpstr>Duct Insulation Data</vt:lpstr>
      <vt:lpstr>Duct Insulation Analysis</vt:lpstr>
      <vt:lpstr>Duct Sealing Data</vt:lpstr>
      <vt:lpstr>Duct Sealing Analysis</vt:lpstr>
      <vt:lpstr>Exterior Finish Data</vt:lpstr>
      <vt:lpstr>Exterior Finish Analysis</vt:lpstr>
      <vt:lpstr>Radiant Barrier Data</vt:lpstr>
      <vt:lpstr>Radiant Barrier Analysis</vt:lpstr>
      <vt:lpstr>ICF Data </vt:lpstr>
      <vt:lpstr>ICF Analysis</vt:lpstr>
      <vt:lpstr>SIP Data </vt:lpstr>
      <vt:lpstr>SIP Analysis</vt:lpstr>
      <vt:lpstr>Wall Sheathing Data</vt:lpstr>
      <vt:lpstr>Wall Sheathing Analysis</vt:lpstr>
      <vt:lpstr>Windows Data</vt:lpstr>
      <vt:lpstr>Windows Analysis</vt:lpstr>
      <vt:lpstr>Pipe Insulation Data</vt:lpstr>
      <vt:lpstr>Pipe Insulation Analysis</vt:lpstr>
      <vt:lpstr>Open Cell Spray Foam Data</vt:lpstr>
      <vt:lpstr>IECC Table R402.1.3</vt:lpstr>
      <vt:lpstr>CPI</vt:lpstr>
      <vt:lpstr>Envelope Labor Premium</vt:lpstr>
      <vt:lpstr>R-Value Library</vt:lpstr>
      <vt:lpstr>Siding</vt:lpstr>
      <vt:lpstr>Duct Insulation</vt:lpstr>
      <vt:lpstr>Pipe Insulation</vt:lpstr>
      <vt:lpstr>Roof Insulation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Kyung Lee</dc:creator>
  <cp:keywords/>
  <dc:description/>
  <cp:lastModifiedBy>Moore, Nathan</cp:lastModifiedBy>
  <cp:revision/>
  <dcterms:created xsi:type="dcterms:W3CDTF">2023-06-13T18:03:39Z</dcterms:created>
  <dcterms:modified xsi:type="dcterms:W3CDTF">2024-10-01T20:13:39Z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0x01010077F850A1559E724CAD00C081F2D04BAF</vt:lpwstr>
  </property>
  <property fmtid="{D5CDD505-2E9C-101B-9397-08002B2CF9AE}" pid="3" name="MediaServiceImageTags">
    <vt:lpwstr/>
  </property>
  <property fmtid="{D5CDD505-2E9C-101B-9397-08002B2CF9AE}" pid="4" name="MSIP_Label_95965d95-ecc0-4720-b759-1f33c42ed7da_Enabled">
    <vt:lpwstr>true</vt:lpwstr>
  </property>
  <property fmtid="{D5CDD505-2E9C-101B-9397-08002B2CF9AE}" pid="5" name="MSIP_Label_95965d95-ecc0-4720-b759-1f33c42ed7da_SetDate">
    <vt:lpwstr>2024-09-17T22:58:12Z</vt:lpwstr>
  </property>
  <property fmtid="{D5CDD505-2E9C-101B-9397-08002B2CF9AE}" pid="6" name="MSIP_Label_95965d95-ecc0-4720-b759-1f33c42ed7da_Method">
    <vt:lpwstr>Standard</vt:lpwstr>
  </property>
  <property fmtid="{D5CDD505-2E9C-101B-9397-08002B2CF9AE}" pid="7" name="MSIP_Label_95965d95-ecc0-4720-b759-1f33c42ed7da_Name">
    <vt:lpwstr>General</vt:lpwstr>
  </property>
  <property fmtid="{D5CDD505-2E9C-101B-9397-08002B2CF9AE}" pid="8" name="MSIP_Label_95965d95-ecc0-4720-b759-1f33c42ed7da_SiteId">
    <vt:lpwstr>a0f29d7e-28cd-4f54-8442-7885aee7c080</vt:lpwstr>
  </property>
  <property fmtid="{D5CDD505-2E9C-101B-9397-08002B2CF9AE}" pid="9" name="MSIP_Label_95965d95-ecc0-4720-b759-1f33c42ed7da_ActionId">
    <vt:lpwstr>bd701f81-a0cb-4826-9d9c-b2af5f948456</vt:lpwstr>
  </property>
  <property fmtid="{D5CDD505-2E9C-101B-9397-08002B2CF9AE}" pid="10" name="MSIP_Label_95965d95-ecc0-4720-b759-1f33c42ed7da_ContentBits">
    <vt:lpwstr>0</vt:lpwstr>
  </property>
</Properties>
</file>